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melld\OneDrive - Yildiz Holding\Documents\2020_05_12_Caramella_War on Waste\2020_07_13_Caramella_War on Waste_Small Nuts\"/>
    </mc:Choice>
  </mc:AlternateContent>
  <xr:revisionPtr revIDLastSave="63" documentId="13_ncr:1_{9CA54E1C-6C4D-4133-BB4D-9B36DFBB6B77}" xr6:coauthVersionLast="44" xr6:coauthVersionMax="45" xr10:uidLastSave="{BA3F76CD-271C-4F78-81E5-83684B5D1843}"/>
  <bookViews>
    <workbookView xWindow="-120" yWindow="-120" windowWidth="29040" windowHeight="15840" tabRatio="792" activeTab="9" xr2:uid="{EA0185A9-164C-4E90-AD93-485D8FD13BAD}"/>
  </bookViews>
  <sheets>
    <sheet name="MTD &amp; YTD Scrap" sheetId="3" r:id="rId1"/>
    <sheet name="Daily Scrap by Shift" sheetId="11" r:id="rId2"/>
    <sheet name="Scrap by Day by Line" sheetId="12" r:id="rId3"/>
    <sheet name="Scrap Tracking" sheetId="1" r:id="rId4"/>
    <sheet name="Warehouse Scrap" sheetId="7" r:id="rId5"/>
    <sheet name="Lists" sheetId="2" r:id="rId6"/>
    <sheet name="Sheet3" sheetId="15" r:id="rId7"/>
    <sheet name="Sheet2" sheetId="14" r:id="rId8"/>
    <sheet name="Sheet1" sheetId="13" r:id="rId9"/>
    <sheet name="Python" sheetId="16" r:id="rId10"/>
  </sheets>
  <definedNames>
    <definedName name="_xlnm._FilterDatabase" localSheetId="3" hidden="1">'Scrap Tracking'!$A$1:$N$1343</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370" i="1" l="1"/>
  <c r="L1370" i="1"/>
  <c r="M1370" i="1"/>
  <c r="I1369" i="1"/>
  <c r="L1369" i="1"/>
  <c r="M1369" i="1"/>
  <c r="I1368" i="1"/>
  <c r="L1368" i="1"/>
  <c r="M1368" i="1"/>
  <c r="I1367" i="1"/>
  <c r="L1367" i="1"/>
  <c r="M1367" i="1"/>
  <c r="I1366" i="1"/>
  <c r="L1366" i="1"/>
  <c r="M1366" i="1"/>
  <c r="I1365" i="1"/>
  <c r="L1365" i="1"/>
  <c r="M1365" i="1"/>
  <c r="I1364" i="1"/>
  <c r="L1364" i="1"/>
  <c r="M1364" i="1"/>
  <c r="I1363" i="1"/>
  <c r="L1363" i="1"/>
  <c r="M1363" i="1"/>
  <c r="J1361" i="1" l="1"/>
  <c r="J1360" i="1"/>
  <c r="J1357" i="1"/>
  <c r="I1362" i="1" l="1"/>
  <c r="L1362" i="1"/>
  <c r="I1361" i="1"/>
  <c r="L1361" i="1"/>
  <c r="I1360" i="1"/>
  <c r="L1360" i="1"/>
  <c r="I1359" i="1"/>
  <c r="L1359" i="1"/>
  <c r="I1358" i="1"/>
  <c r="L1358" i="1"/>
  <c r="I1357" i="1"/>
  <c r="L1357" i="1"/>
  <c r="I1356" i="1"/>
  <c r="L1356" i="1"/>
  <c r="I1355" i="1"/>
  <c r="L1355" i="1"/>
  <c r="J1352" i="1" l="1"/>
  <c r="J1349" i="1"/>
  <c r="J1348" i="1"/>
  <c r="J793" i="12"/>
  <c r="I793" i="12"/>
  <c r="J1345" i="1"/>
  <c r="K793" i="12" l="1"/>
  <c r="G1354" i="1"/>
  <c r="G1353" i="1"/>
  <c r="G1352" i="1"/>
  <c r="G1351" i="1"/>
  <c r="G1350" i="1"/>
  <c r="G1349" i="1"/>
  <c r="G1348" i="1"/>
  <c r="G1347" i="1"/>
  <c r="G1346" i="1"/>
  <c r="G1345" i="1"/>
  <c r="G1344" i="1"/>
  <c r="G1343" i="1"/>
  <c r="G1342" i="1"/>
  <c r="G1341" i="1"/>
  <c r="G1340" i="1"/>
  <c r="I1354" i="1"/>
  <c r="L1354" i="1"/>
  <c r="I1353" i="1"/>
  <c r="L1353" i="1"/>
  <c r="I1352" i="1"/>
  <c r="L1352" i="1"/>
  <c r="I1351" i="1"/>
  <c r="L1351" i="1"/>
  <c r="I1350" i="1"/>
  <c r="L1350" i="1"/>
  <c r="I1349" i="1"/>
  <c r="L1349" i="1"/>
  <c r="I1348" i="1"/>
  <c r="L1348" i="1"/>
  <c r="I1347" i="1"/>
  <c r="L1347"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A1368" i="1"/>
  <c r="A1369" i="1"/>
  <c r="A1370" i="1"/>
  <c r="A1371" i="1"/>
  <c r="A1372" i="1"/>
  <c r="A1373" i="1"/>
  <c r="A1374" i="1"/>
  <c r="A1375" i="1"/>
  <c r="A1376" i="1"/>
  <c r="A1377" i="1"/>
  <c r="A1378" i="1"/>
  <c r="A1379" i="1"/>
  <c r="A1380" i="1"/>
  <c r="A1381" i="1"/>
  <c r="A1382" i="1"/>
  <c r="A1383" i="1"/>
  <c r="A1384" i="1"/>
  <c r="A1385" i="1"/>
  <c r="A1386"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I1346" i="1"/>
  <c r="L1346" i="1"/>
  <c r="I1345" i="1"/>
  <c r="L1345" i="1"/>
  <c r="I1344" i="1"/>
  <c r="L1344" i="1"/>
  <c r="H1342" i="1"/>
  <c r="H1344" i="1"/>
  <c r="M1344" i="1" s="1"/>
  <c r="H1346" i="1"/>
  <c r="M1346" i="1" s="1"/>
  <c r="H1347" i="1"/>
  <c r="M1347" i="1" s="1"/>
  <c r="H1350" i="1"/>
  <c r="M1350" i="1" s="1"/>
  <c r="H1353" i="1"/>
  <c r="M1353" i="1" s="1"/>
  <c r="H1354" i="1"/>
  <c r="M1354" i="1" s="1"/>
  <c r="H1355" i="1"/>
  <c r="M1355" i="1" s="1"/>
  <c r="H1356" i="1"/>
  <c r="M1356" i="1" s="1"/>
  <c r="H1357" i="1"/>
  <c r="M1357" i="1" s="1"/>
  <c r="H1358" i="1"/>
  <c r="M1358" i="1" s="1"/>
  <c r="H1359" i="1"/>
  <c r="M1359" i="1" s="1"/>
  <c r="H1360" i="1"/>
  <c r="M1360" i="1" s="1"/>
  <c r="H1361" i="1"/>
  <c r="M1361" i="1" s="1"/>
  <c r="H1362" i="1"/>
  <c r="M1362" i="1" s="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J1338" i="1" l="1"/>
  <c r="J1335" i="1"/>
  <c r="J1332" i="1" l="1"/>
  <c r="J1329" i="1"/>
  <c r="J1326" i="1" l="1"/>
  <c r="J1318" i="1" l="1"/>
  <c r="J1307" i="1" l="1"/>
  <c r="J1305" i="1"/>
  <c r="J1295" i="1" l="1"/>
  <c r="J1294" i="1" l="1"/>
  <c r="J1287" i="1" l="1"/>
  <c r="J1284" i="1" l="1"/>
  <c r="J1281" i="1" l="1"/>
  <c r="J1278" i="1" l="1"/>
  <c r="J1274" i="1" l="1"/>
  <c r="J1272" i="1"/>
  <c r="J1271" i="1"/>
  <c r="J1267" i="1" l="1"/>
  <c r="J1265" i="1"/>
  <c r="J1263" i="1"/>
  <c r="J1259" i="1"/>
  <c r="J1257" i="1"/>
  <c r="J1255" i="1"/>
  <c r="J1248" i="1" l="1"/>
  <c r="J1244" i="1" l="1"/>
  <c r="J1241" i="1"/>
  <c r="J1239" i="1"/>
  <c r="A1244" i="1" l="1"/>
  <c r="J1237" i="1" l="1"/>
  <c r="J1234" i="1"/>
  <c r="J1231" i="1"/>
  <c r="J1224" i="1" l="1"/>
  <c r="J1221" i="1" l="1"/>
  <c r="J1220" i="1"/>
  <c r="J1218" i="1" l="1"/>
  <c r="J1216" i="1"/>
  <c r="J1214" i="1"/>
  <c r="J1212" i="1"/>
  <c r="J1209" i="1" l="1"/>
  <c r="A1209" i="1"/>
  <c r="J1206" i="1" l="1"/>
  <c r="J1203" i="1"/>
  <c r="J1201" i="1"/>
  <c r="J1197" i="1" l="1"/>
  <c r="L1163" i="1" l="1"/>
  <c r="J1120" i="1" l="1"/>
  <c r="J1119" i="1"/>
  <c r="J1116" i="1" l="1"/>
  <c r="J1113" i="1"/>
  <c r="J1110" i="1" l="1"/>
  <c r="J1109" i="1"/>
  <c r="J1106" i="1"/>
  <c r="J1105" i="1"/>
  <c r="J1102" i="1" l="1"/>
  <c r="J1101" i="1"/>
  <c r="J1099" i="1"/>
  <c r="J1098" i="1"/>
  <c r="J1092" i="1" l="1"/>
  <c r="J1094" i="1"/>
  <c r="J1095" i="1"/>
  <c r="J1090" i="1"/>
  <c r="J1086" i="1"/>
  <c r="J1085" i="1"/>
  <c r="J1080" i="1" l="1"/>
  <c r="J1079" i="1"/>
  <c r="J1074" i="1" l="1"/>
  <c r="J1072" i="1"/>
  <c r="J1070" i="1"/>
  <c r="D1070" i="1" l="1"/>
  <c r="D1069" i="1"/>
  <c r="J1065" i="1" l="1"/>
  <c r="J1063" i="1"/>
  <c r="J1061" i="1"/>
  <c r="J1056" i="1" l="1"/>
  <c r="J1053" i="1"/>
  <c r="J1047" i="1" l="1"/>
  <c r="J1038" i="1"/>
  <c r="J1036" i="1" l="1"/>
  <c r="J1035" i="1"/>
  <c r="J1033" i="1" l="1"/>
  <c r="J1032" i="1"/>
  <c r="J1031" i="1"/>
  <c r="J1030" i="1"/>
  <c r="J1027" i="1"/>
  <c r="J1025" i="1" l="1"/>
  <c r="J1026" i="1"/>
  <c r="C421" i="7" l="1"/>
  <c r="A1027" i="1"/>
  <c r="D1027" i="1"/>
  <c r="G1027" i="1"/>
  <c r="I1027" i="1"/>
  <c r="L1027" i="1"/>
  <c r="J1016" i="1" l="1"/>
  <c r="J1014" i="1"/>
  <c r="J1003" i="1" l="1"/>
  <c r="D1004" i="1" l="1"/>
  <c r="D1003" i="1"/>
  <c r="D1002" i="1"/>
  <c r="J996" i="1" l="1"/>
  <c r="J994" i="1"/>
  <c r="J993" i="1"/>
  <c r="J992" i="1"/>
  <c r="I520" i="12" l="1"/>
  <c r="J991" i="1"/>
  <c r="J990" i="1"/>
  <c r="J520" i="12" l="1"/>
  <c r="K520" i="12" l="1"/>
  <c r="J983" i="1"/>
  <c r="J982" i="1"/>
  <c r="J981" i="1"/>
  <c r="J979" i="1"/>
  <c r="J977" i="1"/>
  <c r="J973" i="1" l="1"/>
  <c r="J975" i="1"/>
  <c r="J971" i="1" l="1"/>
  <c r="J969" i="1"/>
  <c r="J968" i="1"/>
  <c r="J966" i="1"/>
  <c r="J963" i="1" l="1"/>
  <c r="J961" i="1" l="1"/>
  <c r="J959" i="1" l="1"/>
  <c r="J958" i="1"/>
  <c r="J956" i="1"/>
  <c r="J955" i="1"/>
  <c r="J954" i="1" l="1"/>
  <c r="J953" i="1"/>
  <c r="J951" i="1"/>
  <c r="J946" i="1" l="1"/>
  <c r="J944" i="1"/>
  <c r="J940" i="1" l="1"/>
  <c r="J939" i="1"/>
  <c r="J938" i="1"/>
  <c r="J930" i="1" l="1"/>
  <c r="J924" i="1" l="1"/>
  <c r="J920" i="1"/>
  <c r="J915" i="1" l="1"/>
  <c r="J914" i="1" l="1"/>
  <c r="J913" i="1"/>
  <c r="J912" i="1" l="1"/>
  <c r="J911" i="1"/>
  <c r="J910" i="1"/>
  <c r="J909" i="1"/>
  <c r="J908" i="1"/>
  <c r="J905" i="1" l="1"/>
  <c r="J902" i="1"/>
  <c r="J900" i="1"/>
  <c r="J897" i="1"/>
  <c r="J895" i="1" l="1"/>
  <c r="J888" i="1"/>
  <c r="J884" i="1" l="1"/>
  <c r="J882" i="1"/>
  <c r="J880" i="1"/>
  <c r="J877" i="1"/>
  <c r="J874" i="1" l="1"/>
  <c r="J872" i="1"/>
  <c r="J870" i="1"/>
  <c r="J869" i="1"/>
  <c r="J867" i="1"/>
  <c r="J865" i="1" l="1"/>
  <c r="J864" i="1"/>
  <c r="J862" i="1"/>
  <c r="J861" i="1" l="1"/>
  <c r="J860" i="1"/>
  <c r="J858" i="1"/>
  <c r="C352" i="7" l="1"/>
  <c r="J856" i="1" l="1"/>
  <c r="J854" i="1"/>
  <c r="J853" i="1"/>
  <c r="J851" i="1"/>
  <c r="J849" i="1"/>
  <c r="J845" i="1" l="1"/>
  <c r="J844" i="1"/>
  <c r="J842" i="1"/>
  <c r="J840" i="1"/>
  <c r="I818" i="1" l="1"/>
  <c r="I822" i="1"/>
  <c r="J817" i="1"/>
  <c r="J838" i="1"/>
  <c r="J837" i="1"/>
  <c r="J835" i="1"/>
  <c r="J831" i="1"/>
  <c r="D820" i="1" l="1"/>
  <c r="I819" i="1"/>
  <c r="H818" i="1"/>
  <c r="G819" i="1"/>
  <c r="D819" i="1"/>
  <c r="C335" i="7"/>
  <c r="F335" i="7" s="1"/>
  <c r="H335" i="7" s="1"/>
  <c r="C334" i="7"/>
  <c r="F334" i="7" s="1"/>
  <c r="H334" i="7" s="1"/>
  <c r="C333" i="7"/>
  <c r="F333" i="7" s="1"/>
  <c r="H333" i="7" s="1"/>
  <c r="D334" i="7" l="1"/>
  <c r="E334" i="7"/>
  <c r="D333" i="7"/>
  <c r="E333" i="7"/>
  <c r="D335" i="7"/>
  <c r="E335" i="7"/>
  <c r="L819" i="1"/>
  <c r="C322" i="7" l="1"/>
  <c r="C323" i="7"/>
  <c r="C324" i="7"/>
  <c r="C325" i="7"/>
  <c r="C326" i="7"/>
  <c r="C327" i="7"/>
  <c r="C328" i="7"/>
  <c r="C329" i="7"/>
  <c r="C330" i="7"/>
  <c r="C331" i="7"/>
  <c r="C332" i="7"/>
  <c r="C336" i="7"/>
  <c r="C337" i="7"/>
  <c r="C338" i="7"/>
  <c r="C339" i="7"/>
  <c r="C340" i="7"/>
  <c r="C341" i="7"/>
  <c r="C342" i="7"/>
  <c r="C343" i="7"/>
  <c r="C344" i="7"/>
  <c r="C345" i="7"/>
  <c r="C346" i="7"/>
  <c r="C347" i="7"/>
  <c r="C348" i="7"/>
  <c r="C349" i="7"/>
  <c r="C350" i="7"/>
  <c r="C351"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F332" i="7" l="1"/>
  <c r="H332" i="7" s="1"/>
  <c r="E332" i="7"/>
  <c r="D332" i="7"/>
  <c r="J829" i="1"/>
  <c r="J827" i="1"/>
  <c r="J824" i="1"/>
  <c r="J821" i="1" l="1"/>
  <c r="J397" i="12" l="1"/>
  <c r="J812" i="1"/>
  <c r="J811" i="1"/>
  <c r="J808" i="1" l="1"/>
  <c r="J807" i="1"/>
  <c r="J806" i="1"/>
  <c r="J804" i="1" l="1"/>
  <c r="J801" i="1"/>
  <c r="J799" i="1"/>
  <c r="I502" i="12" l="1"/>
  <c r="H500" i="12" l="1"/>
  <c r="J795" i="1"/>
  <c r="J791" i="1" l="1"/>
  <c r="J492" i="12"/>
  <c r="J787" i="1"/>
  <c r="J786" i="1"/>
  <c r="J785" i="1" l="1"/>
  <c r="J784" i="1"/>
  <c r="C321" i="7" l="1"/>
  <c r="C320" i="7"/>
  <c r="J775" i="1" l="1"/>
  <c r="J774" i="1"/>
  <c r="C319" i="7" l="1"/>
  <c r="C318" i="7"/>
  <c r="C317" i="7"/>
  <c r="J768" i="1" l="1"/>
  <c r="J765" i="1"/>
  <c r="J761" i="1"/>
  <c r="C316" i="7" l="1"/>
  <c r="C315" i="7"/>
  <c r="C314" i="7"/>
  <c r="J754" i="1" l="1"/>
  <c r="J758" i="1"/>
  <c r="C313" i="7" l="1"/>
  <c r="C312" i="7"/>
  <c r="C311" i="7"/>
  <c r="J751" i="1" l="1"/>
  <c r="J750" i="1"/>
  <c r="J749" i="1"/>
  <c r="J746" i="1" l="1"/>
  <c r="J744" i="1"/>
  <c r="J740" i="1" l="1"/>
  <c r="J737" i="1"/>
  <c r="J736" i="1"/>
  <c r="C310" i="7" l="1"/>
  <c r="C309" i="7"/>
  <c r="C308" i="7"/>
  <c r="C307" i="7"/>
  <c r="C306" i="7"/>
  <c r="C305" i="7" l="1"/>
  <c r="C304" i="7"/>
  <c r="C303" i="7"/>
  <c r="J729" i="1" l="1"/>
  <c r="C302" i="7" l="1"/>
  <c r="C301" i="7"/>
  <c r="C300" i="7"/>
  <c r="J724" i="1" l="1"/>
  <c r="C299" i="7" l="1"/>
  <c r="C298" i="7"/>
  <c r="C297" i="7"/>
  <c r="J716" i="1" l="1"/>
  <c r="C296" i="7" l="1"/>
  <c r="C295" i="7"/>
  <c r="C294" i="7"/>
  <c r="J714" i="1" l="1"/>
  <c r="J715" i="1"/>
  <c r="J713" i="1"/>
  <c r="J712" i="1"/>
  <c r="J710" i="1"/>
  <c r="J708" i="1" l="1"/>
  <c r="J705" i="1"/>
  <c r="J704" i="1"/>
  <c r="C293" i="7" l="1"/>
  <c r="C292" i="7"/>
  <c r="C291" i="7"/>
  <c r="C290" i="7"/>
  <c r="C289" i="7"/>
  <c r="J701" i="1" l="1"/>
  <c r="J699" i="1"/>
  <c r="J698" i="1"/>
  <c r="J696" i="1"/>
  <c r="C288" i="7" l="1"/>
  <c r="C287" i="7"/>
  <c r="C286" i="7"/>
  <c r="L697" i="1"/>
  <c r="J693" i="1" l="1"/>
  <c r="J690" i="1"/>
  <c r="J686" i="1"/>
  <c r="J689" i="1"/>
  <c r="C285" i="7" l="1"/>
  <c r="C284" i="7"/>
  <c r="C283" i="7"/>
  <c r="J683" i="1" l="1"/>
  <c r="J682" i="1"/>
  <c r="J680" i="1"/>
  <c r="J678" i="1"/>
  <c r="C282" i="7" l="1"/>
  <c r="C281" i="7"/>
  <c r="C280" i="7"/>
  <c r="J676" i="1" l="1"/>
  <c r="J675" i="1"/>
  <c r="J672" i="1"/>
  <c r="J671" i="1"/>
  <c r="J668" i="1"/>
  <c r="J666" i="1"/>
  <c r="C279" i="7" l="1"/>
  <c r="C278" i="7"/>
  <c r="C277" i="7"/>
  <c r="C276" i="7"/>
  <c r="C275" i="7"/>
  <c r="J660" i="1" l="1"/>
  <c r="C274" i="7" l="1"/>
  <c r="C273" i="7"/>
  <c r="C272" i="7"/>
  <c r="C271" i="7" l="1"/>
  <c r="J639" i="1" l="1"/>
  <c r="J637" i="1"/>
  <c r="J628" i="1" l="1"/>
  <c r="A626" i="1" l="1"/>
  <c r="J621" i="1" l="1"/>
  <c r="J618" i="1"/>
  <c r="J612" i="1" l="1"/>
  <c r="J609" i="1"/>
  <c r="J601" i="1" l="1"/>
  <c r="J596" i="1" l="1"/>
  <c r="J595" i="1"/>
  <c r="J594" i="1"/>
  <c r="I595" i="1" l="1"/>
  <c r="L595" i="1"/>
  <c r="G595" i="1"/>
  <c r="D595" i="1"/>
  <c r="G594" i="1" l="1"/>
  <c r="I594" i="1"/>
  <c r="L594" i="1"/>
  <c r="D594" i="1"/>
  <c r="A601" i="1" l="1"/>
  <c r="A602" i="1"/>
  <c r="A615" i="1"/>
  <c r="A614" i="1"/>
  <c r="A613" i="1"/>
  <c r="A612" i="1"/>
  <c r="A611" i="1"/>
  <c r="A610" i="1"/>
  <c r="A609" i="1"/>
  <c r="A608" i="1"/>
  <c r="A606" i="1"/>
  <c r="A605" i="1"/>
  <c r="A604" i="1"/>
  <c r="A603" i="1"/>
  <c r="J590" i="1" l="1"/>
  <c r="J589" i="1"/>
  <c r="G589" i="1" l="1"/>
  <c r="G590" i="1"/>
  <c r="I590" i="1"/>
  <c r="L590" i="1"/>
  <c r="I589" i="1"/>
  <c r="L589" i="1"/>
  <c r="D590" i="1"/>
  <c r="D589" i="1"/>
  <c r="A590" i="1"/>
  <c r="A589" i="1"/>
  <c r="J576" i="1" l="1"/>
  <c r="J573" i="1"/>
  <c r="J567" i="1"/>
  <c r="J563" i="1"/>
  <c r="J557" i="1" l="1"/>
  <c r="J556" i="1"/>
  <c r="J553" i="1"/>
  <c r="J552" i="1"/>
  <c r="J549" i="1"/>
  <c r="J547" i="1" l="1"/>
  <c r="J544" i="1"/>
  <c r="J543" i="1"/>
  <c r="J541" i="1" l="1"/>
  <c r="J540" i="1"/>
  <c r="J539" i="1"/>
  <c r="J538" i="1"/>
  <c r="J525" i="1" l="1"/>
  <c r="J520" i="1"/>
  <c r="J512" i="1"/>
  <c r="J508" i="1"/>
  <c r="J494" i="1" l="1"/>
  <c r="J487" i="1" l="1"/>
  <c r="J484" i="1"/>
  <c r="L483" i="1"/>
  <c r="I483" i="1"/>
  <c r="G483" i="1"/>
  <c r="D483" i="1"/>
  <c r="A479" i="1" l="1"/>
  <c r="D479" i="1"/>
  <c r="G479" i="1"/>
  <c r="H479" i="1"/>
  <c r="M479" i="1" s="1"/>
  <c r="I479" i="1"/>
  <c r="L479" i="1"/>
  <c r="J88" i="14" l="1"/>
  <c r="I88" i="14"/>
  <c r="J82" i="14"/>
  <c r="J64" i="14"/>
  <c r="K64" i="14" s="1"/>
  <c r="I64" i="14"/>
  <c r="H87" i="14"/>
  <c r="F87" i="14"/>
  <c r="C87" i="14"/>
  <c r="H81" i="14"/>
  <c r="F81" i="14"/>
  <c r="C81" i="14"/>
  <c r="I80" i="14"/>
  <c r="I82" i="14" s="1"/>
  <c r="K82" i="14" s="1"/>
  <c r="F80" i="14"/>
  <c r="C80" i="14"/>
  <c r="H77" i="14"/>
  <c r="F77" i="14"/>
  <c r="C77" i="14"/>
  <c r="H76" i="14"/>
  <c r="F76" i="14"/>
  <c r="C76" i="14"/>
  <c r="H75" i="14"/>
  <c r="F75" i="14"/>
  <c r="C75" i="14"/>
  <c r="H74" i="14"/>
  <c r="F74" i="14"/>
  <c r="C74" i="14"/>
  <c r="H73" i="14"/>
  <c r="F73" i="14"/>
  <c r="C73" i="14"/>
  <c r="H72" i="14"/>
  <c r="F72" i="14"/>
  <c r="C72" i="14"/>
  <c r="H71" i="14"/>
  <c r="F71" i="14"/>
  <c r="C71" i="14"/>
  <c r="H70" i="14"/>
  <c r="F70" i="14"/>
  <c r="C70" i="14"/>
  <c r="H69" i="14"/>
  <c r="F69" i="14"/>
  <c r="C69" i="14"/>
  <c r="H68" i="14"/>
  <c r="F68" i="14"/>
  <c r="C68" i="14"/>
  <c r="H67" i="14"/>
  <c r="F67" i="14"/>
  <c r="C67" i="14"/>
  <c r="H66" i="14"/>
  <c r="F66" i="14"/>
  <c r="C66" i="14"/>
  <c r="H63" i="14"/>
  <c r="F63" i="14"/>
  <c r="C63" i="14"/>
  <c r="H62" i="14"/>
  <c r="F62" i="14"/>
  <c r="C62" i="14"/>
  <c r="H61" i="14"/>
  <c r="F61" i="14"/>
  <c r="C61" i="14"/>
  <c r="H60" i="14"/>
  <c r="F60" i="14"/>
  <c r="C60" i="14"/>
  <c r="H59" i="14"/>
  <c r="F59" i="14"/>
  <c r="C59" i="14"/>
  <c r="H58" i="14"/>
  <c r="F58" i="14"/>
  <c r="C58" i="14"/>
  <c r="H57" i="14"/>
  <c r="F57" i="14"/>
  <c r="C57" i="14"/>
  <c r="H56" i="14"/>
  <c r="F56" i="14"/>
  <c r="C56" i="14"/>
  <c r="H55" i="14"/>
  <c r="F55" i="14"/>
  <c r="C55" i="14"/>
  <c r="H54" i="14"/>
  <c r="F54" i="14"/>
  <c r="C54" i="14"/>
  <c r="H53" i="14"/>
  <c r="F53" i="14"/>
  <c r="C53" i="14"/>
  <c r="H52" i="14"/>
  <c r="F52" i="14"/>
  <c r="C52" i="14"/>
  <c r="H51" i="14"/>
  <c r="F51" i="14"/>
  <c r="C51" i="14"/>
  <c r="H50" i="14"/>
  <c r="F50" i="14"/>
  <c r="C50" i="14"/>
  <c r="H49" i="14"/>
  <c r="F49" i="14"/>
  <c r="C49" i="14"/>
  <c r="H48" i="14"/>
  <c r="F48" i="14"/>
  <c r="C48" i="14"/>
  <c r="H47" i="14"/>
  <c r="F47" i="14"/>
  <c r="C47" i="14"/>
  <c r="H46" i="14"/>
  <c r="F46" i="14"/>
  <c r="C46" i="14"/>
  <c r="W46" i="14"/>
  <c r="V46" i="14"/>
  <c r="U45" i="14"/>
  <c r="S45" i="14"/>
  <c r="P45" i="14"/>
  <c r="U44" i="14"/>
  <c r="S44" i="14"/>
  <c r="P44" i="14"/>
  <c r="U43" i="14"/>
  <c r="S43" i="14"/>
  <c r="P43" i="14"/>
  <c r="U42" i="14"/>
  <c r="S42" i="14"/>
  <c r="P42" i="14"/>
  <c r="X40" i="14"/>
  <c r="W40" i="14"/>
  <c r="X21" i="14"/>
  <c r="W21" i="14"/>
  <c r="V39" i="14"/>
  <c r="T39" i="14"/>
  <c r="Q39" i="14"/>
  <c r="N39" i="14"/>
  <c r="V38" i="14"/>
  <c r="T38" i="14"/>
  <c r="Q38" i="14"/>
  <c r="N38" i="14"/>
  <c r="Y37" i="14"/>
  <c r="V37" i="14"/>
  <c r="T37" i="14"/>
  <c r="Q37" i="14"/>
  <c r="N37" i="14"/>
  <c r="Y36" i="14"/>
  <c r="V36" i="14"/>
  <c r="T36" i="14"/>
  <c r="Q36" i="14"/>
  <c r="N36" i="14"/>
  <c r="Y35" i="14"/>
  <c r="V35" i="14"/>
  <c r="T35" i="14"/>
  <c r="Q35" i="14"/>
  <c r="N35" i="14"/>
  <c r="Y34" i="14"/>
  <c r="V34" i="14"/>
  <c r="T34" i="14"/>
  <c r="Q34" i="14"/>
  <c r="N34" i="14"/>
  <c r="Y33" i="14"/>
  <c r="V33" i="14"/>
  <c r="T33" i="14"/>
  <c r="Q33" i="14"/>
  <c r="N33" i="14"/>
  <c r="V32" i="14"/>
  <c r="T32" i="14"/>
  <c r="Q32" i="14"/>
  <c r="N32" i="14"/>
  <c r="V31" i="14"/>
  <c r="T31" i="14"/>
  <c r="Q31" i="14"/>
  <c r="N31" i="14"/>
  <c r="V30" i="14"/>
  <c r="T30" i="14"/>
  <c r="Q30" i="14"/>
  <c r="N30" i="14"/>
  <c r="V29" i="14"/>
  <c r="T29" i="14"/>
  <c r="Q29" i="14"/>
  <c r="N29" i="14"/>
  <c r="V28" i="14"/>
  <c r="T28" i="14"/>
  <c r="Q28" i="14"/>
  <c r="N28" i="14"/>
  <c r="V27" i="14"/>
  <c r="T27" i="14"/>
  <c r="Q27" i="14"/>
  <c r="N27" i="14"/>
  <c r="V26" i="14"/>
  <c r="T26" i="14"/>
  <c r="Q26" i="14"/>
  <c r="N26" i="14"/>
  <c r="V25" i="14"/>
  <c r="T25" i="14"/>
  <c r="Q25" i="14"/>
  <c r="N25" i="14"/>
  <c r="V24" i="14"/>
  <c r="T24" i="14"/>
  <c r="Q24" i="14"/>
  <c r="N24" i="14"/>
  <c r="V20" i="14"/>
  <c r="T20" i="14"/>
  <c r="Q20" i="14"/>
  <c r="N20" i="14"/>
  <c r="V19" i="14"/>
  <c r="T19" i="14"/>
  <c r="Q19" i="14"/>
  <c r="N19" i="14"/>
  <c r="V18" i="14"/>
  <c r="T18" i="14"/>
  <c r="Q18" i="14"/>
  <c r="N18" i="14"/>
  <c r="V17" i="14"/>
  <c r="T17" i="14"/>
  <c r="Q17" i="14"/>
  <c r="N17" i="14"/>
  <c r="V16" i="14"/>
  <c r="T16" i="14"/>
  <c r="Q16" i="14"/>
  <c r="N16" i="14"/>
  <c r="V15" i="14"/>
  <c r="T15" i="14"/>
  <c r="Q15" i="14"/>
  <c r="N15" i="14"/>
  <c r="V14" i="14"/>
  <c r="T14" i="14"/>
  <c r="Q14" i="14"/>
  <c r="N14" i="14"/>
  <c r="V13" i="14"/>
  <c r="T13" i="14"/>
  <c r="Q13" i="14"/>
  <c r="N13" i="14"/>
  <c r="V12" i="14"/>
  <c r="T12" i="14"/>
  <c r="Q12" i="14"/>
  <c r="N12" i="14"/>
  <c r="V11" i="14"/>
  <c r="T11" i="14"/>
  <c r="Q11" i="14"/>
  <c r="N11" i="14"/>
  <c r="V10" i="14"/>
  <c r="T10" i="14"/>
  <c r="Q10" i="14"/>
  <c r="N10" i="14"/>
  <c r="V9" i="14"/>
  <c r="T9" i="14"/>
  <c r="Q9" i="14"/>
  <c r="N9" i="14"/>
  <c r="V8" i="14"/>
  <c r="T8" i="14"/>
  <c r="Q8" i="14"/>
  <c r="N8" i="14"/>
  <c r="V7" i="14"/>
  <c r="T7" i="14"/>
  <c r="Q7" i="14"/>
  <c r="N7" i="14"/>
  <c r="V6" i="14"/>
  <c r="T6" i="14"/>
  <c r="Q6" i="14"/>
  <c r="N6" i="14"/>
  <c r="V5" i="14"/>
  <c r="T5" i="14"/>
  <c r="Q5" i="14"/>
  <c r="N5" i="14"/>
  <c r="V4" i="14"/>
  <c r="T4" i="14"/>
  <c r="Q4" i="14"/>
  <c r="N4" i="14"/>
  <c r="V3" i="14"/>
  <c r="T3" i="14"/>
  <c r="Q3" i="14"/>
  <c r="N3" i="14"/>
  <c r="K40" i="14"/>
  <c r="J40" i="14"/>
  <c r="K33" i="14"/>
  <c r="J33" i="14"/>
  <c r="K22" i="14"/>
  <c r="L22" i="14" s="1"/>
  <c r="J22" i="14"/>
  <c r="L38" i="14"/>
  <c r="I38" i="14"/>
  <c r="G38" i="14"/>
  <c r="D38" i="14"/>
  <c r="A38" i="14"/>
  <c r="L37" i="14"/>
  <c r="I37" i="14"/>
  <c r="G37" i="14"/>
  <c r="D37" i="14"/>
  <c r="A37" i="14"/>
  <c r="L36" i="14"/>
  <c r="I36" i="14"/>
  <c r="G36" i="14"/>
  <c r="D36" i="14"/>
  <c r="A36" i="14"/>
  <c r="L35" i="14"/>
  <c r="I35" i="14"/>
  <c r="G35" i="14"/>
  <c r="D35" i="14"/>
  <c r="A35" i="14"/>
  <c r="L32" i="14"/>
  <c r="I32" i="14"/>
  <c r="G32" i="14"/>
  <c r="D32" i="14"/>
  <c r="A32" i="14"/>
  <c r="L31" i="14"/>
  <c r="I31" i="14"/>
  <c r="G31" i="14"/>
  <c r="D31" i="14"/>
  <c r="A31" i="14"/>
  <c r="L30" i="14"/>
  <c r="I30" i="14"/>
  <c r="G30" i="14"/>
  <c r="D30" i="14"/>
  <c r="A30" i="14"/>
  <c r="L29" i="14"/>
  <c r="I29" i="14"/>
  <c r="G29" i="14"/>
  <c r="D29" i="14"/>
  <c r="A29" i="14"/>
  <c r="L28" i="14"/>
  <c r="I28" i="14"/>
  <c r="G28" i="14"/>
  <c r="D28" i="14"/>
  <c r="A28" i="14"/>
  <c r="L27" i="14"/>
  <c r="I27" i="14"/>
  <c r="G27" i="14"/>
  <c r="D27" i="14"/>
  <c r="A27" i="14"/>
  <c r="L26" i="14"/>
  <c r="I26" i="14"/>
  <c r="G26" i="14"/>
  <c r="D26" i="14"/>
  <c r="A26" i="14"/>
  <c r="L25" i="14"/>
  <c r="I25" i="14"/>
  <c r="G25" i="14"/>
  <c r="D25" i="14"/>
  <c r="A25" i="14"/>
  <c r="L24" i="14"/>
  <c r="I24" i="14"/>
  <c r="G24" i="14"/>
  <c r="D24" i="14"/>
  <c r="A24" i="14"/>
  <c r="L21" i="14"/>
  <c r="I21" i="14"/>
  <c r="G21" i="14"/>
  <c r="D21" i="14"/>
  <c r="A21" i="14"/>
  <c r="L20" i="14"/>
  <c r="I20" i="14"/>
  <c r="G20" i="14"/>
  <c r="D20" i="14"/>
  <c r="A20" i="14"/>
  <c r="L19" i="14"/>
  <c r="I19" i="14"/>
  <c r="G19" i="14"/>
  <c r="D19" i="14"/>
  <c r="A19" i="14"/>
  <c r="L18" i="14"/>
  <c r="I18" i="14"/>
  <c r="G18" i="14"/>
  <c r="D18" i="14"/>
  <c r="A18" i="14"/>
  <c r="L17" i="14"/>
  <c r="I17" i="14"/>
  <c r="G17" i="14"/>
  <c r="D17" i="14"/>
  <c r="A17" i="14"/>
  <c r="L16" i="14"/>
  <c r="I16" i="14"/>
  <c r="G16" i="14"/>
  <c r="D16" i="14"/>
  <c r="A16" i="14"/>
  <c r="L15" i="14"/>
  <c r="I15" i="14"/>
  <c r="G15" i="14"/>
  <c r="D15" i="14"/>
  <c r="A15" i="14"/>
  <c r="L14" i="14"/>
  <c r="I14" i="14"/>
  <c r="G14" i="14"/>
  <c r="D14" i="14"/>
  <c r="A14" i="14"/>
  <c r="L13" i="14"/>
  <c r="I13" i="14"/>
  <c r="G13" i="14"/>
  <c r="D13" i="14"/>
  <c r="A13" i="14"/>
  <c r="L12" i="14"/>
  <c r="I12" i="14"/>
  <c r="G12" i="14"/>
  <c r="D12" i="14"/>
  <c r="A12" i="14"/>
  <c r="L11" i="14"/>
  <c r="I11" i="14"/>
  <c r="G11" i="14"/>
  <c r="D11" i="14"/>
  <c r="A11" i="14"/>
  <c r="L10" i="14"/>
  <c r="I10" i="14"/>
  <c r="G10" i="14"/>
  <c r="D10" i="14"/>
  <c r="A10" i="14"/>
  <c r="L9" i="14"/>
  <c r="I9" i="14"/>
  <c r="G9" i="14"/>
  <c r="D9" i="14"/>
  <c r="A9" i="14"/>
  <c r="L8" i="14"/>
  <c r="I8" i="14"/>
  <c r="G8" i="14"/>
  <c r="D8" i="14"/>
  <c r="A8" i="14"/>
  <c r="L7" i="14"/>
  <c r="I7" i="14"/>
  <c r="G7" i="14"/>
  <c r="D7" i="14"/>
  <c r="A7" i="14"/>
  <c r="L6" i="14"/>
  <c r="I6" i="14"/>
  <c r="G6" i="14"/>
  <c r="D6" i="14"/>
  <c r="A6" i="14"/>
  <c r="L5" i="14"/>
  <c r="I5" i="14"/>
  <c r="G5" i="14"/>
  <c r="D5" i="14"/>
  <c r="A5" i="14"/>
  <c r="L4" i="14"/>
  <c r="I4" i="14"/>
  <c r="G4" i="14"/>
  <c r="D4" i="14"/>
  <c r="A4" i="14"/>
  <c r="L3" i="14"/>
  <c r="I3" i="14"/>
  <c r="G3" i="14"/>
  <c r="D3" i="14"/>
  <c r="A3" i="14"/>
  <c r="Y21" i="14" l="1"/>
  <c r="L40" i="14"/>
  <c r="X46" i="14"/>
  <c r="H80" i="14"/>
  <c r="K88" i="14"/>
  <c r="Y40" i="14"/>
  <c r="L33" i="14"/>
  <c r="A502" i="1"/>
  <c r="J368" i="1" l="1"/>
  <c r="J181" i="1"/>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A476" i="1" l="1"/>
  <c r="A475" i="1"/>
  <c r="A474" i="1"/>
  <c r="A473" i="1"/>
  <c r="A365" i="1"/>
  <c r="A364" i="1"/>
  <c r="A363" i="1"/>
  <c r="A362" i="1"/>
  <c r="A361" i="1"/>
  <c r="A178" i="1"/>
  <c r="A177" i="1"/>
  <c r="A176" i="1"/>
  <c r="A175" i="1"/>
  <c r="A472" i="1"/>
  <c r="A471" i="1"/>
  <c r="A470" i="1"/>
  <c r="A360" i="1"/>
  <c r="A359" i="1"/>
  <c r="A358" i="1"/>
  <c r="J177" i="1"/>
  <c r="L177" i="1" s="1"/>
  <c r="G177" i="1"/>
  <c r="D177" i="1"/>
  <c r="J472" i="1"/>
  <c r="I177" i="1" l="1"/>
  <c r="J172" i="1"/>
  <c r="J353" i="1" l="1"/>
  <c r="J167" i="1"/>
  <c r="D265" i="7" l="1"/>
  <c r="E265" i="7"/>
  <c r="F265" i="7"/>
  <c r="H265" i="7" s="1"/>
  <c r="D266" i="7"/>
  <c r="E266" i="7"/>
  <c r="F266" i="7"/>
  <c r="H266" i="7" s="1"/>
  <c r="D267" i="7"/>
  <c r="E267" i="7"/>
  <c r="F267" i="7"/>
  <c r="H267" i="7" s="1"/>
  <c r="D268" i="7"/>
  <c r="E268" i="7"/>
  <c r="F268" i="7"/>
  <c r="H268" i="7" s="1"/>
  <c r="D269" i="7"/>
  <c r="E269" i="7"/>
  <c r="F269" i="7"/>
  <c r="H269" i="7" s="1"/>
  <c r="D208" i="7"/>
  <c r="E208" i="7"/>
  <c r="F208" i="7"/>
  <c r="H208" i="7" s="1"/>
  <c r="D209" i="7"/>
  <c r="E209" i="7"/>
  <c r="F209" i="7"/>
  <c r="H209" i="7" s="1"/>
  <c r="D210" i="7"/>
  <c r="E210" i="7"/>
  <c r="F210" i="7"/>
  <c r="H210" i="7" s="1"/>
  <c r="D211" i="7"/>
  <c r="E211" i="7"/>
  <c r="F211" i="7"/>
  <c r="H211" i="7" s="1"/>
  <c r="D212" i="7"/>
  <c r="E212" i="7"/>
  <c r="F212" i="7"/>
  <c r="H212" i="7" s="1"/>
  <c r="D213" i="7"/>
  <c r="E213" i="7"/>
  <c r="F213" i="7"/>
  <c r="H213" i="7" s="1"/>
  <c r="D214" i="7"/>
  <c r="E214" i="7"/>
  <c r="F214" i="7"/>
  <c r="H214" i="7" s="1"/>
  <c r="D215" i="7"/>
  <c r="E215" i="7"/>
  <c r="F215" i="7"/>
  <c r="H215" i="7" s="1"/>
  <c r="D216" i="7"/>
  <c r="E216" i="7"/>
  <c r="F216" i="7"/>
  <c r="H216" i="7" s="1"/>
  <c r="D217" i="7"/>
  <c r="E217" i="7"/>
  <c r="F217" i="7"/>
  <c r="H217" i="7" s="1"/>
  <c r="D218" i="7"/>
  <c r="E218" i="7"/>
  <c r="F218" i="7"/>
  <c r="H218" i="7" s="1"/>
  <c r="D219" i="7"/>
  <c r="E219" i="7"/>
  <c r="F219" i="7"/>
  <c r="H219" i="7" s="1"/>
  <c r="D220" i="7"/>
  <c r="E220" i="7"/>
  <c r="F220" i="7"/>
  <c r="H220" i="7" s="1"/>
  <c r="D221" i="7"/>
  <c r="E221" i="7"/>
  <c r="F221" i="7"/>
  <c r="H221" i="7" s="1"/>
  <c r="D222" i="7"/>
  <c r="E222" i="7"/>
  <c r="F222" i="7"/>
  <c r="H222" i="7" s="1"/>
  <c r="D223" i="7"/>
  <c r="E223" i="7"/>
  <c r="F223" i="7"/>
  <c r="H223" i="7" s="1"/>
  <c r="D224" i="7"/>
  <c r="E224" i="7"/>
  <c r="F224" i="7"/>
  <c r="H224" i="7" s="1"/>
  <c r="D225" i="7"/>
  <c r="E225" i="7"/>
  <c r="F225" i="7"/>
  <c r="H225" i="7" s="1"/>
  <c r="D226" i="7"/>
  <c r="E226" i="7"/>
  <c r="F226" i="7"/>
  <c r="H226" i="7" s="1"/>
  <c r="D227" i="7"/>
  <c r="E227" i="7"/>
  <c r="F227" i="7"/>
  <c r="H227" i="7" s="1"/>
  <c r="D228" i="7"/>
  <c r="E228" i="7"/>
  <c r="F228" i="7"/>
  <c r="H228" i="7" s="1"/>
  <c r="D229" i="7"/>
  <c r="E229" i="7"/>
  <c r="F229" i="7"/>
  <c r="H229" i="7" s="1"/>
  <c r="D230" i="7"/>
  <c r="E230" i="7"/>
  <c r="F230" i="7"/>
  <c r="H230" i="7" s="1"/>
  <c r="D231" i="7"/>
  <c r="E231" i="7"/>
  <c r="F231" i="7"/>
  <c r="H231" i="7" s="1"/>
  <c r="D232" i="7"/>
  <c r="E232" i="7"/>
  <c r="F232" i="7"/>
  <c r="H232" i="7" s="1"/>
  <c r="D233" i="7"/>
  <c r="E233" i="7"/>
  <c r="F233" i="7"/>
  <c r="H233" i="7" s="1"/>
  <c r="D234" i="7"/>
  <c r="E234" i="7"/>
  <c r="F234" i="7"/>
  <c r="H234" i="7" s="1"/>
  <c r="D235" i="7"/>
  <c r="E235" i="7"/>
  <c r="F235" i="7"/>
  <c r="H235" i="7" s="1"/>
  <c r="D236" i="7"/>
  <c r="E236" i="7"/>
  <c r="F236" i="7"/>
  <c r="H236" i="7" s="1"/>
  <c r="D237" i="7"/>
  <c r="E237" i="7"/>
  <c r="F237" i="7"/>
  <c r="H237" i="7" s="1"/>
  <c r="D238" i="7"/>
  <c r="E238" i="7"/>
  <c r="F238" i="7"/>
  <c r="H238" i="7" s="1"/>
  <c r="D239" i="7"/>
  <c r="E239" i="7"/>
  <c r="F239" i="7"/>
  <c r="H239" i="7" s="1"/>
  <c r="D240" i="7"/>
  <c r="E240" i="7"/>
  <c r="F240" i="7"/>
  <c r="H240" i="7" s="1"/>
  <c r="D241" i="7"/>
  <c r="E241" i="7"/>
  <c r="F241" i="7"/>
  <c r="H241" i="7" s="1"/>
  <c r="D242" i="7"/>
  <c r="E242" i="7"/>
  <c r="F242" i="7"/>
  <c r="H242" i="7" s="1"/>
  <c r="D243" i="7"/>
  <c r="E243" i="7"/>
  <c r="F243" i="7"/>
  <c r="H243" i="7" s="1"/>
  <c r="D244" i="7"/>
  <c r="E244" i="7"/>
  <c r="F244" i="7"/>
  <c r="H244" i="7" s="1"/>
  <c r="D245" i="7"/>
  <c r="E245" i="7"/>
  <c r="F245" i="7"/>
  <c r="H245" i="7" s="1"/>
  <c r="D246" i="7"/>
  <c r="E246" i="7"/>
  <c r="F246" i="7"/>
  <c r="H246" i="7" s="1"/>
  <c r="D247" i="7"/>
  <c r="E247" i="7"/>
  <c r="F247" i="7"/>
  <c r="H247" i="7" s="1"/>
  <c r="D248" i="7"/>
  <c r="E248" i="7"/>
  <c r="F248" i="7"/>
  <c r="H248" i="7" s="1"/>
  <c r="D249" i="7"/>
  <c r="E249" i="7"/>
  <c r="F249" i="7"/>
  <c r="H249" i="7" s="1"/>
  <c r="D250" i="7"/>
  <c r="E250" i="7"/>
  <c r="F250" i="7"/>
  <c r="H250" i="7" s="1"/>
  <c r="D251" i="7"/>
  <c r="E251" i="7"/>
  <c r="F251" i="7"/>
  <c r="H251" i="7" s="1"/>
  <c r="D252" i="7"/>
  <c r="E252" i="7"/>
  <c r="F252" i="7"/>
  <c r="H252" i="7" s="1"/>
  <c r="D253" i="7"/>
  <c r="E253" i="7"/>
  <c r="F253" i="7"/>
  <c r="H253" i="7" s="1"/>
  <c r="D254" i="7"/>
  <c r="E254" i="7"/>
  <c r="F254" i="7"/>
  <c r="H254" i="7" s="1"/>
  <c r="D255" i="7"/>
  <c r="E255" i="7"/>
  <c r="F255" i="7"/>
  <c r="H255" i="7" s="1"/>
  <c r="D256" i="7"/>
  <c r="E256" i="7"/>
  <c r="F256" i="7"/>
  <c r="H256" i="7" s="1"/>
  <c r="D257" i="7"/>
  <c r="E257" i="7"/>
  <c r="F257" i="7"/>
  <c r="H257" i="7" s="1"/>
  <c r="D258" i="7"/>
  <c r="E258" i="7"/>
  <c r="F258" i="7"/>
  <c r="H258" i="7" s="1"/>
  <c r="D259" i="7"/>
  <c r="E259" i="7"/>
  <c r="F259" i="7"/>
  <c r="H259" i="7" s="1"/>
  <c r="D260" i="7"/>
  <c r="E260" i="7"/>
  <c r="F260" i="7"/>
  <c r="H260" i="7" s="1"/>
  <c r="D261" i="7"/>
  <c r="E261" i="7"/>
  <c r="F261" i="7"/>
  <c r="H261" i="7" s="1"/>
  <c r="D262" i="7"/>
  <c r="E262" i="7"/>
  <c r="F262" i="7"/>
  <c r="H262" i="7" s="1"/>
  <c r="D263" i="7"/>
  <c r="E263" i="7"/>
  <c r="F263" i="7"/>
  <c r="H263" i="7" s="1"/>
  <c r="D264" i="7"/>
  <c r="E264" i="7"/>
  <c r="F264" i="7"/>
  <c r="H264" i="7" s="1"/>
  <c r="D270" i="7"/>
  <c r="E270" i="7"/>
  <c r="F270" i="7"/>
  <c r="H270" i="7" s="1"/>
  <c r="D271" i="7"/>
  <c r="E271" i="7"/>
  <c r="F271" i="7"/>
  <c r="H271" i="7" s="1"/>
  <c r="D272" i="7"/>
  <c r="E272" i="7"/>
  <c r="F272" i="7"/>
  <c r="H272" i="7" s="1"/>
  <c r="D273" i="7"/>
  <c r="E273" i="7"/>
  <c r="F273" i="7"/>
  <c r="H273" i="7" s="1"/>
  <c r="D274" i="7"/>
  <c r="E274" i="7"/>
  <c r="F274" i="7"/>
  <c r="H274" i="7" s="1"/>
  <c r="D275" i="7"/>
  <c r="E275" i="7"/>
  <c r="F275" i="7"/>
  <c r="H275" i="7" s="1"/>
  <c r="D276" i="7"/>
  <c r="E276" i="7"/>
  <c r="F276" i="7"/>
  <c r="H276" i="7" s="1"/>
  <c r="D277" i="7"/>
  <c r="E277" i="7"/>
  <c r="F277" i="7"/>
  <c r="H277" i="7" s="1"/>
  <c r="D278" i="7"/>
  <c r="E278" i="7"/>
  <c r="F278" i="7"/>
  <c r="H278" i="7" s="1"/>
  <c r="D279" i="7"/>
  <c r="E279" i="7"/>
  <c r="F279" i="7"/>
  <c r="H279" i="7" s="1"/>
  <c r="D280" i="7"/>
  <c r="E280" i="7"/>
  <c r="F280" i="7"/>
  <c r="H280" i="7" s="1"/>
  <c r="D281" i="7"/>
  <c r="E281" i="7"/>
  <c r="F281" i="7"/>
  <c r="H281" i="7" s="1"/>
  <c r="D282" i="7"/>
  <c r="E282" i="7"/>
  <c r="F282" i="7"/>
  <c r="H282" i="7" s="1"/>
  <c r="D283" i="7"/>
  <c r="E283" i="7"/>
  <c r="F283" i="7"/>
  <c r="H283" i="7" s="1"/>
  <c r="D284" i="7"/>
  <c r="E284" i="7"/>
  <c r="F284" i="7"/>
  <c r="H284" i="7" s="1"/>
  <c r="D285" i="7"/>
  <c r="E285" i="7"/>
  <c r="F285" i="7"/>
  <c r="H285" i="7" s="1"/>
  <c r="D286" i="7"/>
  <c r="E286" i="7"/>
  <c r="F286" i="7"/>
  <c r="H286" i="7" s="1"/>
  <c r="D287" i="7"/>
  <c r="E287" i="7"/>
  <c r="F287" i="7"/>
  <c r="H287" i="7" s="1"/>
  <c r="D288" i="7"/>
  <c r="E288" i="7"/>
  <c r="F288" i="7"/>
  <c r="H288" i="7" s="1"/>
  <c r="D289" i="7"/>
  <c r="E289" i="7"/>
  <c r="F289" i="7"/>
  <c r="H289" i="7" s="1"/>
  <c r="D290" i="7"/>
  <c r="E290" i="7"/>
  <c r="F290" i="7"/>
  <c r="H290" i="7" s="1"/>
  <c r="D291" i="7"/>
  <c r="E291" i="7"/>
  <c r="F291" i="7"/>
  <c r="H291" i="7" s="1"/>
  <c r="D292" i="7"/>
  <c r="E292" i="7"/>
  <c r="F292" i="7"/>
  <c r="H292" i="7" s="1"/>
  <c r="D293" i="7"/>
  <c r="E293" i="7"/>
  <c r="F293" i="7"/>
  <c r="H293" i="7" s="1"/>
  <c r="D294" i="7"/>
  <c r="E294" i="7"/>
  <c r="F294" i="7"/>
  <c r="H294" i="7" s="1"/>
  <c r="D295" i="7"/>
  <c r="E295" i="7"/>
  <c r="F295" i="7"/>
  <c r="H295" i="7" s="1"/>
  <c r="D296" i="7"/>
  <c r="E296" i="7"/>
  <c r="F296" i="7"/>
  <c r="H296" i="7" s="1"/>
  <c r="D297" i="7"/>
  <c r="E297" i="7"/>
  <c r="F297" i="7"/>
  <c r="H297" i="7" s="1"/>
  <c r="D298" i="7"/>
  <c r="E298" i="7"/>
  <c r="F298" i="7"/>
  <c r="H298" i="7" s="1"/>
  <c r="D299" i="7"/>
  <c r="E299" i="7"/>
  <c r="F299" i="7"/>
  <c r="H299" i="7" s="1"/>
  <c r="D300" i="7"/>
  <c r="E300" i="7"/>
  <c r="F300" i="7"/>
  <c r="H300" i="7" s="1"/>
  <c r="D301" i="7"/>
  <c r="E301" i="7"/>
  <c r="F301" i="7"/>
  <c r="H301" i="7" s="1"/>
  <c r="D302" i="7"/>
  <c r="E302" i="7"/>
  <c r="F302" i="7"/>
  <c r="H302" i="7" s="1"/>
  <c r="D303" i="7"/>
  <c r="E303" i="7"/>
  <c r="F303" i="7"/>
  <c r="H303" i="7" s="1"/>
  <c r="D304" i="7"/>
  <c r="E304" i="7"/>
  <c r="F304" i="7"/>
  <c r="H304" i="7" s="1"/>
  <c r="D305" i="7"/>
  <c r="E305" i="7"/>
  <c r="F305" i="7"/>
  <c r="H305" i="7" s="1"/>
  <c r="D306" i="7"/>
  <c r="E306" i="7"/>
  <c r="F306" i="7"/>
  <c r="H306" i="7" s="1"/>
  <c r="D307" i="7"/>
  <c r="E307" i="7"/>
  <c r="F307" i="7"/>
  <c r="H307" i="7" s="1"/>
  <c r="D308" i="7"/>
  <c r="E308" i="7"/>
  <c r="F308" i="7"/>
  <c r="H308" i="7" s="1"/>
  <c r="D309" i="7"/>
  <c r="E309" i="7"/>
  <c r="F309" i="7"/>
  <c r="H309" i="7" s="1"/>
  <c r="D310" i="7"/>
  <c r="E310" i="7"/>
  <c r="F310" i="7"/>
  <c r="H310" i="7" s="1"/>
  <c r="D311" i="7"/>
  <c r="E311" i="7"/>
  <c r="F311" i="7"/>
  <c r="H311" i="7" s="1"/>
  <c r="D312" i="7"/>
  <c r="E312" i="7"/>
  <c r="F312" i="7"/>
  <c r="H312" i="7" s="1"/>
  <c r="D313" i="7"/>
  <c r="E313" i="7"/>
  <c r="F313" i="7"/>
  <c r="H313" i="7" s="1"/>
  <c r="D314" i="7"/>
  <c r="E314" i="7"/>
  <c r="F314" i="7"/>
  <c r="H314" i="7" s="1"/>
  <c r="D315" i="7"/>
  <c r="E315" i="7"/>
  <c r="F315" i="7"/>
  <c r="H315" i="7" s="1"/>
  <c r="D316" i="7"/>
  <c r="E316" i="7"/>
  <c r="F316" i="7"/>
  <c r="H316" i="7" s="1"/>
  <c r="D317" i="7"/>
  <c r="E317" i="7"/>
  <c r="F317" i="7"/>
  <c r="H317" i="7" s="1"/>
  <c r="D318" i="7"/>
  <c r="E318" i="7"/>
  <c r="F318" i="7"/>
  <c r="H318" i="7" s="1"/>
  <c r="D319" i="7"/>
  <c r="E319" i="7"/>
  <c r="F319" i="7"/>
  <c r="H319" i="7" s="1"/>
  <c r="D320" i="7"/>
  <c r="E320" i="7"/>
  <c r="F320" i="7"/>
  <c r="H320" i="7" s="1"/>
  <c r="D321" i="7"/>
  <c r="E321" i="7"/>
  <c r="F321" i="7"/>
  <c r="H321" i="7" s="1"/>
  <c r="D322" i="7"/>
  <c r="E322" i="7"/>
  <c r="F322" i="7"/>
  <c r="H322" i="7" s="1"/>
  <c r="D323" i="7"/>
  <c r="E323" i="7"/>
  <c r="F323" i="7"/>
  <c r="H323" i="7" s="1"/>
  <c r="D324" i="7"/>
  <c r="E324" i="7"/>
  <c r="F324" i="7"/>
  <c r="H324" i="7" s="1"/>
  <c r="D325" i="7"/>
  <c r="E325" i="7"/>
  <c r="F325" i="7"/>
  <c r="H325" i="7" s="1"/>
  <c r="D326" i="7"/>
  <c r="E326" i="7"/>
  <c r="F326" i="7"/>
  <c r="H326" i="7" s="1"/>
  <c r="D327" i="7"/>
  <c r="E327" i="7"/>
  <c r="F327" i="7"/>
  <c r="H327" i="7" s="1"/>
  <c r="D328" i="7"/>
  <c r="E328" i="7"/>
  <c r="F328" i="7"/>
  <c r="H328" i="7" s="1"/>
  <c r="D329" i="7"/>
  <c r="E329" i="7"/>
  <c r="F329" i="7"/>
  <c r="H329" i="7" s="1"/>
  <c r="D330" i="7"/>
  <c r="E330" i="7"/>
  <c r="F330" i="7"/>
  <c r="H330" i="7" s="1"/>
  <c r="D331" i="7"/>
  <c r="E331" i="7"/>
  <c r="F331" i="7"/>
  <c r="H331" i="7" s="1"/>
  <c r="D336" i="7"/>
  <c r="E336" i="7"/>
  <c r="F336" i="7"/>
  <c r="H336" i="7" s="1"/>
  <c r="D337" i="7"/>
  <c r="E337" i="7"/>
  <c r="F337" i="7"/>
  <c r="H337" i="7" s="1"/>
  <c r="D338" i="7"/>
  <c r="E338" i="7"/>
  <c r="F338" i="7"/>
  <c r="H338" i="7" s="1"/>
  <c r="D339" i="7"/>
  <c r="E339" i="7"/>
  <c r="F339" i="7"/>
  <c r="H339" i="7" s="1"/>
  <c r="D340" i="7"/>
  <c r="E340" i="7"/>
  <c r="F340" i="7"/>
  <c r="H340" i="7" s="1"/>
  <c r="D341" i="7"/>
  <c r="E341" i="7"/>
  <c r="F341" i="7"/>
  <c r="H341" i="7" s="1"/>
  <c r="D342" i="7"/>
  <c r="E342" i="7"/>
  <c r="F342" i="7"/>
  <c r="H342" i="7" s="1"/>
  <c r="D343" i="7"/>
  <c r="E343" i="7"/>
  <c r="F343" i="7"/>
  <c r="H343" i="7" s="1"/>
  <c r="D344" i="7"/>
  <c r="E344" i="7"/>
  <c r="F344" i="7"/>
  <c r="H344" i="7" s="1"/>
  <c r="D345" i="7"/>
  <c r="E345" i="7"/>
  <c r="F345" i="7"/>
  <c r="H345" i="7" s="1"/>
  <c r="D346" i="7"/>
  <c r="E346" i="7"/>
  <c r="F346" i="7"/>
  <c r="H346" i="7" s="1"/>
  <c r="D347" i="7"/>
  <c r="E347" i="7"/>
  <c r="F347" i="7"/>
  <c r="H347" i="7" s="1"/>
  <c r="D348" i="7"/>
  <c r="E348" i="7"/>
  <c r="F348" i="7"/>
  <c r="H348" i="7" s="1"/>
  <c r="D349" i="7"/>
  <c r="E349" i="7"/>
  <c r="F349" i="7"/>
  <c r="H349" i="7" s="1"/>
  <c r="D350" i="7"/>
  <c r="E350" i="7"/>
  <c r="F350" i="7"/>
  <c r="H350" i="7" s="1"/>
  <c r="D351" i="7"/>
  <c r="E351" i="7"/>
  <c r="F351" i="7"/>
  <c r="H351" i="7" s="1"/>
  <c r="D352" i="7"/>
  <c r="E352" i="7"/>
  <c r="F352" i="7"/>
  <c r="H352" i="7" s="1"/>
  <c r="D353" i="7"/>
  <c r="E353" i="7"/>
  <c r="F353" i="7"/>
  <c r="H353" i="7" s="1"/>
  <c r="D354" i="7"/>
  <c r="E354" i="7"/>
  <c r="F354" i="7"/>
  <c r="H354" i="7" s="1"/>
  <c r="D355" i="7"/>
  <c r="E355" i="7"/>
  <c r="F355" i="7"/>
  <c r="H355" i="7" s="1"/>
  <c r="D356" i="7"/>
  <c r="E356" i="7"/>
  <c r="F356" i="7"/>
  <c r="H356" i="7" s="1"/>
  <c r="D357" i="7"/>
  <c r="E357" i="7"/>
  <c r="F357" i="7"/>
  <c r="H357" i="7" s="1"/>
  <c r="D358" i="7"/>
  <c r="E358" i="7"/>
  <c r="F358" i="7"/>
  <c r="H358" i="7" s="1"/>
  <c r="D359" i="7"/>
  <c r="E359" i="7"/>
  <c r="F359" i="7"/>
  <c r="H359" i="7" s="1"/>
  <c r="D360" i="7"/>
  <c r="E360" i="7"/>
  <c r="F360" i="7"/>
  <c r="H360" i="7" s="1"/>
  <c r="D361" i="7"/>
  <c r="E361" i="7"/>
  <c r="F361" i="7"/>
  <c r="H361" i="7" s="1"/>
  <c r="D362" i="7"/>
  <c r="E362" i="7"/>
  <c r="F362" i="7"/>
  <c r="H362" i="7" s="1"/>
  <c r="D363" i="7"/>
  <c r="E363" i="7"/>
  <c r="F363" i="7"/>
  <c r="H363" i="7" s="1"/>
  <c r="D364" i="7"/>
  <c r="E364" i="7"/>
  <c r="F364" i="7"/>
  <c r="H364" i="7" s="1"/>
  <c r="D365" i="7"/>
  <c r="E365" i="7"/>
  <c r="F365" i="7"/>
  <c r="H365" i="7" s="1"/>
  <c r="D366" i="7"/>
  <c r="E366" i="7"/>
  <c r="F366" i="7"/>
  <c r="H366" i="7" s="1"/>
  <c r="D367" i="7"/>
  <c r="E367" i="7"/>
  <c r="F367" i="7"/>
  <c r="H367" i="7" s="1"/>
  <c r="D368" i="7"/>
  <c r="E368" i="7"/>
  <c r="F368" i="7"/>
  <c r="H368" i="7" s="1"/>
  <c r="D369" i="7"/>
  <c r="E369" i="7"/>
  <c r="F369" i="7"/>
  <c r="H369" i="7" s="1"/>
  <c r="D370" i="7"/>
  <c r="E370" i="7"/>
  <c r="F370" i="7"/>
  <c r="H370" i="7" s="1"/>
  <c r="D371" i="7"/>
  <c r="E371" i="7"/>
  <c r="F371" i="7"/>
  <c r="H371" i="7" s="1"/>
  <c r="D372" i="7"/>
  <c r="E372" i="7"/>
  <c r="F372" i="7"/>
  <c r="H372" i="7" s="1"/>
  <c r="D373" i="7"/>
  <c r="E373" i="7"/>
  <c r="F373" i="7"/>
  <c r="H373" i="7" s="1"/>
  <c r="D374" i="7"/>
  <c r="E374" i="7"/>
  <c r="F374" i="7"/>
  <c r="H374" i="7" s="1"/>
  <c r="D375" i="7"/>
  <c r="E375" i="7"/>
  <c r="F375" i="7"/>
  <c r="H375" i="7" s="1"/>
  <c r="D376" i="7"/>
  <c r="E376" i="7"/>
  <c r="F376" i="7"/>
  <c r="H376" i="7" s="1"/>
  <c r="D377" i="7"/>
  <c r="E377" i="7"/>
  <c r="F377" i="7"/>
  <c r="H377" i="7" s="1"/>
  <c r="D378" i="7"/>
  <c r="E378" i="7"/>
  <c r="F378" i="7"/>
  <c r="H378" i="7" s="1"/>
  <c r="D379" i="7"/>
  <c r="E379" i="7"/>
  <c r="F379" i="7"/>
  <c r="H379" i="7" s="1"/>
  <c r="D380" i="7"/>
  <c r="E380" i="7"/>
  <c r="F380" i="7"/>
  <c r="H380" i="7" s="1"/>
  <c r="D381" i="7"/>
  <c r="E381" i="7"/>
  <c r="F381" i="7"/>
  <c r="H381" i="7" s="1"/>
  <c r="D382" i="7"/>
  <c r="E382" i="7"/>
  <c r="F382" i="7"/>
  <c r="H382" i="7" s="1"/>
  <c r="D383" i="7"/>
  <c r="E383" i="7"/>
  <c r="F383" i="7"/>
  <c r="H383" i="7" s="1"/>
  <c r="D384" i="7"/>
  <c r="E384" i="7"/>
  <c r="F384" i="7"/>
  <c r="H384" i="7" s="1"/>
  <c r="D385" i="7"/>
  <c r="E385" i="7"/>
  <c r="F385" i="7"/>
  <c r="H385" i="7" s="1"/>
  <c r="D386" i="7"/>
  <c r="E386" i="7"/>
  <c r="F386" i="7"/>
  <c r="H386" i="7" s="1"/>
  <c r="D387" i="7"/>
  <c r="E387" i="7"/>
  <c r="F387" i="7"/>
  <c r="H387" i="7" s="1"/>
  <c r="D388" i="7"/>
  <c r="E388" i="7"/>
  <c r="F388" i="7"/>
  <c r="H388" i="7" s="1"/>
  <c r="D389" i="7"/>
  <c r="E389" i="7"/>
  <c r="F389" i="7"/>
  <c r="H389" i="7" s="1"/>
  <c r="D390" i="7"/>
  <c r="E390" i="7"/>
  <c r="F390" i="7"/>
  <c r="H390" i="7" s="1"/>
  <c r="D391" i="7"/>
  <c r="E391" i="7"/>
  <c r="F391" i="7"/>
  <c r="H391" i="7" s="1"/>
  <c r="D392" i="7"/>
  <c r="E392" i="7"/>
  <c r="F392" i="7"/>
  <c r="H392" i="7" s="1"/>
  <c r="D393" i="7"/>
  <c r="E393" i="7"/>
  <c r="F393" i="7"/>
  <c r="H393" i="7" s="1"/>
  <c r="D394" i="7"/>
  <c r="E394" i="7"/>
  <c r="F394" i="7"/>
  <c r="H394" i="7" s="1"/>
  <c r="D395" i="7"/>
  <c r="E395" i="7"/>
  <c r="F395" i="7"/>
  <c r="H395" i="7" s="1"/>
  <c r="D396" i="7"/>
  <c r="E396" i="7"/>
  <c r="F396" i="7"/>
  <c r="H396" i="7" s="1"/>
  <c r="D397" i="7"/>
  <c r="E397" i="7"/>
  <c r="F397" i="7"/>
  <c r="H397" i="7" s="1"/>
  <c r="D398" i="7"/>
  <c r="E398" i="7"/>
  <c r="F398" i="7"/>
  <c r="H398" i="7" s="1"/>
  <c r="D399" i="7"/>
  <c r="E399" i="7"/>
  <c r="F399" i="7"/>
  <c r="H399" i="7" s="1"/>
  <c r="D400" i="7"/>
  <c r="E400" i="7"/>
  <c r="F400" i="7"/>
  <c r="H400" i="7" s="1"/>
  <c r="D401" i="7"/>
  <c r="E401" i="7"/>
  <c r="F401" i="7"/>
  <c r="H401" i="7" s="1"/>
  <c r="D402" i="7"/>
  <c r="E402" i="7"/>
  <c r="F402" i="7"/>
  <c r="H402" i="7" s="1"/>
  <c r="D403" i="7"/>
  <c r="E403" i="7"/>
  <c r="F403" i="7"/>
  <c r="H403" i="7" s="1"/>
  <c r="D404" i="7"/>
  <c r="E404" i="7"/>
  <c r="F404" i="7"/>
  <c r="H404" i="7" s="1"/>
  <c r="D405" i="7"/>
  <c r="E405" i="7"/>
  <c r="F405" i="7"/>
  <c r="H405" i="7" s="1"/>
  <c r="D406" i="7"/>
  <c r="E406" i="7"/>
  <c r="F406" i="7"/>
  <c r="H406" i="7" s="1"/>
  <c r="D407" i="7"/>
  <c r="E407" i="7"/>
  <c r="F407" i="7"/>
  <c r="H407" i="7" s="1"/>
  <c r="D408" i="7"/>
  <c r="E408" i="7"/>
  <c r="F408" i="7"/>
  <c r="H408" i="7" s="1"/>
  <c r="D409" i="7"/>
  <c r="E409" i="7"/>
  <c r="F409" i="7"/>
  <c r="H409" i="7" s="1"/>
  <c r="D410" i="7"/>
  <c r="E410" i="7"/>
  <c r="F410" i="7"/>
  <c r="H410" i="7" s="1"/>
  <c r="D411" i="7"/>
  <c r="E411" i="7"/>
  <c r="F411" i="7"/>
  <c r="H411" i="7" s="1"/>
  <c r="D412" i="7"/>
  <c r="E412" i="7"/>
  <c r="F412" i="7"/>
  <c r="H412" i="7" s="1"/>
  <c r="D413" i="7"/>
  <c r="E413" i="7"/>
  <c r="F413" i="7"/>
  <c r="H413" i="7" s="1"/>
  <c r="D414" i="7"/>
  <c r="E414" i="7"/>
  <c r="F414" i="7"/>
  <c r="H414" i="7" s="1"/>
  <c r="D415" i="7"/>
  <c r="E415" i="7"/>
  <c r="F415" i="7"/>
  <c r="H415" i="7" s="1"/>
  <c r="D416" i="7"/>
  <c r="E416" i="7"/>
  <c r="F416" i="7"/>
  <c r="H416" i="7" s="1"/>
  <c r="D417" i="7"/>
  <c r="E417" i="7"/>
  <c r="F417" i="7"/>
  <c r="H417" i="7" s="1"/>
  <c r="D418" i="7"/>
  <c r="E418" i="7"/>
  <c r="F418" i="7"/>
  <c r="H418" i="7" s="1"/>
  <c r="D419" i="7"/>
  <c r="E419" i="7"/>
  <c r="F419" i="7"/>
  <c r="H419" i="7" s="1"/>
  <c r="D420" i="7"/>
  <c r="E420" i="7"/>
  <c r="F420" i="7"/>
  <c r="H420" i="7" s="1"/>
  <c r="D421" i="7"/>
  <c r="E421" i="7"/>
  <c r="F421" i="7"/>
  <c r="H421" i="7" s="1"/>
  <c r="D422" i="7"/>
  <c r="E422" i="7"/>
  <c r="F422" i="7"/>
  <c r="H422" i="7" s="1"/>
  <c r="D423" i="7"/>
  <c r="E423" i="7"/>
  <c r="F423" i="7"/>
  <c r="H423" i="7" s="1"/>
  <c r="D424" i="7"/>
  <c r="E424" i="7"/>
  <c r="F424" i="7"/>
  <c r="H424" i="7" s="1"/>
  <c r="D425" i="7"/>
  <c r="E425" i="7"/>
  <c r="F425" i="7"/>
  <c r="H425" i="7" s="1"/>
  <c r="D426" i="7"/>
  <c r="E426" i="7"/>
  <c r="F426" i="7"/>
  <c r="H426" i="7" s="1"/>
  <c r="D427" i="7"/>
  <c r="E427" i="7"/>
  <c r="F427" i="7"/>
  <c r="H427" i="7" s="1"/>
  <c r="D428" i="7"/>
  <c r="E428" i="7"/>
  <c r="F428" i="7"/>
  <c r="H428" i="7" s="1"/>
  <c r="D429" i="7"/>
  <c r="E429" i="7"/>
  <c r="F429" i="7"/>
  <c r="H429" i="7" s="1"/>
  <c r="D430" i="7"/>
  <c r="E430" i="7"/>
  <c r="F430" i="7"/>
  <c r="H430" i="7" s="1"/>
  <c r="D431" i="7"/>
  <c r="E431" i="7"/>
  <c r="F431" i="7"/>
  <c r="H431" i="7" s="1"/>
  <c r="D432" i="7"/>
  <c r="E432" i="7"/>
  <c r="F432" i="7"/>
  <c r="H432" i="7" s="1"/>
  <c r="D433" i="7"/>
  <c r="E433" i="7"/>
  <c r="F433" i="7"/>
  <c r="H433" i="7" s="1"/>
  <c r="D434" i="7"/>
  <c r="E434" i="7"/>
  <c r="F434" i="7"/>
  <c r="H434" i="7" s="1"/>
  <c r="D435" i="7"/>
  <c r="E435" i="7"/>
  <c r="F435" i="7"/>
  <c r="H435" i="7" s="1"/>
  <c r="D436" i="7"/>
  <c r="E436" i="7"/>
  <c r="F436" i="7"/>
  <c r="H436" i="7" s="1"/>
  <c r="D437" i="7"/>
  <c r="E437" i="7"/>
  <c r="F437" i="7"/>
  <c r="H437" i="7" s="1"/>
  <c r="D438" i="7"/>
  <c r="E438" i="7"/>
  <c r="F438" i="7"/>
  <c r="H438" i="7" s="1"/>
  <c r="D439" i="7"/>
  <c r="E439" i="7"/>
  <c r="F439" i="7"/>
  <c r="H439" i="7" s="1"/>
  <c r="D440" i="7"/>
  <c r="E440" i="7"/>
  <c r="F440" i="7"/>
  <c r="H440" i="7" s="1"/>
  <c r="D441" i="7"/>
  <c r="E441" i="7"/>
  <c r="F441" i="7"/>
  <c r="H441" i="7" s="1"/>
  <c r="D442" i="7"/>
  <c r="E442" i="7"/>
  <c r="F442" i="7"/>
  <c r="H442" i="7" s="1"/>
  <c r="D443" i="7"/>
  <c r="E443" i="7"/>
  <c r="F443" i="7"/>
  <c r="H443" i="7" s="1"/>
  <c r="D444" i="7"/>
  <c r="E444" i="7"/>
  <c r="F444" i="7"/>
  <c r="H444" i="7" s="1"/>
  <c r="D445" i="7"/>
  <c r="E445" i="7"/>
  <c r="F445" i="7"/>
  <c r="H445" i="7" s="1"/>
  <c r="D446" i="7"/>
  <c r="E446" i="7"/>
  <c r="F446" i="7"/>
  <c r="H446" i="7" s="1"/>
  <c r="D447" i="7"/>
  <c r="E447" i="7"/>
  <c r="F447" i="7"/>
  <c r="H447" i="7" s="1"/>
  <c r="D448" i="7"/>
  <c r="E448" i="7"/>
  <c r="F448" i="7"/>
  <c r="H448" i="7" s="1"/>
  <c r="D449" i="7"/>
  <c r="E449" i="7"/>
  <c r="F449" i="7"/>
  <c r="H449" i="7" s="1"/>
  <c r="D450" i="7"/>
  <c r="E450" i="7"/>
  <c r="F450" i="7"/>
  <c r="H450" i="7" s="1"/>
  <c r="D451" i="7"/>
  <c r="E451" i="7"/>
  <c r="F451" i="7"/>
  <c r="H451" i="7" s="1"/>
  <c r="D452" i="7"/>
  <c r="E452" i="7"/>
  <c r="F452" i="7"/>
  <c r="H452" i="7" s="1"/>
  <c r="D453" i="7"/>
  <c r="E453" i="7"/>
  <c r="F453" i="7"/>
  <c r="H453" i="7" s="1"/>
  <c r="D454" i="7"/>
  <c r="E454" i="7"/>
  <c r="F454" i="7"/>
  <c r="H454" i="7" s="1"/>
  <c r="D455" i="7"/>
  <c r="E455" i="7"/>
  <c r="F455" i="7"/>
  <c r="H455" i="7" s="1"/>
  <c r="D456" i="7"/>
  <c r="E456" i="7"/>
  <c r="F456" i="7"/>
  <c r="H456" i="7" s="1"/>
  <c r="D457" i="7"/>
  <c r="E457" i="7"/>
  <c r="F457" i="7"/>
  <c r="H457" i="7" s="1"/>
  <c r="D458" i="7"/>
  <c r="E458" i="7"/>
  <c r="F458" i="7"/>
  <c r="H458" i="7" s="1"/>
  <c r="D459" i="7"/>
  <c r="E459" i="7"/>
  <c r="F459" i="7"/>
  <c r="H459" i="7" s="1"/>
  <c r="D460" i="7"/>
  <c r="E460" i="7"/>
  <c r="F460" i="7"/>
  <c r="H460" i="7" s="1"/>
  <c r="D461" i="7"/>
  <c r="E461" i="7"/>
  <c r="F461" i="7"/>
  <c r="H461" i="7" s="1"/>
  <c r="D462" i="7"/>
  <c r="E462" i="7"/>
  <c r="F462" i="7"/>
  <c r="H462" i="7" s="1"/>
  <c r="D463" i="7"/>
  <c r="E463" i="7"/>
  <c r="F463" i="7"/>
  <c r="H463" i="7" s="1"/>
  <c r="D464" i="7"/>
  <c r="E464" i="7"/>
  <c r="F464" i="7"/>
  <c r="H464" i="7" s="1"/>
  <c r="D465" i="7"/>
  <c r="E465" i="7"/>
  <c r="F465" i="7"/>
  <c r="H465" i="7" s="1"/>
  <c r="D466" i="7"/>
  <c r="E466" i="7"/>
  <c r="F466" i="7"/>
  <c r="H466" i="7" s="1"/>
  <c r="D467" i="7"/>
  <c r="E467" i="7"/>
  <c r="F467" i="7"/>
  <c r="H467" i="7" s="1"/>
  <c r="D468" i="7"/>
  <c r="E468" i="7"/>
  <c r="F468" i="7"/>
  <c r="H468" i="7" s="1"/>
  <c r="D469" i="7"/>
  <c r="E469" i="7"/>
  <c r="F469" i="7"/>
  <c r="H469" i="7" s="1"/>
  <c r="D470" i="7"/>
  <c r="E470" i="7"/>
  <c r="F470" i="7"/>
  <c r="H470" i="7" s="1"/>
  <c r="D471" i="7"/>
  <c r="E471" i="7"/>
  <c r="F471" i="7"/>
  <c r="H471" i="7" s="1"/>
  <c r="D472" i="7"/>
  <c r="E472" i="7"/>
  <c r="F472" i="7"/>
  <c r="H472" i="7" s="1"/>
  <c r="D473" i="7"/>
  <c r="E473" i="7"/>
  <c r="F473" i="7"/>
  <c r="H473" i="7" s="1"/>
  <c r="D474" i="7"/>
  <c r="E474" i="7"/>
  <c r="F474" i="7"/>
  <c r="H474" i="7" s="1"/>
  <c r="D475" i="7"/>
  <c r="E475" i="7"/>
  <c r="F475" i="7"/>
  <c r="H475" i="7" s="1"/>
  <c r="D476" i="7"/>
  <c r="E476" i="7"/>
  <c r="F476" i="7"/>
  <c r="H476" i="7" s="1"/>
  <c r="D477" i="7"/>
  <c r="E477" i="7"/>
  <c r="F477" i="7"/>
  <c r="H477" i="7" s="1"/>
  <c r="D478" i="7"/>
  <c r="E478" i="7"/>
  <c r="F478" i="7"/>
  <c r="H478" i="7" s="1"/>
  <c r="D479" i="7"/>
  <c r="E479" i="7"/>
  <c r="F479" i="7"/>
  <c r="H479" i="7" s="1"/>
  <c r="D480" i="7"/>
  <c r="E480" i="7"/>
  <c r="F480" i="7"/>
  <c r="H480" i="7" s="1"/>
  <c r="D481" i="7"/>
  <c r="E481" i="7"/>
  <c r="F481" i="7"/>
  <c r="H481" i="7" s="1"/>
  <c r="D482" i="7"/>
  <c r="E482" i="7"/>
  <c r="F482" i="7"/>
  <c r="H482" i="7" s="1"/>
  <c r="D483" i="7"/>
  <c r="E483" i="7"/>
  <c r="F483" i="7"/>
  <c r="H483" i="7" s="1"/>
  <c r="D484" i="7"/>
  <c r="E484" i="7"/>
  <c r="F484" i="7"/>
  <c r="H484" i="7" s="1"/>
  <c r="D485" i="7"/>
  <c r="E485" i="7"/>
  <c r="F485" i="7"/>
  <c r="H485" i="7" s="1"/>
  <c r="D486" i="7"/>
  <c r="E486" i="7"/>
  <c r="F486" i="7"/>
  <c r="H486" i="7" s="1"/>
  <c r="D487" i="7"/>
  <c r="E487" i="7"/>
  <c r="F487" i="7"/>
  <c r="H487" i="7" s="1"/>
  <c r="D488" i="7"/>
  <c r="E488" i="7"/>
  <c r="F488" i="7"/>
  <c r="H488" i="7" s="1"/>
  <c r="D489" i="7"/>
  <c r="E489" i="7"/>
  <c r="F489" i="7"/>
  <c r="H489" i="7" s="1"/>
  <c r="D490" i="7"/>
  <c r="E490" i="7"/>
  <c r="F490" i="7"/>
  <c r="H490" i="7" s="1"/>
  <c r="D491" i="7"/>
  <c r="E491" i="7"/>
  <c r="F491" i="7"/>
  <c r="H491" i="7" s="1"/>
  <c r="D492" i="7"/>
  <c r="E492" i="7"/>
  <c r="F492" i="7"/>
  <c r="H492" i="7" s="1"/>
  <c r="D493" i="7"/>
  <c r="E493" i="7"/>
  <c r="F493" i="7"/>
  <c r="H493" i="7" s="1"/>
  <c r="D494" i="7"/>
  <c r="E494" i="7"/>
  <c r="F494" i="7"/>
  <c r="H494" i="7" s="1"/>
  <c r="D495" i="7"/>
  <c r="E495" i="7"/>
  <c r="F495" i="7"/>
  <c r="H495" i="7" s="1"/>
  <c r="D496" i="7"/>
  <c r="E496" i="7"/>
  <c r="F496" i="7"/>
  <c r="H496" i="7" s="1"/>
  <c r="D497" i="7"/>
  <c r="E497" i="7"/>
  <c r="F497" i="7"/>
  <c r="H497" i="7" s="1"/>
  <c r="D498" i="7"/>
  <c r="E498" i="7"/>
  <c r="F498" i="7"/>
  <c r="H498" i="7" s="1"/>
  <c r="D499" i="7"/>
  <c r="E499" i="7"/>
  <c r="F499" i="7"/>
  <c r="H499" i="7" s="1"/>
  <c r="D500" i="7"/>
  <c r="E500" i="7"/>
  <c r="F500" i="7"/>
  <c r="H500" i="7" s="1"/>
  <c r="D501" i="7"/>
  <c r="E501" i="7"/>
  <c r="F501" i="7"/>
  <c r="H501" i="7" s="1"/>
  <c r="D502" i="7"/>
  <c r="E502" i="7"/>
  <c r="F502" i="7"/>
  <c r="H502" i="7" s="1"/>
  <c r="D503" i="7"/>
  <c r="E503" i="7"/>
  <c r="F503" i="7"/>
  <c r="H503" i="7" s="1"/>
  <c r="D504" i="7"/>
  <c r="E504" i="7"/>
  <c r="F504" i="7"/>
  <c r="H504" i="7" s="1"/>
  <c r="D505" i="7"/>
  <c r="E505" i="7"/>
  <c r="F505" i="7"/>
  <c r="H505" i="7" s="1"/>
  <c r="D506" i="7"/>
  <c r="E506" i="7"/>
  <c r="F506" i="7"/>
  <c r="H506" i="7" s="1"/>
  <c r="D507" i="7"/>
  <c r="E507" i="7"/>
  <c r="F507" i="7"/>
  <c r="H507" i="7" s="1"/>
  <c r="D508" i="7"/>
  <c r="E508" i="7"/>
  <c r="F508" i="7"/>
  <c r="H508" i="7" s="1"/>
  <c r="D509" i="7"/>
  <c r="E509" i="7"/>
  <c r="F509" i="7"/>
  <c r="H509" i="7" s="1"/>
  <c r="D510" i="7"/>
  <c r="E510" i="7"/>
  <c r="F510" i="7"/>
  <c r="H510" i="7" s="1"/>
  <c r="D511" i="7"/>
  <c r="E511" i="7"/>
  <c r="F511" i="7"/>
  <c r="H511" i="7" s="1"/>
  <c r="D512" i="7"/>
  <c r="E512" i="7"/>
  <c r="F512" i="7"/>
  <c r="H512" i="7" s="1"/>
  <c r="D513" i="7"/>
  <c r="E513" i="7"/>
  <c r="F513" i="7"/>
  <c r="H513" i="7" s="1"/>
  <c r="D514" i="7"/>
  <c r="E514" i="7"/>
  <c r="F514" i="7"/>
  <c r="H514" i="7" s="1"/>
  <c r="D515" i="7"/>
  <c r="E515" i="7"/>
  <c r="F515" i="7"/>
  <c r="H515" i="7" s="1"/>
  <c r="D516" i="7"/>
  <c r="E516" i="7"/>
  <c r="F516" i="7"/>
  <c r="H516" i="7" s="1"/>
  <c r="D517" i="7"/>
  <c r="E517" i="7"/>
  <c r="F517" i="7"/>
  <c r="H517" i="7" s="1"/>
  <c r="D518" i="7"/>
  <c r="E518" i="7"/>
  <c r="F518" i="7"/>
  <c r="H518" i="7" s="1"/>
  <c r="D519" i="7"/>
  <c r="E519" i="7"/>
  <c r="F519" i="7"/>
  <c r="H519" i="7" s="1"/>
  <c r="D520" i="7"/>
  <c r="E520" i="7"/>
  <c r="F520" i="7"/>
  <c r="H520" i="7" s="1"/>
  <c r="D521" i="7"/>
  <c r="E521" i="7"/>
  <c r="F521" i="7"/>
  <c r="H521" i="7" s="1"/>
  <c r="D522" i="7"/>
  <c r="E522" i="7"/>
  <c r="F522" i="7"/>
  <c r="H522" i="7" s="1"/>
  <c r="D523" i="7"/>
  <c r="E523" i="7"/>
  <c r="F523" i="7"/>
  <c r="H523" i="7" s="1"/>
  <c r="D524" i="7"/>
  <c r="E524" i="7"/>
  <c r="F524" i="7"/>
  <c r="H524" i="7" s="1"/>
  <c r="D525" i="7"/>
  <c r="E525" i="7"/>
  <c r="F525" i="7"/>
  <c r="H525" i="7" s="1"/>
  <c r="D526" i="7"/>
  <c r="E526" i="7"/>
  <c r="F526" i="7"/>
  <c r="H526" i="7" s="1"/>
  <c r="D527" i="7"/>
  <c r="E527" i="7"/>
  <c r="F527" i="7"/>
  <c r="H527" i="7" s="1"/>
  <c r="D528" i="7"/>
  <c r="E528" i="7"/>
  <c r="F528" i="7"/>
  <c r="H528" i="7" s="1"/>
  <c r="D529" i="7"/>
  <c r="E529" i="7"/>
  <c r="F529" i="7"/>
  <c r="H529" i="7" s="1"/>
  <c r="D530" i="7"/>
  <c r="E530" i="7"/>
  <c r="F530" i="7"/>
  <c r="H530" i="7" s="1"/>
  <c r="D531" i="7"/>
  <c r="E531" i="7"/>
  <c r="F531" i="7"/>
  <c r="H531" i="7" s="1"/>
  <c r="D532" i="7"/>
  <c r="E532" i="7"/>
  <c r="F532" i="7"/>
  <c r="H532" i="7" s="1"/>
  <c r="D533" i="7"/>
  <c r="E533" i="7"/>
  <c r="F533" i="7"/>
  <c r="H533" i="7" s="1"/>
  <c r="D534" i="7"/>
  <c r="E534" i="7"/>
  <c r="F534" i="7"/>
  <c r="H534" i="7" s="1"/>
  <c r="D535" i="7"/>
  <c r="E535" i="7"/>
  <c r="F535" i="7"/>
  <c r="H535" i="7" s="1"/>
  <c r="D536" i="7"/>
  <c r="E536" i="7"/>
  <c r="F536" i="7"/>
  <c r="H536" i="7" s="1"/>
  <c r="D537" i="7"/>
  <c r="E537" i="7"/>
  <c r="F537" i="7"/>
  <c r="H537" i="7" s="1"/>
  <c r="D538" i="7"/>
  <c r="E538" i="7"/>
  <c r="F538" i="7"/>
  <c r="H538" i="7" s="1"/>
  <c r="D539" i="7"/>
  <c r="E539" i="7"/>
  <c r="F539" i="7"/>
  <c r="H539" i="7" s="1"/>
  <c r="D540" i="7"/>
  <c r="E540" i="7"/>
  <c r="F540" i="7"/>
  <c r="H540" i="7" s="1"/>
  <c r="D541" i="7"/>
  <c r="E541" i="7"/>
  <c r="F541" i="7"/>
  <c r="H541" i="7" s="1"/>
  <c r="D542" i="7"/>
  <c r="E542" i="7"/>
  <c r="F542" i="7"/>
  <c r="H542" i="7" s="1"/>
  <c r="D543" i="7"/>
  <c r="E543" i="7"/>
  <c r="F543" i="7"/>
  <c r="H543" i="7" s="1"/>
  <c r="D544" i="7"/>
  <c r="E544" i="7"/>
  <c r="F544" i="7"/>
  <c r="H544" i="7" s="1"/>
  <c r="D545" i="7"/>
  <c r="E545" i="7"/>
  <c r="F545" i="7"/>
  <c r="H545" i="7" s="1"/>
  <c r="D546" i="7"/>
  <c r="E546" i="7"/>
  <c r="F546" i="7"/>
  <c r="H546" i="7" s="1"/>
  <c r="D547" i="7"/>
  <c r="E547" i="7"/>
  <c r="F547" i="7"/>
  <c r="H547" i="7" s="1"/>
  <c r="D548" i="7"/>
  <c r="E548" i="7"/>
  <c r="F548" i="7"/>
  <c r="H548" i="7" s="1"/>
  <c r="D549" i="7"/>
  <c r="E549" i="7"/>
  <c r="F549" i="7"/>
  <c r="H549" i="7" s="1"/>
  <c r="D550" i="7"/>
  <c r="E550" i="7"/>
  <c r="F550" i="7"/>
  <c r="H550" i="7" s="1"/>
  <c r="D551" i="7"/>
  <c r="E551" i="7"/>
  <c r="F551" i="7"/>
  <c r="H551" i="7" s="1"/>
  <c r="D552" i="7"/>
  <c r="E552" i="7"/>
  <c r="F552" i="7"/>
  <c r="H552" i="7" s="1"/>
  <c r="D553" i="7"/>
  <c r="E553" i="7"/>
  <c r="F553" i="7"/>
  <c r="H553" i="7" s="1"/>
  <c r="D554" i="7"/>
  <c r="E554" i="7"/>
  <c r="F554" i="7"/>
  <c r="H554" i="7" s="1"/>
  <c r="D555" i="7"/>
  <c r="E555" i="7"/>
  <c r="F555" i="7"/>
  <c r="H555" i="7" s="1"/>
  <c r="D556" i="7"/>
  <c r="E556" i="7"/>
  <c r="F556" i="7"/>
  <c r="H556" i="7" s="1"/>
  <c r="D557" i="7"/>
  <c r="E557" i="7"/>
  <c r="F557" i="7"/>
  <c r="H557" i="7" s="1"/>
  <c r="D558" i="7"/>
  <c r="E558" i="7"/>
  <c r="F558" i="7"/>
  <c r="H558" i="7" s="1"/>
  <c r="D559" i="7"/>
  <c r="E559" i="7"/>
  <c r="F559" i="7"/>
  <c r="H559" i="7" s="1"/>
  <c r="D560" i="7"/>
  <c r="E560" i="7"/>
  <c r="F560" i="7"/>
  <c r="H560" i="7" s="1"/>
  <c r="D561" i="7"/>
  <c r="E561" i="7"/>
  <c r="F561" i="7"/>
  <c r="H561" i="7" s="1"/>
  <c r="D562" i="7"/>
  <c r="E562" i="7"/>
  <c r="F562" i="7"/>
  <c r="H562" i="7" s="1"/>
  <c r="D563" i="7"/>
  <c r="E563" i="7"/>
  <c r="F563" i="7"/>
  <c r="H563" i="7" s="1"/>
  <c r="D564" i="7"/>
  <c r="E564" i="7"/>
  <c r="F564" i="7"/>
  <c r="H564" i="7" s="1"/>
  <c r="D565" i="7"/>
  <c r="E565" i="7"/>
  <c r="F565" i="7"/>
  <c r="H565" i="7" s="1"/>
  <c r="D566" i="7"/>
  <c r="E566" i="7"/>
  <c r="F566" i="7"/>
  <c r="H566" i="7" s="1"/>
  <c r="D567" i="7"/>
  <c r="E567" i="7"/>
  <c r="F567" i="7"/>
  <c r="H567" i="7" s="1"/>
  <c r="D568" i="7"/>
  <c r="E568" i="7"/>
  <c r="F568" i="7"/>
  <c r="H568" i="7" s="1"/>
  <c r="D569" i="7"/>
  <c r="E569" i="7"/>
  <c r="F569" i="7"/>
  <c r="H569" i="7" s="1"/>
  <c r="D570" i="7"/>
  <c r="E570" i="7"/>
  <c r="F570" i="7"/>
  <c r="H570" i="7" s="1"/>
  <c r="D571" i="7"/>
  <c r="E571" i="7"/>
  <c r="F571" i="7"/>
  <c r="H571" i="7" s="1"/>
  <c r="D572" i="7"/>
  <c r="E572" i="7"/>
  <c r="F572" i="7"/>
  <c r="H572" i="7" s="1"/>
  <c r="D573" i="7"/>
  <c r="E573" i="7"/>
  <c r="F573" i="7"/>
  <c r="H573" i="7" s="1"/>
  <c r="D574" i="7"/>
  <c r="E574" i="7"/>
  <c r="F574" i="7"/>
  <c r="H574" i="7" s="1"/>
  <c r="D575" i="7"/>
  <c r="E575" i="7"/>
  <c r="F575" i="7"/>
  <c r="H575" i="7" s="1"/>
  <c r="D576" i="7"/>
  <c r="E576" i="7"/>
  <c r="F576" i="7"/>
  <c r="H576" i="7" s="1"/>
  <c r="D577" i="7"/>
  <c r="E577" i="7"/>
  <c r="F577" i="7"/>
  <c r="H577" i="7" s="1"/>
  <c r="D578" i="7"/>
  <c r="E578" i="7"/>
  <c r="F578" i="7"/>
  <c r="H578" i="7" s="1"/>
  <c r="D579" i="7"/>
  <c r="E579" i="7"/>
  <c r="F579" i="7"/>
  <c r="H579" i="7" s="1"/>
  <c r="D580" i="7"/>
  <c r="E580" i="7"/>
  <c r="F580" i="7"/>
  <c r="H580" i="7" s="1"/>
  <c r="D581" i="7"/>
  <c r="E581" i="7"/>
  <c r="F581" i="7"/>
  <c r="H581" i="7" s="1"/>
  <c r="D582" i="7"/>
  <c r="E582" i="7"/>
  <c r="F582" i="7"/>
  <c r="H582" i="7" s="1"/>
  <c r="D583" i="7"/>
  <c r="E583" i="7"/>
  <c r="F583" i="7"/>
  <c r="H583" i="7" s="1"/>
  <c r="D584" i="7"/>
  <c r="E584" i="7"/>
  <c r="F584" i="7"/>
  <c r="H584" i="7" s="1"/>
  <c r="D585" i="7"/>
  <c r="E585" i="7"/>
  <c r="F585" i="7"/>
  <c r="H585" i="7" s="1"/>
  <c r="D586" i="7"/>
  <c r="E586" i="7"/>
  <c r="F586" i="7"/>
  <c r="H586" i="7" s="1"/>
  <c r="D587" i="7"/>
  <c r="E587" i="7"/>
  <c r="F587" i="7"/>
  <c r="H587" i="7" s="1"/>
  <c r="D588" i="7"/>
  <c r="E588" i="7"/>
  <c r="F588" i="7"/>
  <c r="H588" i="7" s="1"/>
  <c r="D589" i="7"/>
  <c r="E589" i="7"/>
  <c r="F589" i="7"/>
  <c r="H589" i="7" s="1"/>
  <c r="D590" i="7"/>
  <c r="E590" i="7"/>
  <c r="F590" i="7"/>
  <c r="H590" i="7" s="1"/>
  <c r="D591" i="7"/>
  <c r="E591" i="7"/>
  <c r="F591" i="7"/>
  <c r="H591" i="7" s="1"/>
  <c r="D592" i="7"/>
  <c r="E592" i="7"/>
  <c r="F592" i="7"/>
  <c r="H592" i="7" s="1"/>
  <c r="D593" i="7"/>
  <c r="E593" i="7"/>
  <c r="F593" i="7"/>
  <c r="H593" i="7" s="1"/>
  <c r="D594" i="7"/>
  <c r="E594" i="7"/>
  <c r="F594" i="7"/>
  <c r="H594" i="7" s="1"/>
  <c r="D595" i="7"/>
  <c r="E595" i="7"/>
  <c r="F595" i="7"/>
  <c r="H595" i="7" s="1"/>
  <c r="D596" i="7"/>
  <c r="E596" i="7"/>
  <c r="F596" i="7"/>
  <c r="H596" i="7" s="1"/>
  <c r="D597" i="7"/>
  <c r="E597" i="7"/>
  <c r="F597" i="7"/>
  <c r="H597" i="7" s="1"/>
  <c r="D598" i="7"/>
  <c r="E598" i="7"/>
  <c r="F598" i="7"/>
  <c r="H598" i="7" s="1"/>
  <c r="D599" i="7"/>
  <c r="E599" i="7"/>
  <c r="F599" i="7"/>
  <c r="H599" i="7" s="1"/>
  <c r="D600" i="7"/>
  <c r="E600" i="7"/>
  <c r="F600" i="7"/>
  <c r="H600" i="7" s="1"/>
  <c r="D601" i="7"/>
  <c r="E601" i="7"/>
  <c r="F601" i="7"/>
  <c r="H601" i="7" s="1"/>
  <c r="D602" i="7"/>
  <c r="E602" i="7"/>
  <c r="F602" i="7"/>
  <c r="H602" i="7" s="1"/>
  <c r="D603" i="7"/>
  <c r="E603" i="7"/>
  <c r="F603" i="7"/>
  <c r="H603" i="7" s="1"/>
  <c r="D604" i="7"/>
  <c r="E604" i="7"/>
  <c r="F604" i="7"/>
  <c r="H604" i="7" s="1"/>
  <c r="D605" i="7"/>
  <c r="E605" i="7"/>
  <c r="F605" i="7"/>
  <c r="H605" i="7" s="1"/>
  <c r="D606" i="7"/>
  <c r="E606" i="7"/>
  <c r="F606" i="7"/>
  <c r="H606" i="7" s="1"/>
  <c r="D607" i="7"/>
  <c r="E607" i="7"/>
  <c r="F607" i="7"/>
  <c r="H607" i="7" s="1"/>
  <c r="D608" i="7"/>
  <c r="E608" i="7"/>
  <c r="F608" i="7"/>
  <c r="H608" i="7" s="1"/>
  <c r="D609" i="7"/>
  <c r="E609" i="7"/>
  <c r="F609" i="7"/>
  <c r="H609" i="7" s="1"/>
  <c r="D610" i="7"/>
  <c r="E610" i="7"/>
  <c r="F610" i="7"/>
  <c r="H610" i="7" s="1"/>
  <c r="D611" i="7"/>
  <c r="E611" i="7"/>
  <c r="F611" i="7"/>
  <c r="H611" i="7" s="1"/>
  <c r="D612" i="7"/>
  <c r="E612" i="7"/>
  <c r="F612" i="7"/>
  <c r="H612" i="7" s="1"/>
  <c r="D613" i="7"/>
  <c r="E613" i="7"/>
  <c r="F613" i="7"/>
  <c r="H613" i="7" s="1"/>
  <c r="D614" i="7"/>
  <c r="E614" i="7"/>
  <c r="F614" i="7"/>
  <c r="H614" i="7" s="1"/>
  <c r="D615" i="7"/>
  <c r="E615" i="7"/>
  <c r="F615" i="7"/>
  <c r="H615" i="7" s="1"/>
  <c r="D616" i="7"/>
  <c r="E616" i="7"/>
  <c r="F616" i="7"/>
  <c r="H616" i="7" s="1"/>
  <c r="D617" i="7"/>
  <c r="E617" i="7"/>
  <c r="F617" i="7"/>
  <c r="H617" i="7" s="1"/>
  <c r="D618" i="7"/>
  <c r="E618" i="7"/>
  <c r="F618" i="7"/>
  <c r="H618" i="7" s="1"/>
  <c r="D619" i="7"/>
  <c r="E619" i="7"/>
  <c r="F619" i="7"/>
  <c r="H619" i="7" s="1"/>
  <c r="D620" i="7"/>
  <c r="E620" i="7"/>
  <c r="F620" i="7"/>
  <c r="H620" i="7" s="1"/>
  <c r="D621" i="7"/>
  <c r="E621" i="7"/>
  <c r="F621" i="7"/>
  <c r="H621" i="7" s="1"/>
  <c r="D622" i="7"/>
  <c r="E622" i="7"/>
  <c r="F622" i="7"/>
  <c r="H622" i="7" s="1"/>
  <c r="D623" i="7"/>
  <c r="E623" i="7"/>
  <c r="F623" i="7"/>
  <c r="H623" i="7" s="1"/>
  <c r="D624" i="7"/>
  <c r="E624" i="7"/>
  <c r="F624" i="7"/>
  <c r="H624" i="7" s="1"/>
  <c r="D625" i="7"/>
  <c r="E625" i="7"/>
  <c r="F625" i="7"/>
  <c r="H625" i="7" s="1"/>
  <c r="D626" i="7"/>
  <c r="E626" i="7"/>
  <c r="F626" i="7"/>
  <c r="H626" i="7" s="1"/>
  <c r="D627" i="7"/>
  <c r="E627" i="7"/>
  <c r="F627" i="7"/>
  <c r="H627" i="7" s="1"/>
  <c r="D628" i="7"/>
  <c r="E628" i="7"/>
  <c r="F628" i="7"/>
  <c r="H628" i="7" s="1"/>
  <c r="D629" i="7"/>
  <c r="E629" i="7"/>
  <c r="F629" i="7"/>
  <c r="H629" i="7" s="1"/>
  <c r="D630" i="7"/>
  <c r="E630" i="7"/>
  <c r="F630" i="7"/>
  <c r="H630" i="7" s="1"/>
  <c r="D631" i="7"/>
  <c r="E631" i="7"/>
  <c r="F631" i="7"/>
  <c r="H631" i="7" s="1"/>
  <c r="D632" i="7"/>
  <c r="E632" i="7"/>
  <c r="F632" i="7"/>
  <c r="H632" i="7" s="1"/>
  <c r="D633" i="7"/>
  <c r="E633" i="7"/>
  <c r="F633" i="7"/>
  <c r="H633" i="7" s="1"/>
  <c r="D634" i="7"/>
  <c r="E634" i="7"/>
  <c r="F634" i="7"/>
  <c r="H634" i="7" s="1"/>
  <c r="D635" i="7"/>
  <c r="E635" i="7"/>
  <c r="F635" i="7"/>
  <c r="H635" i="7" s="1"/>
  <c r="D636" i="7"/>
  <c r="E636" i="7"/>
  <c r="F636" i="7"/>
  <c r="H636" i="7" s="1"/>
  <c r="D637" i="7"/>
  <c r="E637" i="7"/>
  <c r="F637" i="7"/>
  <c r="H637" i="7" s="1"/>
  <c r="D638" i="7"/>
  <c r="E638" i="7"/>
  <c r="F638" i="7"/>
  <c r="H638" i="7" s="1"/>
  <c r="D639" i="7"/>
  <c r="E639" i="7"/>
  <c r="F639" i="7"/>
  <c r="H639" i="7" s="1"/>
  <c r="D640" i="7"/>
  <c r="E640" i="7"/>
  <c r="F640" i="7"/>
  <c r="H640" i="7" s="1"/>
  <c r="D641" i="7"/>
  <c r="E641" i="7"/>
  <c r="F641" i="7"/>
  <c r="H641" i="7" s="1"/>
  <c r="D642" i="7"/>
  <c r="E642" i="7"/>
  <c r="F642" i="7"/>
  <c r="H642" i="7" s="1"/>
  <c r="D643" i="7"/>
  <c r="E643" i="7"/>
  <c r="F643" i="7"/>
  <c r="H643" i="7" s="1"/>
  <c r="D644" i="7"/>
  <c r="E644" i="7"/>
  <c r="F644" i="7"/>
  <c r="H644" i="7" s="1"/>
  <c r="D645" i="7"/>
  <c r="E645" i="7"/>
  <c r="F645" i="7"/>
  <c r="H645" i="7" s="1"/>
  <c r="D646" i="7"/>
  <c r="E646" i="7"/>
  <c r="F646" i="7"/>
  <c r="H646" i="7" s="1"/>
  <c r="D647" i="7"/>
  <c r="E647" i="7"/>
  <c r="F647" i="7"/>
  <c r="H647" i="7" s="1"/>
  <c r="D648" i="7"/>
  <c r="E648" i="7"/>
  <c r="F648" i="7"/>
  <c r="H648" i="7" s="1"/>
  <c r="D649" i="7"/>
  <c r="E649" i="7"/>
  <c r="F649" i="7"/>
  <c r="H649" i="7" s="1"/>
  <c r="D650" i="7"/>
  <c r="E650" i="7"/>
  <c r="F650" i="7"/>
  <c r="H650" i="7" s="1"/>
  <c r="D651" i="7"/>
  <c r="E651" i="7"/>
  <c r="F651" i="7"/>
  <c r="H651" i="7" s="1"/>
  <c r="D652" i="7"/>
  <c r="E652" i="7"/>
  <c r="F652" i="7"/>
  <c r="H652" i="7" s="1"/>
  <c r="D653" i="7"/>
  <c r="E653" i="7"/>
  <c r="F653" i="7"/>
  <c r="H653" i="7" s="1"/>
  <c r="D654" i="7"/>
  <c r="E654" i="7"/>
  <c r="F654" i="7"/>
  <c r="H654" i="7" s="1"/>
  <c r="D655" i="7"/>
  <c r="E655" i="7"/>
  <c r="F655" i="7"/>
  <c r="H655" i="7" s="1"/>
  <c r="D656" i="7"/>
  <c r="E656" i="7"/>
  <c r="F656" i="7"/>
  <c r="H656" i="7" s="1"/>
  <c r="D657" i="7"/>
  <c r="E657" i="7"/>
  <c r="F657" i="7"/>
  <c r="H657" i="7" s="1"/>
  <c r="D658" i="7"/>
  <c r="E658" i="7"/>
  <c r="F658" i="7"/>
  <c r="H658" i="7" s="1"/>
  <c r="D659" i="7"/>
  <c r="E659" i="7"/>
  <c r="F659" i="7"/>
  <c r="H659" i="7" s="1"/>
  <c r="D660" i="7"/>
  <c r="E660" i="7"/>
  <c r="F660" i="7"/>
  <c r="H660" i="7" s="1"/>
  <c r="D661" i="7"/>
  <c r="E661" i="7"/>
  <c r="F661" i="7"/>
  <c r="H661" i="7" s="1"/>
  <c r="D662" i="7"/>
  <c r="E662" i="7"/>
  <c r="F662" i="7"/>
  <c r="H662" i="7" s="1"/>
  <c r="D663" i="7"/>
  <c r="E663" i="7"/>
  <c r="F663" i="7"/>
  <c r="H663" i="7" s="1"/>
  <c r="D664" i="7"/>
  <c r="E664" i="7"/>
  <c r="F664" i="7"/>
  <c r="H664" i="7" s="1"/>
  <c r="D665" i="7"/>
  <c r="E665" i="7"/>
  <c r="F665" i="7"/>
  <c r="H665" i="7" s="1"/>
  <c r="D666" i="7"/>
  <c r="E666" i="7"/>
  <c r="F666" i="7"/>
  <c r="H666" i="7" s="1"/>
  <c r="D667" i="7"/>
  <c r="E667" i="7"/>
  <c r="F667" i="7"/>
  <c r="H667" i="7" s="1"/>
  <c r="D668" i="7"/>
  <c r="E668" i="7"/>
  <c r="F668" i="7"/>
  <c r="H668" i="7" s="1"/>
  <c r="D669" i="7"/>
  <c r="E669" i="7"/>
  <c r="F669" i="7"/>
  <c r="H669" i="7" s="1"/>
  <c r="D670" i="7"/>
  <c r="E670" i="7"/>
  <c r="F670" i="7"/>
  <c r="H670" i="7" s="1"/>
  <c r="D671" i="7"/>
  <c r="E671" i="7"/>
  <c r="F671" i="7"/>
  <c r="H671" i="7" s="1"/>
  <c r="D672" i="7"/>
  <c r="E672" i="7"/>
  <c r="F672" i="7"/>
  <c r="H672" i="7" s="1"/>
  <c r="D673" i="7"/>
  <c r="E673" i="7"/>
  <c r="F673" i="7"/>
  <c r="H673" i="7" s="1"/>
  <c r="D674" i="7"/>
  <c r="E674" i="7"/>
  <c r="F674" i="7"/>
  <c r="H674" i="7" s="1"/>
  <c r="D675" i="7"/>
  <c r="E675" i="7"/>
  <c r="F675" i="7"/>
  <c r="H675" i="7" s="1"/>
  <c r="D676" i="7"/>
  <c r="E676" i="7"/>
  <c r="F676" i="7"/>
  <c r="H676" i="7" s="1"/>
  <c r="D677" i="7"/>
  <c r="E677" i="7"/>
  <c r="F677" i="7"/>
  <c r="H677" i="7" s="1"/>
  <c r="D678" i="7"/>
  <c r="E678" i="7"/>
  <c r="F678" i="7"/>
  <c r="H678" i="7" s="1"/>
  <c r="D679" i="7"/>
  <c r="E679" i="7"/>
  <c r="F679" i="7"/>
  <c r="H679" i="7" s="1"/>
  <c r="D680" i="7"/>
  <c r="E680" i="7"/>
  <c r="F680" i="7"/>
  <c r="H680" i="7" s="1"/>
  <c r="D681" i="7"/>
  <c r="E681" i="7"/>
  <c r="F681" i="7"/>
  <c r="H681" i="7" s="1"/>
  <c r="D682" i="7"/>
  <c r="E682" i="7"/>
  <c r="F682" i="7"/>
  <c r="H682" i="7" s="1"/>
  <c r="D683" i="7"/>
  <c r="E683" i="7"/>
  <c r="F683" i="7"/>
  <c r="H683" i="7" s="1"/>
  <c r="D684" i="7"/>
  <c r="E684" i="7"/>
  <c r="F684" i="7"/>
  <c r="H684" i="7" s="1"/>
  <c r="D685" i="7"/>
  <c r="E685" i="7"/>
  <c r="F685" i="7"/>
  <c r="H685" i="7" s="1"/>
  <c r="D686" i="7"/>
  <c r="E686" i="7"/>
  <c r="F686" i="7"/>
  <c r="H686" i="7" s="1"/>
  <c r="D687" i="7"/>
  <c r="E687" i="7"/>
  <c r="F687" i="7"/>
  <c r="H687" i="7" s="1"/>
  <c r="D688" i="7"/>
  <c r="E688" i="7"/>
  <c r="F688" i="7"/>
  <c r="H688" i="7" s="1"/>
  <c r="D689" i="7"/>
  <c r="E689" i="7"/>
  <c r="F689" i="7"/>
  <c r="H689" i="7" s="1"/>
  <c r="D690" i="7"/>
  <c r="E690" i="7"/>
  <c r="F690" i="7"/>
  <c r="H690" i="7" s="1"/>
  <c r="D691" i="7"/>
  <c r="E691" i="7"/>
  <c r="F691" i="7"/>
  <c r="H691" i="7" s="1"/>
  <c r="D692" i="7"/>
  <c r="E692" i="7"/>
  <c r="F692" i="7"/>
  <c r="H692" i="7" s="1"/>
  <c r="D693" i="7"/>
  <c r="E693" i="7"/>
  <c r="F693" i="7"/>
  <c r="H693" i="7" s="1"/>
  <c r="D694" i="7"/>
  <c r="E694" i="7"/>
  <c r="F694" i="7"/>
  <c r="H694" i="7" s="1"/>
  <c r="D695" i="7"/>
  <c r="E695" i="7"/>
  <c r="F695" i="7"/>
  <c r="H695" i="7" s="1"/>
  <c r="D696" i="7"/>
  <c r="E696" i="7"/>
  <c r="F696" i="7"/>
  <c r="H696" i="7" s="1"/>
  <c r="D697" i="7"/>
  <c r="E697" i="7"/>
  <c r="F697" i="7"/>
  <c r="H697" i="7" s="1"/>
  <c r="D698" i="7"/>
  <c r="E698" i="7"/>
  <c r="F698" i="7"/>
  <c r="H698" i="7" s="1"/>
  <c r="D699" i="7"/>
  <c r="E699" i="7"/>
  <c r="F699" i="7"/>
  <c r="H699" i="7" s="1"/>
  <c r="D700" i="7"/>
  <c r="E700" i="7"/>
  <c r="F700" i="7"/>
  <c r="H700" i="7" s="1"/>
  <c r="D190" i="7"/>
  <c r="E190" i="7"/>
  <c r="F190" i="7"/>
  <c r="H190" i="7" s="1"/>
  <c r="D191" i="7"/>
  <c r="E191" i="7"/>
  <c r="F191" i="7"/>
  <c r="H191" i="7" s="1"/>
  <c r="D192" i="7"/>
  <c r="E192" i="7"/>
  <c r="F192" i="7"/>
  <c r="H192" i="7" s="1"/>
  <c r="D193" i="7"/>
  <c r="E193" i="7"/>
  <c r="F193" i="7"/>
  <c r="H193" i="7" s="1"/>
  <c r="D194" i="7"/>
  <c r="E194" i="7"/>
  <c r="F194" i="7"/>
  <c r="H194" i="7" s="1"/>
  <c r="D195" i="7"/>
  <c r="E195" i="7"/>
  <c r="F195" i="7"/>
  <c r="H195" i="7" s="1"/>
  <c r="D196" i="7"/>
  <c r="E196" i="7"/>
  <c r="F196" i="7"/>
  <c r="H196" i="7" s="1"/>
  <c r="D197" i="7"/>
  <c r="E197" i="7"/>
  <c r="F197" i="7"/>
  <c r="H197" i="7" s="1"/>
  <c r="D198" i="7"/>
  <c r="E198" i="7"/>
  <c r="F198" i="7"/>
  <c r="H198" i="7" s="1"/>
  <c r="D199" i="7"/>
  <c r="E199" i="7"/>
  <c r="F199" i="7"/>
  <c r="H199" i="7" s="1"/>
  <c r="D200" i="7"/>
  <c r="E200" i="7"/>
  <c r="F200" i="7"/>
  <c r="H200" i="7" s="1"/>
  <c r="D201" i="7"/>
  <c r="E201" i="7"/>
  <c r="F201" i="7"/>
  <c r="H201" i="7" s="1"/>
  <c r="D202" i="7"/>
  <c r="E202" i="7"/>
  <c r="F202" i="7"/>
  <c r="H202" i="7" s="1"/>
  <c r="D203" i="7"/>
  <c r="E203" i="7"/>
  <c r="F203" i="7"/>
  <c r="H203" i="7" s="1"/>
  <c r="D204" i="7"/>
  <c r="E204" i="7"/>
  <c r="F204" i="7"/>
  <c r="H204" i="7" s="1"/>
  <c r="D205" i="7"/>
  <c r="E205" i="7"/>
  <c r="F205" i="7"/>
  <c r="H205" i="7" s="1"/>
  <c r="D206" i="7"/>
  <c r="E206" i="7"/>
  <c r="F206" i="7"/>
  <c r="H206" i="7" s="1"/>
  <c r="D207" i="7"/>
  <c r="E207" i="7"/>
  <c r="F207" i="7"/>
  <c r="H207" i="7" s="1"/>
  <c r="C183" i="7"/>
  <c r="F183" i="7" s="1"/>
  <c r="H183" i="7" s="1"/>
  <c r="D184" i="7"/>
  <c r="E184" i="7"/>
  <c r="F184" i="7"/>
  <c r="H184" i="7" s="1"/>
  <c r="D185" i="7"/>
  <c r="E185" i="7"/>
  <c r="F185" i="7"/>
  <c r="H185" i="7" s="1"/>
  <c r="D186" i="7"/>
  <c r="E186" i="7"/>
  <c r="F186" i="7"/>
  <c r="H186" i="7" s="1"/>
  <c r="D187" i="7"/>
  <c r="E187" i="7"/>
  <c r="F187" i="7"/>
  <c r="H187" i="7" s="1"/>
  <c r="D188" i="7"/>
  <c r="E188" i="7"/>
  <c r="F188" i="7"/>
  <c r="H188" i="7" s="1"/>
  <c r="D189" i="7"/>
  <c r="E189" i="7"/>
  <c r="F189" i="7"/>
  <c r="H189" i="7" s="1"/>
  <c r="C182" i="7"/>
  <c r="E182" i="7" s="1"/>
  <c r="D182" i="7" l="1"/>
  <c r="F182" i="7"/>
  <c r="H182" i="7" s="1"/>
  <c r="D183" i="7"/>
  <c r="E183" i="7"/>
  <c r="C181" i="7"/>
  <c r="C180" i="7"/>
  <c r="C179" i="7"/>
  <c r="E179" i="7" l="1"/>
  <c r="F179" i="7"/>
  <c r="H179" i="7" s="1"/>
  <c r="D179" i="7"/>
  <c r="E180" i="7"/>
  <c r="F180" i="7"/>
  <c r="H180" i="7" s="1"/>
  <c r="D180" i="7"/>
  <c r="E181" i="7"/>
  <c r="F181" i="7"/>
  <c r="H181" i="7" s="1"/>
  <c r="D181" i="7"/>
  <c r="L464" i="1"/>
  <c r="I464" i="1"/>
  <c r="H464" i="1"/>
  <c r="M464" i="1" s="1"/>
  <c r="G464" i="1"/>
  <c r="D464" i="1"/>
  <c r="A464" i="1"/>
  <c r="L1" i="3"/>
  <c r="J350" i="1" l="1"/>
  <c r="J164" i="1"/>
  <c r="L349" i="1" l="1"/>
  <c r="I349" i="1"/>
  <c r="H349" i="1"/>
  <c r="M349" i="1" s="1"/>
  <c r="G349" i="1"/>
  <c r="D349" i="1"/>
  <c r="A349" i="1"/>
  <c r="L163" i="1"/>
  <c r="I163" i="1"/>
  <c r="H163" i="1"/>
  <c r="M163" i="1" s="1"/>
  <c r="G163" i="1"/>
  <c r="D163" i="1"/>
  <c r="A163" i="1"/>
  <c r="J162" i="1"/>
  <c r="J345" i="1" l="1"/>
  <c r="J160" i="1"/>
  <c r="I160" i="1" s="1"/>
  <c r="G160" i="1"/>
  <c r="D160" i="1"/>
  <c r="J159" i="1"/>
  <c r="L160" i="1" l="1"/>
  <c r="A345" i="1"/>
  <c r="A346" i="1"/>
  <c r="A347" i="1"/>
  <c r="A162" i="1"/>
  <c r="A348" i="1"/>
  <c r="A164" i="1"/>
  <c r="A350" i="1"/>
  <c r="A465" i="1"/>
  <c r="F11" i="2" l="1"/>
  <c r="E11" i="2"/>
  <c r="L457" i="1"/>
  <c r="I457" i="1"/>
  <c r="H457" i="1"/>
  <c r="M457" i="1" s="1"/>
  <c r="G457" i="1"/>
  <c r="D457" i="1"/>
  <c r="A457" i="1"/>
  <c r="D460" i="1" l="1"/>
  <c r="D459" i="1"/>
  <c r="J342" i="1"/>
  <c r="J341" i="1"/>
  <c r="J156" i="1"/>
  <c r="J155" i="1"/>
  <c r="J459" i="1"/>
  <c r="I459" i="1" s="1"/>
  <c r="G459" i="1"/>
  <c r="A459" i="1"/>
  <c r="J458" i="1"/>
  <c r="L459" i="1" l="1"/>
  <c r="L335" i="1"/>
  <c r="I335" i="1"/>
  <c r="G335" i="1"/>
  <c r="D335" i="1"/>
  <c r="A335" i="1"/>
  <c r="J152" i="1"/>
  <c r="J151" i="1"/>
  <c r="J455" i="1"/>
  <c r="L338" i="1" l="1"/>
  <c r="I338" i="1"/>
  <c r="H338" i="1"/>
  <c r="M338" i="1" s="1"/>
  <c r="G338" i="1"/>
  <c r="D338" i="1"/>
  <c r="A338" i="1"/>
  <c r="L337" i="1"/>
  <c r="I337" i="1"/>
  <c r="G337" i="1"/>
  <c r="D337" i="1"/>
  <c r="A337" i="1"/>
  <c r="L336" i="1"/>
  <c r="I336" i="1"/>
  <c r="G336" i="1"/>
  <c r="D336" i="1"/>
  <c r="A336" i="1"/>
  <c r="L153" i="1"/>
  <c r="I153" i="1"/>
  <c r="H153" i="1"/>
  <c r="M153" i="1" s="1"/>
  <c r="G153" i="1"/>
  <c r="D153" i="1"/>
  <c r="A153" i="1"/>
  <c r="L460" i="1"/>
  <c r="I460" i="1"/>
  <c r="H460" i="1"/>
  <c r="M460" i="1" s="1"/>
  <c r="G460" i="1"/>
  <c r="A460" i="1"/>
  <c r="L458" i="1"/>
  <c r="I458" i="1"/>
  <c r="G458" i="1"/>
  <c r="D458" i="1"/>
  <c r="A458" i="1"/>
  <c r="D144" i="1" l="1"/>
  <c r="D145" i="1"/>
  <c r="D146" i="1"/>
  <c r="D147" i="1"/>
  <c r="D148" i="1"/>
  <c r="D329" i="1"/>
  <c r="D330" i="1"/>
  <c r="D331" i="1"/>
  <c r="D332" i="1"/>
  <c r="D333" i="1"/>
  <c r="D453" i="1"/>
  <c r="D454" i="1"/>
  <c r="D455" i="1"/>
  <c r="D456" i="1"/>
  <c r="D149" i="1"/>
  <c r="D334" i="1"/>
  <c r="D150" i="1"/>
  <c r="D151" i="1"/>
  <c r="D152" i="1"/>
  <c r="D154" i="1"/>
  <c r="D155" i="1"/>
  <c r="D156" i="1"/>
  <c r="D157" i="1"/>
  <c r="D339" i="1"/>
  <c r="D340" i="1"/>
  <c r="D341" i="1"/>
  <c r="D342" i="1"/>
  <c r="D343" i="1"/>
  <c r="D461" i="1"/>
  <c r="D462" i="1"/>
  <c r="D463" i="1"/>
  <c r="D158" i="1"/>
  <c r="D159" i="1"/>
  <c r="D161" i="1"/>
  <c r="D344" i="1"/>
  <c r="D345" i="1"/>
  <c r="D346" i="1"/>
  <c r="D347" i="1"/>
  <c r="D162" i="1"/>
  <c r="D348" i="1"/>
  <c r="D164" i="1"/>
  <c r="D350" i="1"/>
  <c r="D465" i="1"/>
  <c r="D466" i="1"/>
  <c r="D165" i="1"/>
  <c r="D166" i="1"/>
  <c r="D167" i="1"/>
  <c r="D168" i="1"/>
  <c r="D169" i="1"/>
  <c r="D351" i="1"/>
  <c r="D352" i="1"/>
  <c r="D353" i="1"/>
  <c r="D354" i="1"/>
  <c r="D355" i="1"/>
  <c r="D467" i="1"/>
  <c r="D468" i="1"/>
  <c r="D469" i="1"/>
  <c r="D170" i="1"/>
  <c r="D171" i="1"/>
  <c r="D172" i="1"/>
  <c r="D173" i="1"/>
  <c r="D174" i="1"/>
  <c r="D356" i="1"/>
  <c r="D357" i="1"/>
  <c r="D358" i="1"/>
  <c r="D359" i="1"/>
  <c r="D360" i="1"/>
  <c r="D470" i="1"/>
  <c r="D471" i="1"/>
  <c r="D472" i="1"/>
  <c r="D175" i="1"/>
  <c r="D176" i="1"/>
  <c r="D178" i="1"/>
  <c r="D361" i="1"/>
  <c r="D362" i="1"/>
  <c r="D363" i="1"/>
  <c r="D364" i="1"/>
  <c r="D365" i="1"/>
  <c r="D473" i="1"/>
  <c r="D474" i="1"/>
  <c r="D475" i="1"/>
  <c r="D476" i="1"/>
  <c r="D179" i="1"/>
  <c r="D180" i="1"/>
  <c r="D181" i="1"/>
  <c r="D182" i="1"/>
  <c r="D366" i="1"/>
  <c r="D367" i="1"/>
  <c r="D368" i="1"/>
  <c r="D477" i="1"/>
  <c r="D478" i="1"/>
  <c r="D183" i="1"/>
  <c r="D184" i="1"/>
  <c r="D369" i="1"/>
  <c r="D480" i="1"/>
  <c r="D481" i="1"/>
  <c r="D482"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91" i="1"/>
  <c r="D592" i="1"/>
  <c r="D593"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5" i="1"/>
  <c r="D1006" i="1"/>
  <c r="D1007" i="1"/>
  <c r="D1008" i="1"/>
  <c r="D1009" i="1"/>
  <c r="D1010" i="1"/>
  <c r="D1011" i="1"/>
  <c r="D1012" i="1"/>
  <c r="D1013" i="1"/>
  <c r="D1014" i="1"/>
  <c r="D1015" i="1"/>
  <c r="D1016" i="1"/>
  <c r="D1017" i="1"/>
  <c r="D1018" i="1"/>
  <c r="D1019" i="1"/>
  <c r="D1020" i="1"/>
  <c r="D1021" i="1"/>
  <c r="D1022" i="1"/>
  <c r="D1023" i="1"/>
  <c r="D1024" i="1"/>
  <c r="D1025" i="1"/>
  <c r="D1026"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L6" i="1" l="1"/>
  <c r="L189" i="1"/>
  <c r="L375" i="1"/>
  <c r="L7" i="1"/>
  <c r="L190" i="1"/>
  <c r="L376" i="1"/>
  <c r="L8" i="1"/>
  <c r="L191" i="1"/>
  <c r="L377" i="1"/>
  <c r="L9" i="1"/>
  <c r="L192" i="1"/>
  <c r="L378" i="1"/>
  <c r="L10" i="1"/>
  <c r="L193" i="1"/>
  <c r="L379" i="1"/>
  <c r="L11" i="1"/>
  <c r="L194" i="1"/>
  <c r="L380" i="1"/>
  <c r="L12" i="1"/>
  <c r="L195" i="1"/>
  <c r="L381" i="1"/>
  <c r="L13" i="1"/>
  <c r="L382" i="1"/>
  <c r="L196" i="1"/>
  <c r="L383" i="1"/>
  <c r="L14" i="1"/>
  <c r="L197" i="1"/>
  <c r="L384" i="1"/>
  <c r="L15" i="1"/>
  <c r="L198" i="1"/>
  <c r="L385" i="1"/>
  <c r="L16" i="1"/>
  <c r="L17" i="1"/>
  <c r="L199" i="1"/>
  <c r="L386" i="1"/>
  <c r="L18" i="1"/>
  <c r="L200" i="1"/>
  <c r="L387" i="1"/>
  <c r="L19" i="1"/>
  <c r="L201" i="1"/>
  <c r="L388" i="1"/>
  <c r="L20" i="1"/>
  <c r="L202" i="1"/>
  <c r="L389" i="1"/>
  <c r="L390" i="1"/>
  <c r="L21" i="1"/>
  <c r="L203" i="1"/>
  <c r="L391" i="1"/>
  <c r="L22" i="1"/>
  <c r="L204" i="1"/>
  <c r="L392" i="1"/>
  <c r="L23" i="1"/>
  <c r="L205" i="1"/>
  <c r="L393" i="1"/>
  <c r="L394" i="1"/>
  <c r="L24" i="1"/>
  <c r="L206" i="1"/>
  <c r="L395" i="1"/>
  <c r="L25" i="1"/>
  <c r="L207" i="1"/>
  <c r="L396" i="1"/>
  <c r="L26" i="1"/>
  <c r="L208" i="1"/>
  <c r="L397" i="1"/>
  <c r="L27" i="1"/>
  <c r="L209" i="1"/>
  <c r="L398" i="1"/>
  <c r="L28" i="1"/>
  <c r="L210" i="1"/>
  <c r="L399" i="1"/>
  <c r="L211" i="1"/>
  <c r="L400" i="1"/>
  <c r="L29" i="1"/>
  <c r="L212" i="1"/>
  <c r="L401" i="1"/>
  <c r="L30" i="1"/>
  <c r="L213" i="1"/>
  <c r="L402" i="1"/>
  <c r="L31" i="1"/>
  <c r="L214" i="1"/>
  <c r="L32" i="1"/>
  <c r="L215" i="1"/>
  <c r="L403" i="1"/>
  <c r="L33" i="1"/>
  <c r="L216" i="1"/>
  <c r="L404" i="1"/>
  <c r="L34" i="1"/>
  <c r="L217" i="1"/>
  <c r="L405" i="1"/>
  <c r="L35" i="1"/>
  <c r="L218" i="1"/>
  <c r="L36" i="1"/>
  <c r="L219" i="1"/>
  <c r="L37" i="1"/>
  <c r="L220" i="1"/>
  <c r="L38" i="1"/>
  <c r="L221" i="1"/>
  <c r="L39" i="1"/>
  <c r="L222" i="1"/>
  <c r="L40" i="1"/>
  <c r="L223" i="1"/>
  <c r="L41" i="1"/>
  <c r="L224" i="1"/>
  <c r="L406" i="1"/>
  <c r="L42" i="1"/>
  <c r="L225" i="1"/>
  <c r="L43" i="1"/>
  <c r="L226" i="1"/>
  <c r="L44" i="1"/>
  <c r="L227" i="1"/>
  <c r="L45" i="1"/>
  <c r="L228" i="1"/>
  <c r="L46" i="1"/>
  <c r="L229" i="1"/>
  <c r="L47" i="1"/>
  <c r="L230" i="1"/>
  <c r="L48" i="1"/>
  <c r="L231" i="1"/>
  <c r="L49" i="1"/>
  <c r="L232" i="1"/>
  <c r="L50" i="1"/>
  <c r="L233" i="1"/>
  <c r="L51" i="1"/>
  <c r="L234" i="1"/>
  <c r="L52" i="1"/>
  <c r="L235" i="1"/>
  <c r="L53" i="1"/>
  <c r="L236" i="1"/>
  <c r="L237" i="1"/>
  <c r="L238" i="1"/>
  <c r="L54" i="1"/>
  <c r="L239" i="1"/>
  <c r="L55" i="1"/>
  <c r="L240" i="1"/>
  <c r="L56" i="1"/>
  <c r="L241" i="1"/>
  <c r="L57" i="1"/>
  <c r="L242" i="1"/>
  <c r="L58" i="1"/>
  <c r="L243" i="1"/>
  <c r="L59" i="1"/>
  <c r="L244" i="1"/>
  <c r="L60" i="1"/>
  <c r="L245" i="1"/>
  <c r="L61" i="1"/>
  <c r="L246" i="1"/>
  <c r="L62" i="1"/>
  <c r="L247" i="1"/>
  <c r="L63" i="1"/>
  <c r="L248" i="1"/>
  <c r="L407" i="1"/>
  <c r="L64" i="1"/>
  <c r="L408" i="1"/>
  <c r="L65" i="1"/>
  <c r="L249" i="1"/>
  <c r="L409" i="1"/>
  <c r="L66" i="1"/>
  <c r="L250" i="1"/>
  <c r="L410" i="1"/>
  <c r="L67" i="1"/>
  <c r="L251" i="1"/>
  <c r="L411" i="1"/>
  <c r="L68" i="1"/>
  <c r="L252" i="1"/>
  <c r="L412" i="1"/>
  <c r="L69" i="1"/>
  <c r="L253" i="1"/>
  <c r="L413" i="1"/>
  <c r="L70" i="1"/>
  <c r="L254" i="1"/>
  <c r="L71" i="1"/>
  <c r="L414" i="1"/>
  <c r="L72" i="1"/>
  <c r="L255" i="1"/>
  <c r="L256" i="1"/>
  <c r="L73" i="1"/>
  <c r="L257" i="1"/>
  <c r="L258" i="1"/>
  <c r="L74" i="1"/>
  <c r="L259" i="1"/>
  <c r="L75" i="1"/>
  <c r="L260" i="1"/>
  <c r="L76" i="1"/>
  <c r="L261" i="1"/>
  <c r="L77" i="1"/>
  <c r="L78" i="1"/>
  <c r="L262" i="1"/>
  <c r="L79" i="1"/>
  <c r="L415" i="1"/>
  <c r="L416" i="1"/>
  <c r="L80" i="1"/>
  <c r="L417" i="1"/>
  <c r="L81" i="1"/>
  <c r="L263" i="1"/>
  <c r="L82" i="1"/>
  <c r="L264" i="1"/>
  <c r="L83" i="1"/>
  <c r="L265" i="1"/>
  <c r="L418" i="1"/>
  <c r="L84" i="1"/>
  <c r="L266" i="1"/>
  <c r="L267" i="1"/>
  <c r="L419" i="1"/>
  <c r="L85" i="1"/>
  <c r="L268" i="1"/>
  <c r="L420" i="1"/>
  <c r="L86" i="1"/>
  <c r="L421" i="1"/>
  <c r="L87" i="1"/>
  <c r="L269" i="1"/>
  <c r="L88" i="1"/>
  <c r="L89" i="1"/>
  <c r="L270" i="1"/>
  <c r="L422" i="1"/>
  <c r="L90" i="1"/>
  <c r="L91" i="1"/>
  <c r="L271" i="1"/>
  <c r="L423" i="1"/>
  <c r="L92" i="1"/>
  <c r="L272" i="1"/>
  <c r="L424" i="1"/>
  <c r="L93" i="1"/>
  <c r="L273" i="1"/>
  <c r="L425" i="1"/>
  <c r="L94" i="1"/>
  <c r="L274" i="1"/>
  <c r="L426" i="1"/>
  <c r="L95" i="1"/>
  <c r="L427" i="1"/>
  <c r="L96" i="1"/>
  <c r="L275" i="1"/>
  <c r="L428" i="1"/>
  <c r="L97" i="1"/>
  <c r="L276" i="1"/>
  <c r="L429" i="1"/>
  <c r="L98" i="1"/>
  <c r="L277" i="1"/>
  <c r="L430" i="1"/>
  <c r="L99" i="1"/>
  <c r="L278" i="1"/>
  <c r="L431" i="1"/>
  <c r="L100" i="1"/>
  <c r="L279" i="1"/>
  <c r="L280" i="1"/>
  <c r="L432" i="1"/>
  <c r="L101" i="1"/>
  <c r="L281" i="1"/>
  <c r="L433" i="1"/>
  <c r="L102" i="1"/>
  <c r="L282" i="1"/>
  <c r="L434" i="1"/>
  <c r="L103" i="1"/>
  <c r="L104" i="1"/>
  <c r="L283" i="1"/>
  <c r="L435" i="1"/>
  <c r="L105" i="1"/>
  <c r="L284" i="1"/>
  <c r="L436" i="1"/>
  <c r="L106" i="1"/>
  <c r="L285" i="1"/>
  <c r="L107" i="1"/>
  <c r="L286" i="1"/>
  <c r="L108" i="1"/>
  <c r="L287" i="1"/>
  <c r="L109" i="1"/>
  <c r="L288" i="1"/>
  <c r="L110" i="1"/>
  <c r="L289" i="1"/>
  <c r="L290" i="1"/>
  <c r="L111" i="1"/>
  <c r="L291" i="1"/>
  <c r="L112" i="1"/>
  <c r="L292" i="1"/>
  <c r="L113" i="1"/>
  <c r="L293" i="1"/>
  <c r="L114" i="1"/>
  <c r="L294" i="1"/>
  <c r="L115" i="1"/>
  <c r="L295" i="1"/>
  <c r="L116" i="1"/>
  <c r="L296" i="1"/>
  <c r="L117" i="1"/>
  <c r="L297" i="1"/>
  <c r="L118" i="1"/>
  <c r="L298" i="1"/>
  <c r="L119" i="1"/>
  <c r="L299" i="1"/>
  <c r="L300" i="1"/>
  <c r="L120" i="1"/>
  <c r="L437" i="1"/>
  <c r="L301" i="1"/>
  <c r="L438" i="1"/>
  <c r="L302" i="1"/>
  <c r="L303" i="1"/>
  <c r="L439" i="1"/>
  <c r="L121" i="1"/>
  <c r="L304" i="1"/>
  <c r="L440" i="1"/>
  <c r="L305" i="1"/>
  <c r="L441" i="1"/>
  <c r="L122" i="1"/>
  <c r="L123" i="1"/>
  <c r="L124" i="1"/>
  <c r="L125" i="1"/>
  <c r="L306" i="1"/>
  <c r="L126" i="1"/>
  <c r="L307" i="1"/>
  <c r="L127" i="1"/>
  <c r="L308" i="1"/>
  <c r="L309" i="1"/>
  <c r="L442" i="1"/>
  <c r="L443" i="1"/>
  <c r="L444" i="1"/>
  <c r="L128" i="1"/>
  <c r="L129" i="1"/>
  <c r="L130" i="1"/>
  <c r="L131" i="1"/>
  <c r="L310" i="1"/>
  <c r="L311" i="1"/>
  <c r="L312" i="1"/>
  <c r="L313" i="1"/>
  <c r="L445" i="1"/>
  <c r="L446" i="1"/>
  <c r="L132" i="1"/>
  <c r="L133" i="1"/>
  <c r="L134" i="1"/>
  <c r="L135" i="1"/>
  <c r="L314" i="1"/>
  <c r="L315" i="1"/>
  <c r="L316" i="1"/>
  <c r="L317" i="1"/>
  <c r="L447" i="1"/>
  <c r="L136" i="1"/>
  <c r="L318" i="1"/>
  <c r="L137" i="1"/>
  <c r="L319" i="1"/>
  <c r="L138" i="1"/>
  <c r="L320" i="1"/>
  <c r="L321" i="1"/>
  <c r="L139" i="1"/>
  <c r="L322" i="1"/>
  <c r="L140" i="1"/>
  <c r="L323" i="1"/>
  <c r="L324" i="1"/>
  <c r="L448" i="1"/>
  <c r="L141" i="1"/>
  <c r="L325" i="1"/>
  <c r="L326" i="1"/>
  <c r="L142" i="1"/>
  <c r="L327" i="1"/>
  <c r="L449" i="1"/>
  <c r="L143" i="1"/>
  <c r="L328" i="1"/>
  <c r="L450" i="1"/>
  <c r="L451" i="1"/>
  <c r="L452" i="1"/>
  <c r="L144" i="1"/>
  <c r="L145" i="1"/>
  <c r="L146" i="1"/>
  <c r="L147" i="1"/>
  <c r="L148" i="1"/>
  <c r="L329" i="1"/>
  <c r="L330" i="1"/>
  <c r="L331" i="1"/>
  <c r="L332" i="1"/>
  <c r="L333" i="1"/>
  <c r="L453" i="1"/>
  <c r="L454" i="1"/>
  <c r="L455" i="1"/>
  <c r="L456" i="1"/>
  <c r="L149" i="1"/>
  <c r="L334" i="1"/>
  <c r="L150" i="1"/>
  <c r="L151" i="1"/>
  <c r="L152" i="1"/>
  <c r="L154" i="1"/>
  <c r="L155" i="1"/>
  <c r="L156" i="1"/>
  <c r="L157" i="1"/>
  <c r="L339" i="1"/>
  <c r="L340" i="1"/>
  <c r="L341" i="1"/>
  <c r="L342" i="1"/>
  <c r="L343" i="1"/>
  <c r="L461" i="1"/>
  <c r="L462" i="1"/>
  <c r="L463" i="1"/>
  <c r="L158" i="1"/>
  <c r="L159" i="1"/>
  <c r="L161" i="1"/>
  <c r="L344" i="1"/>
  <c r="L345" i="1"/>
  <c r="L346" i="1"/>
  <c r="L347" i="1"/>
  <c r="L162" i="1"/>
  <c r="L348" i="1"/>
  <c r="L164" i="1"/>
  <c r="L350" i="1"/>
  <c r="L465" i="1"/>
  <c r="L466" i="1"/>
  <c r="L165" i="1"/>
  <c r="L166" i="1"/>
  <c r="L167" i="1"/>
  <c r="L168" i="1"/>
  <c r="L169" i="1"/>
  <c r="L351" i="1"/>
  <c r="L352" i="1"/>
  <c r="L353" i="1"/>
  <c r="L354" i="1"/>
  <c r="L355" i="1"/>
  <c r="L467" i="1"/>
  <c r="L468" i="1"/>
  <c r="L469" i="1"/>
  <c r="L170" i="1"/>
  <c r="L171" i="1"/>
  <c r="L172" i="1"/>
  <c r="L173" i="1"/>
  <c r="L174" i="1"/>
  <c r="L356" i="1"/>
  <c r="L357" i="1"/>
  <c r="L358" i="1"/>
  <c r="L359" i="1"/>
  <c r="L360" i="1"/>
  <c r="L470" i="1"/>
  <c r="L471" i="1"/>
  <c r="L472" i="1"/>
  <c r="L175" i="1"/>
  <c r="L176" i="1"/>
  <c r="L178" i="1"/>
  <c r="L361" i="1"/>
  <c r="L362" i="1"/>
  <c r="L363" i="1"/>
  <c r="L364" i="1"/>
  <c r="L365" i="1"/>
  <c r="L473" i="1"/>
  <c r="L474" i="1"/>
  <c r="L475" i="1"/>
  <c r="L476" i="1"/>
  <c r="L179" i="1"/>
  <c r="L180" i="1"/>
  <c r="L181" i="1"/>
  <c r="L182" i="1"/>
  <c r="L366" i="1"/>
  <c r="L367" i="1"/>
  <c r="L368" i="1"/>
  <c r="L477" i="1"/>
  <c r="L478" i="1"/>
  <c r="L183" i="1"/>
  <c r="L184" i="1"/>
  <c r="L369" i="1"/>
  <c r="L480" i="1"/>
  <c r="L481" i="1"/>
  <c r="L482"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91" i="1"/>
  <c r="L592" i="1"/>
  <c r="L593"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2" i="1"/>
  <c r="L185" i="1"/>
  <c r="L371" i="1"/>
  <c r="L3" i="1"/>
  <c r="L186" i="1"/>
  <c r="L372" i="1"/>
  <c r="L4" i="1"/>
  <c r="L187" i="1"/>
  <c r="L373" i="1"/>
  <c r="L5" i="1"/>
  <c r="L188" i="1"/>
  <c r="L374" i="1"/>
  <c r="M370" i="1"/>
  <c r="H321" i="1"/>
  <c r="M321" i="1" s="1"/>
  <c r="H324" i="1"/>
  <c r="M324" i="1" s="1"/>
  <c r="H148" i="1"/>
  <c r="M148" i="1" s="1"/>
  <c r="H333" i="1"/>
  <c r="M333" i="1" s="1"/>
  <c r="H456" i="1"/>
  <c r="M456" i="1" s="1"/>
  <c r="H157" i="1"/>
  <c r="M157" i="1" s="1"/>
  <c r="H343" i="1"/>
  <c r="M343" i="1" s="1"/>
  <c r="H463" i="1"/>
  <c r="M463" i="1" s="1"/>
  <c r="H161" i="1"/>
  <c r="M161" i="1" s="1"/>
  <c r="H347" i="1"/>
  <c r="M347" i="1" s="1"/>
  <c r="H466" i="1"/>
  <c r="M466" i="1" s="1"/>
  <c r="H169" i="1"/>
  <c r="M169" i="1" s="1"/>
  <c r="H355" i="1"/>
  <c r="M355" i="1" s="1"/>
  <c r="H174" i="1"/>
  <c r="M174" i="1" s="1"/>
  <c r="H360" i="1"/>
  <c r="M360" i="1" s="1"/>
  <c r="H365" i="1"/>
  <c r="M365" i="1" s="1"/>
  <c r="H476" i="1"/>
  <c r="M476" i="1" s="1"/>
  <c r="H480" i="1"/>
  <c r="M480" i="1" s="1"/>
  <c r="H482" i="1"/>
  <c r="M482" i="1" s="1"/>
  <c r="H488" i="1"/>
  <c r="M488" i="1" s="1"/>
  <c r="H495" i="1"/>
  <c r="M495" i="1" s="1"/>
  <c r="H500" i="1"/>
  <c r="M500" i="1" s="1"/>
  <c r="H501" i="1"/>
  <c r="M501" i="1" s="1"/>
  <c r="H504" i="1"/>
  <c r="M504" i="1" s="1"/>
  <c r="H509" i="1"/>
  <c r="M509" i="1" s="1"/>
  <c r="H513" i="1"/>
  <c r="M513" i="1" s="1"/>
  <c r="H516" i="1"/>
  <c r="M516" i="1" s="1"/>
  <c r="H521" i="1"/>
  <c r="M521" i="1" s="1"/>
  <c r="H526" i="1"/>
  <c r="M526" i="1" s="1"/>
  <c r="H534" i="1"/>
  <c r="M534" i="1" s="1"/>
  <c r="H537" i="1"/>
  <c r="M537" i="1" s="1"/>
  <c r="H545" i="1"/>
  <c r="M545" i="1" s="1"/>
  <c r="H558" i="1"/>
  <c r="M558" i="1" s="1"/>
  <c r="H564" i="1"/>
  <c r="M564" i="1" s="1"/>
  <c r="H568" i="1"/>
  <c r="M568" i="1" s="1"/>
  <c r="H577" i="1"/>
  <c r="M577" i="1" s="1"/>
  <c r="H580" i="1"/>
  <c r="M580" i="1" s="1"/>
  <c r="H585" i="1"/>
  <c r="M585" i="1" s="1"/>
  <c r="H602" i="1"/>
  <c r="M602" i="1" s="1"/>
  <c r="H615" i="1"/>
  <c r="M615" i="1" s="1"/>
  <c r="H622" i="1"/>
  <c r="M622" i="1" s="1"/>
  <c r="H625" i="1"/>
  <c r="M625" i="1" s="1"/>
  <c r="H629" i="1"/>
  <c r="M629" i="1" s="1"/>
  <c r="H631" i="1"/>
  <c r="M631" i="1" s="1"/>
  <c r="H646" i="1"/>
  <c r="M646" i="1" s="1"/>
  <c r="H649" i="1"/>
  <c r="M649" i="1" s="1"/>
  <c r="H654" i="1"/>
  <c r="M654" i="1" s="1"/>
  <c r="H661" i="1"/>
  <c r="M661" i="1" s="1"/>
  <c r="H663" i="1"/>
  <c r="M663" i="1" s="1"/>
  <c r="H669" i="1"/>
  <c r="M669" i="1" s="1"/>
  <c r="H673" i="1"/>
  <c r="M673" i="1" s="1"/>
  <c r="H684" i="1"/>
  <c r="M684" i="1" s="1"/>
  <c r="H687" i="1"/>
  <c r="M687" i="1" s="1"/>
  <c r="H694" i="1"/>
  <c r="M694" i="1" s="1"/>
  <c r="H706" i="1"/>
  <c r="M706" i="1" s="1"/>
  <c r="H719" i="1"/>
  <c r="M719" i="1" s="1"/>
  <c r="H721" i="1"/>
  <c r="M721" i="1" s="1"/>
  <c r="H726" i="1"/>
  <c r="M726" i="1" s="1"/>
  <c r="H731" i="1"/>
  <c r="M731" i="1" s="1"/>
  <c r="H741" i="1"/>
  <c r="M741" i="1" s="1"/>
  <c r="H745" i="1"/>
  <c r="M745" i="1" s="1"/>
  <c r="H747" i="1"/>
  <c r="M747" i="1" s="1"/>
  <c r="H762" i="1"/>
  <c r="M762" i="1" s="1"/>
  <c r="H771" i="1"/>
  <c r="M771" i="1" s="1"/>
  <c r="H778" i="1"/>
  <c r="M778" i="1" s="1"/>
  <c r="H782" i="1"/>
  <c r="M782" i="1" s="1"/>
  <c r="H788" i="1"/>
  <c r="M788" i="1" s="1"/>
  <c r="H789" i="1"/>
  <c r="M789" i="1" s="1"/>
  <c r="H790" i="1"/>
  <c r="M790" i="1" s="1"/>
  <c r="H792" i="1"/>
  <c r="M792" i="1" s="1"/>
  <c r="H793" i="1"/>
  <c r="M793" i="1" s="1"/>
  <c r="H794" i="1"/>
  <c r="M794" i="1" s="1"/>
  <c r="H796" i="1"/>
  <c r="M796" i="1" s="1"/>
  <c r="H797" i="1"/>
  <c r="M797" i="1" s="1"/>
  <c r="H798" i="1"/>
  <c r="M798" i="1" s="1"/>
  <c r="H800" i="1"/>
  <c r="M800" i="1" s="1"/>
  <c r="H802" i="1"/>
  <c r="M802" i="1" s="1"/>
  <c r="H803" i="1"/>
  <c r="M803" i="1" s="1"/>
  <c r="H805" i="1"/>
  <c r="M805" i="1" s="1"/>
  <c r="H809" i="1"/>
  <c r="M809" i="1" s="1"/>
  <c r="H813" i="1"/>
  <c r="M813" i="1" s="1"/>
  <c r="H815" i="1"/>
  <c r="M815" i="1" s="1"/>
  <c r="M818" i="1"/>
  <c r="H822" i="1"/>
  <c r="M822" i="1" s="1"/>
  <c r="H833" i="1"/>
  <c r="M833" i="1" s="1"/>
  <c r="H847" i="1"/>
  <c r="M847" i="1" s="1"/>
  <c r="H863" i="1"/>
  <c r="M863" i="1" s="1"/>
  <c r="H875" i="1"/>
  <c r="M875" i="1" s="1"/>
  <c r="H886" i="1"/>
  <c r="M886" i="1" s="1"/>
  <c r="H921" i="1"/>
  <c r="M921" i="1" s="1"/>
  <c r="H927" i="1"/>
  <c r="M927" i="1" s="1"/>
  <c r="H935" i="1"/>
  <c r="M935" i="1" s="1"/>
  <c r="H947" i="1"/>
  <c r="M947" i="1" s="1"/>
  <c r="H957" i="1"/>
  <c r="M957" i="1" s="1"/>
  <c r="H984" i="1"/>
  <c r="M984" i="1" s="1"/>
  <c r="H987" i="1"/>
  <c r="M987" i="1" s="1"/>
  <c r="H988" i="1"/>
  <c r="M988" i="1" s="1"/>
  <c r="H989" i="1"/>
  <c r="M989" i="1" s="1"/>
  <c r="H997" i="1"/>
  <c r="M997" i="1" s="1"/>
  <c r="H1000" i="1"/>
  <c r="M1000" i="1" s="1"/>
  <c r="H1004" i="1"/>
  <c r="M1004" i="1" s="1"/>
  <c r="H1008" i="1"/>
  <c r="M1008" i="1" s="1"/>
  <c r="H1011" i="1"/>
  <c r="M1011" i="1" s="1"/>
  <c r="H1012" i="1"/>
  <c r="M1012" i="1" s="1"/>
  <c r="H1015" i="1"/>
  <c r="M1015" i="1" s="1"/>
  <c r="H1018" i="1"/>
  <c r="M1018" i="1" s="1"/>
  <c r="H1019" i="1"/>
  <c r="M1019" i="1" s="1"/>
  <c r="H1026" i="1"/>
  <c r="M1026" i="1" s="1"/>
  <c r="H1030" i="1"/>
  <c r="M1030" i="1" s="1"/>
  <c r="H1032" i="1"/>
  <c r="M1032" i="1" s="1"/>
  <c r="H1034" i="1"/>
  <c r="M1034" i="1" s="1"/>
  <c r="H1043" i="1"/>
  <c r="M1043" i="1" s="1"/>
  <c r="H1044" i="1"/>
  <c r="M1044" i="1" s="1"/>
  <c r="H1045" i="1"/>
  <c r="M1045" i="1" s="1"/>
  <c r="H1049" i="1"/>
  <c r="M1049" i="1" s="1"/>
  <c r="H1054" i="1"/>
  <c r="M1054" i="1" s="1"/>
  <c r="H1061" i="1"/>
  <c r="M1061" i="1" s="1"/>
  <c r="H1065" i="1"/>
  <c r="M1065" i="1" s="1"/>
  <c r="H1070" i="1"/>
  <c r="M1070" i="1" s="1"/>
  <c r="H1074" i="1"/>
  <c r="M1074" i="1" s="1"/>
  <c r="H1077" i="1"/>
  <c r="M1077" i="1" s="1"/>
  <c r="H1079" i="1"/>
  <c r="M1079" i="1" s="1"/>
  <c r="H1081" i="1"/>
  <c r="M1081" i="1" s="1"/>
  <c r="H1083" i="1"/>
  <c r="M1083" i="1" s="1"/>
  <c r="H1085" i="1"/>
  <c r="M1085" i="1" s="1"/>
  <c r="H1092" i="1"/>
  <c r="M1092" i="1" s="1"/>
  <c r="H1093" i="1"/>
  <c r="M1093" i="1" s="1"/>
  <c r="H1096" i="1"/>
  <c r="M1096" i="1" s="1"/>
  <c r="H1098" i="1"/>
  <c r="M1098" i="1" s="1"/>
  <c r="H1101" i="1"/>
  <c r="M1101" i="1" s="1"/>
  <c r="H1103" i="1"/>
  <c r="M1103" i="1" s="1"/>
  <c r="H1105" i="1"/>
  <c r="M1105" i="1" s="1"/>
  <c r="H1107" i="1"/>
  <c r="M1107" i="1" s="1"/>
  <c r="H1109" i="1"/>
  <c r="M1109" i="1" s="1"/>
  <c r="H1114" i="1"/>
  <c r="M1114" i="1" s="1"/>
  <c r="H1117" i="1"/>
  <c r="M1117" i="1" s="1"/>
  <c r="H1122" i="1"/>
  <c r="M1122" i="1" s="1"/>
  <c r="H1126" i="1"/>
  <c r="M1126" i="1" s="1"/>
  <c r="H1132" i="1"/>
  <c r="M1132" i="1" s="1"/>
  <c r="H1135" i="1"/>
  <c r="M1135" i="1" s="1"/>
  <c r="H1139" i="1"/>
  <c r="M1139" i="1" s="1"/>
  <c r="H1146" i="1"/>
  <c r="M1146" i="1" s="1"/>
  <c r="H1149" i="1"/>
  <c r="M1149" i="1" s="1"/>
  <c r="H1152" i="1"/>
  <c r="M1152" i="1" s="1"/>
  <c r="H1173" i="1"/>
  <c r="M1173" i="1" s="1"/>
  <c r="H1180" i="1"/>
  <c r="M1180" i="1" s="1"/>
  <c r="H1198" i="1"/>
  <c r="M1198" i="1" s="1"/>
  <c r="H1204" i="1"/>
  <c r="M1204" i="1" s="1"/>
  <c r="H1205" i="1"/>
  <c r="M1205" i="1" s="1"/>
  <c r="H1208" i="1"/>
  <c r="M1208" i="1" s="1"/>
  <c r="H1210" i="1"/>
  <c r="M1210" i="1" s="1"/>
  <c r="H1213" i="1"/>
  <c r="M1213" i="1" s="1"/>
  <c r="H1215" i="1"/>
  <c r="M1215" i="1" s="1"/>
  <c r="H1219" i="1"/>
  <c r="M1219" i="1" s="1"/>
  <c r="H1225" i="1"/>
  <c r="M1225" i="1" s="1"/>
  <c r="H1228" i="1"/>
  <c r="M1228" i="1" s="1"/>
  <c r="H1232" i="1"/>
  <c r="M1232" i="1" s="1"/>
  <c r="H1236" i="1"/>
  <c r="M1236" i="1" s="1"/>
  <c r="H1242" i="1"/>
  <c r="M1242" i="1" s="1"/>
  <c r="H1246" i="1"/>
  <c r="M1246" i="1" s="1"/>
  <c r="H1250" i="1"/>
  <c r="M1250" i="1" s="1"/>
  <c r="H1253" i="1"/>
  <c r="M1253" i="1" s="1"/>
  <c r="H1261" i="1"/>
  <c r="M1261" i="1" s="1"/>
  <c r="H1269" i="1"/>
  <c r="M1269" i="1" s="1"/>
  <c r="H1275" i="1"/>
  <c r="M1275" i="1" s="1"/>
  <c r="H1279" i="1"/>
  <c r="M1279" i="1" s="1"/>
  <c r="H1288" i="1"/>
  <c r="M1288" i="1" s="1"/>
  <c r="H1291" i="1"/>
  <c r="M1291" i="1" s="1"/>
  <c r="H1297" i="1"/>
  <c r="M1297" i="1" s="1"/>
  <c r="H1315" i="1"/>
  <c r="M1315" i="1" s="1"/>
  <c r="H1319" i="1"/>
  <c r="M1319" i="1" s="1"/>
  <c r="H1323" i="1"/>
  <c r="M1323" i="1" s="1"/>
  <c r="H1327" i="1"/>
  <c r="M1327" i="1" s="1"/>
  <c r="H1330" i="1"/>
  <c r="M1330" i="1" s="1"/>
  <c r="M1342" i="1"/>
  <c r="D326" i="1"/>
  <c r="F10" i="2" l="1"/>
  <c r="E10" i="2"/>
  <c r="F9" i="2"/>
  <c r="E9" i="2"/>
  <c r="H207" i="1" s="1"/>
  <c r="M207" i="1" s="1"/>
  <c r="F6" i="2"/>
  <c r="E6" i="2"/>
  <c r="F5" i="2"/>
  <c r="E5" i="2"/>
  <c r="H36" i="1" s="1"/>
  <c r="M36" i="1" s="1"/>
  <c r="F4" i="2"/>
  <c r="E4" i="2"/>
  <c r="E2" i="2"/>
  <c r="E3" i="2"/>
  <c r="H3" i="1" s="1"/>
  <c r="M3" i="1" s="1"/>
  <c r="F3" i="2"/>
  <c r="H1333" i="1" s="1"/>
  <c r="M1333" i="1" s="1"/>
  <c r="F8" i="2"/>
  <c r="F7" i="2"/>
  <c r="H1349" i="1" s="1"/>
  <c r="M1349" i="1" s="1"/>
  <c r="F2" i="2"/>
  <c r="H275" i="1"/>
  <c r="M275" i="1" s="1"/>
  <c r="H97" i="1"/>
  <c r="M97" i="1" s="1"/>
  <c r="H429" i="1"/>
  <c r="M429" i="1" s="1"/>
  <c r="H280" i="1"/>
  <c r="M280" i="1" s="1"/>
  <c r="H432" i="1"/>
  <c r="M432" i="1" s="1"/>
  <c r="H101" i="1"/>
  <c r="M101" i="1" s="1"/>
  <c r="H281" i="1"/>
  <c r="M281" i="1" s="1"/>
  <c r="H433" i="1"/>
  <c r="M433" i="1" s="1"/>
  <c r="H102" i="1"/>
  <c r="M102" i="1" s="1"/>
  <c r="H282" i="1"/>
  <c r="M282" i="1" s="1"/>
  <c r="H434" i="1"/>
  <c r="M434" i="1" s="1"/>
  <c r="H103" i="1"/>
  <c r="M103" i="1" s="1"/>
  <c r="H104" i="1"/>
  <c r="M104" i="1" s="1"/>
  <c r="H283" i="1"/>
  <c r="M283" i="1" s="1"/>
  <c r="H435" i="1"/>
  <c r="M435" i="1" s="1"/>
  <c r="H105" i="1"/>
  <c r="M105" i="1" s="1"/>
  <c r="H284" i="1"/>
  <c r="M284" i="1" s="1"/>
  <c r="H436" i="1"/>
  <c r="M436" i="1" s="1"/>
  <c r="H106" i="1"/>
  <c r="M106" i="1" s="1"/>
  <c r="H285" i="1"/>
  <c r="M285" i="1" s="1"/>
  <c r="H107" i="1"/>
  <c r="M107" i="1" s="1"/>
  <c r="H286" i="1"/>
  <c r="M286" i="1" s="1"/>
  <c r="H108" i="1"/>
  <c r="M108" i="1" s="1"/>
  <c r="H287" i="1"/>
  <c r="M287" i="1" s="1"/>
  <c r="H109" i="1"/>
  <c r="M109" i="1" s="1"/>
  <c r="H288" i="1"/>
  <c r="M288" i="1" s="1"/>
  <c r="H110" i="1"/>
  <c r="M110" i="1" s="1"/>
  <c r="H289" i="1"/>
  <c r="M289" i="1" s="1"/>
  <c r="H290" i="1"/>
  <c r="M290" i="1" s="1"/>
  <c r="H111" i="1"/>
  <c r="M111" i="1" s="1"/>
  <c r="H291" i="1"/>
  <c r="M291" i="1" s="1"/>
  <c r="H112" i="1"/>
  <c r="M112" i="1" s="1"/>
  <c r="H292" i="1"/>
  <c r="M292" i="1" s="1"/>
  <c r="H113" i="1"/>
  <c r="M113" i="1" s="1"/>
  <c r="H293" i="1"/>
  <c r="M293" i="1" s="1"/>
  <c r="H114" i="1"/>
  <c r="M114" i="1" s="1"/>
  <c r="H294" i="1"/>
  <c r="M294" i="1" s="1"/>
  <c r="H115" i="1"/>
  <c r="M115" i="1" s="1"/>
  <c r="H295" i="1"/>
  <c r="M295" i="1" s="1"/>
  <c r="H116" i="1"/>
  <c r="M116" i="1" s="1"/>
  <c r="H296" i="1"/>
  <c r="M296" i="1" s="1"/>
  <c r="H117" i="1"/>
  <c r="M117" i="1" s="1"/>
  <c r="H297" i="1"/>
  <c r="M297" i="1" s="1"/>
  <c r="H118" i="1"/>
  <c r="M118" i="1" s="1"/>
  <c r="H298" i="1"/>
  <c r="M298" i="1" s="1"/>
  <c r="H119" i="1"/>
  <c r="M119" i="1" s="1"/>
  <c r="H299" i="1"/>
  <c r="M299" i="1" s="1"/>
  <c r="H300" i="1"/>
  <c r="M300" i="1" s="1"/>
  <c r="H120" i="1"/>
  <c r="M120" i="1" s="1"/>
  <c r="H437" i="1"/>
  <c r="M437" i="1" s="1"/>
  <c r="H301" i="1"/>
  <c r="M301" i="1" s="1"/>
  <c r="H438" i="1"/>
  <c r="M438" i="1" s="1"/>
  <c r="H302" i="1"/>
  <c r="M302" i="1" s="1"/>
  <c r="H303" i="1"/>
  <c r="M303" i="1" s="1"/>
  <c r="H439" i="1"/>
  <c r="M439" i="1" s="1"/>
  <c r="H121" i="1"/>
  <c r="M121" i="1" s="1"/>
  <c r="H304" i="1"/>
  <c r="M304" i="1" s="1"/>
  <c r="H440" i="1"/>
  <c r="M440" i="1" s="1"/>
  <c r="H305" i="1"/>
  <c r="M305" i="1" s="1"/>
  <c r="H441" i="1"/>
  <c r="M441" i="1" s="1"/>
  <c r="H122" i="1"/>
  <c r="M122" i="1" s="1"/>
  <c r="H123" i="1"/>
  <c r="M123" i="1" s="1"/>
  <c r="H124" i="1"/>
  <c r="M124" i="1" s="1"/>
  <c r="H126" i="1"/>
  <c r="M126" i="1" s="1"/>
  <c r="H307" i="1"/>
  <c r="M307" i="1" s="1"/>
  <c r="H127" i="1"/>
  <c r="M127" i="1" s="1"/>
  <c r="H308" i="1"/>
  <c r="M308" i="1" s="1"/>
  <c r="H309" i="1"/>
  <c r="M309" i="1" s="1"/>
  <c r="H442" i="1"/>
  <c r="M442" i="1" s="1"/>
  <c r="H444" i="1"/>
  <c r="M444" i="1" s="1"/>
  <c r="H129" i="1"/>
  <c r="M129" i="1" s="1"/>
  <c r="H130" i="1"/>
  <c r="M130" i="1" s="1"/>
  <c r="H131" i="1"/>
  <c r="M131" i="1" s="1"/>
  <c r="H310" i="1"/>
  <c r="M310" i="1" s="1"/>
  <c r="H311" i="1"/>
  <c r="M311" i="1" s="1"/>
  <c r="H312" i="1"/>
  <c r="M312" i="1" s="1"/>
  <c r="H313" i="1"/>
  <c r="M313" i="1" s="1"/>
  <c r="H446" i="1"/>
  <c r="M446" i="1" s="1"/>
  <c r="H133" i="1"/>
  <c r="M133" i="1" s="1"/>
  <c r="H134" i="1"/>
  <c r="M134" i="1" s="1"/>
  <c r="H135" i="1"/>
  <c r="M135" i="1" s="1"/>
  <c r="H315" i="1"/>
  <c r="M315" i="1" s="1"/>
  <c r="H316" i="1"/>
  <c r="M316" i="1" s="1"/>
  <c r="H317" i="1"/>
  <c r="M317" i="1" s="1"/>
  <c r="H372" i="1"/>
  <c r="M372" i="1" s="1"/>
  <c r="H4" i="1"/>
  <c r="M4" i="1" s="1"/>
  <c r="H187" i="1"/>
  <c r="M187" i="1" s="1"/>
  <c r="H373" i="1"/>
  <c r="M373" i="1" s="1"/>
  <c r="H5" i="1"/>
  <c r="M5" i="1" s="1"/>
  <c r="H188" i="1"/>
  <c r="M188" i="1" s="1"/>
  <c r="H374" i="1"/>
  <c r="M374" i="1" s="1"/>
  <c r="H6" i="1"/>
  <c r="M6" i="1" s="1"/>
  <c r="H189" i="1"/>
  <c r="M189" i="1" s="1"/>
  <c r="H375" i="1"/>
  <c r="M375" i="1" s="1"/>
  <c r="H7" i="1"/>
  <c r="M7" i="1" s="1"/>
  <c r="H190" i="1"/>
  <c r="M190" i="1" s="1"/>
  <c r="H376" i="1"/>
  <c r="M376" i="1" s="1"/>
  <c r="H8" i="1"/>
  <c r="M8" i="1" s="1"/>
  <c r="H191" i="1"/>
  <c r="M191" i="1" s="1"/>
  <c r="H377" i="1"/>
  <c r="M377" i="1" s="1"/>
  <c r="H9" i="1"/>
  <c r="M9" i="1" s="1"/>
  <c r="H192" i="1"/>
  <c r="M192" i="1" s="1"/>
  <c r="H378" i="1"/>
  <c r="M378" i="1" s="1"/>
  <c r="H10" i="1"/>
  <c r="M10" i="1" s="1"/>
  <c r="H193" i="1"/>
  <c r="M193" i="1" s="1"/>
  <c r="H379" i="1"/>
  <c r="M379" i="1" s="1"/>
  <c r="H11" i="1"/>
  <c r="M11" i="1" s="1"/>
  <c r="H194" i="1"/>
  <c r="M194" i="1" s="1"/>
  <c r="H380" i="1"/>
  <c r="M380" i="1" s="1"/>
  <c r="H12" i="1"/>
  <c r="M12" i="1" s="1"/>
  <c r="H195" i="1"/>
  <c r="M195" i="1" s="1"/>
  <c r="H381" i="1"/>
  <c r="M381" i="1" s="1"/>
  <c r="H13" i="1"/>
  <c r="M13" i="1" s="1"/>
  <c r="H382" i="1"/>
  <c r="M382" i="1" s="1"/>
  <c r="H19" i="1"/>
  <c r="M19" i="1" s="1"/>
  <c r="H390" i="1"/>
  <c r="M390" i="1" s="1"/>
  <c r="H21" i="1"/>
  <c r="M21" i="1" s="1"/>
  <c r="H203" i="1"/>
  <c r="M203" i="1" s="1"/>
  <c r="H391" i="1"/>
  <c r="M391" i="1" s="1"/>
  <c r="H22" i="1"/>
  <c r="M22" i="1" s="1"/>
  <c r="H204" i="1"/>
  <c r="M204" i="1" s="1"/>
  <c r="H392" i="1"/>
  <c r="M392" i="1" s="1"/>
  <c r="H23" i="1"/>
  <c r="M23" i="1" s="1"/>
  <c r="H205" i="1"/>
  <c r="M205" i="1" s="1"/>
  <c r="H393" i="1"/>
  <c r="M393" i="1" s="1"/>
  <c r="H394" i="1"/>
  <c r="M394" i="1" s="1"/>
  <c r="H24" i="1"/>
  <c r="M24" i="1" s="1"/>
  <c r="H206" i="1"/>
  <c r="M206" i="1" s="1"/>
  <c r="H395" i="1"/>
  <c r="M395" i="1" s="1"/>
  <c r="H25" i="1"/>
  <c r="M25" i="1" s="1"/>
  <c r="H208" i="1"/>
  <c r="M208" i="1" s="1"/>
  <c r="H398" i="1"/>
  <c r="M398" i="1" s="1"/>
  <c r="H211" i="1"/>
  <c r="M211" i="1" s="1"/>
  <c r="H401" i="1"/>
  <c r="M401" i="1" s="1"/>
  <c r="H31" i="1"/>
  <c r="M31" i="1" s="1"/>
  <c r="H403" i="1"/>
  <c r="M403" i="1" s="1"/>
  <c r="H34" i="1"/>
  <c r="M34" i="1" s="1"/>
  <c r="H218" i="1"/>
  <c r="M218" i="1" s="1"/>
  <c r="H220" i="1"/>
  <c r="M220" i="1" s="1"/>
  <c r="H222" i="1"/>
  <c r="M222" i="1" s="1"/>
  <c r="H224" i="1"/>
  <c r="M224" i="1" s="1"/>
  <c r="H43" i="1"/>
  <c r="M43" i="1" s="1"/>
  <c r="H45" i="1"/>
  <c r="M45" i="1" s="1"/>
  <c r="H47" i="1"/>
  <c r="M47" i="1" s="1"/>
  <c r="H49" i="1"/>
  <c r="M49" i="1" s="1"/>
  <c r="H51" i="1"/>
  <c r="M51" i="1" s="1"/>
  <c r="H53" i="1"/>
  <c r="M53" i="1" s="1"/>
  <c r="H54" i="1"/>
  <c r="M54" i="1" s="1"/>
  <c r="H56" i="1"/>
  <c r="M56" i="1" s="1"/>
  <c r="H58" i="1"/>
  <c r="M58" i="1" s="1"/>
  <c r="H60" i="1"/>
  <c r="M60" i="1" s="1"/>
  <c r="H62" i="1"/>
  <c r="M62" i="1" s="1"/>
  <c r="H407" i="1"/>
  <c r="M407" i="1" s="1"/>
  <c r="H249" i="1"/>
  <c r="M249" i="1" s="1"/>
  <c r="H410" i="1"/>
  <c r="M410" i="1" s="1"/>
  <c r="H68" i="1"/>
  <c r="M68" i="1" s="1"/>
  <c r="H253" i="1"/>
  <c r="M253" i="1" s="1"/>
  <c r="H71" i="1"/>
  <c r="M71" i="1" s="1"/>
  <c r="H256" i="1"/>
  <c r="M256" i="1" s="1"/>
  <c r="H74" i="1"/>
  <c r="M74" i="1" s="1"/>
  <c r="H76" i="1"/>
  <c r="M76" i="1" s="1"/>
  <c r="H262" i="1"/>
  <c r="M262" i="1" s="1"/>
  <c r="H415" i="1"/>
  <c r="M415" i="1" s="1"/>
  <c r="H416" i="1"/>
  <c r="M416" i="1" s="1"/>
  <c r="H80" i="1"/>
  <c r="M80" i="1" s="1"/>
  <c r="H417" i="1"/>
  <c r="M417" i="1" s="1"/>
  <c r="H81" i="1"/>
  <c r="M81" i="1" s="1"/>
  <c r="H263" i="1"/>
  <c r="M263" i="1" s="1"/>
  <c r="H82" i="1"/>
  <c r="M82" i="1" s="1"/>
  <c r="H264" i="1"/>
  <c r="M264" i="1" s="1"/>
  <c r="H83" i="1"/>
  <c r="M83" i="1" s="1"/>
  <c r="H265" i="1"/>
  <c r="M265" i="1" s="1"/>
  <c r="H418" i="1"/>
  <c r="M418" i="1" s="1"/>
  <c r="H84" i="1"/>
  <c r="M84" i="1" s="1"/>
  <c r="H266" i="1"/>
  <c r="M266" i="1" s="1"/>
  <c r="H267" i="1"/>
  <c r="M267" i="1" s="1"/>
  <c r="H419" i="1"/>
  <c r="M419" i="1" s="1"/>
  <c r="H85" i="1"/>
  <c r="M85" i="1" s="1"/>
  <c r="H268" i="1"/>
  <c r="M268" i="1" s="1"/>
  <c r="H420" i="1"/>
  <c r="M420" i="1" s="1"/>
  <c r="H86" i="1"/>
  <c r="M86" i="1" s="1"/>
  <c r="H421" i="1"/>
  <c r="M421" i="1" s="1"/>
  <c r="H87" i="1"/>
  <c r="M87" i="1" s="1"/>
  <c r="H269" i="1"/>
  <c r="M269" i="1" s="1"/>
  <c r="H88" i="1"/>
  <c r="M88" i="1" s="1"/>
  <c r="H89" i="1"/>
  <c r="M89" i="1" s="1"/>
  <c r="H270" i="1"/>
  <c r="M270" i="1" s="1"/>
  <c r="H422" i="1"/>
  <c r="M422" i="1" s="1"/>
  <c r="H90" i="1"/>
  <c r="M90" i="1" s="1"/>
  <c r="E7" i="2"/>
  <c r="E8" i="2"/>
  <c r="H1340" i="1" l="1"/>
  <c r="M1340" i="1" s="1"/>
  <c r="H1351" i="1"/>
  <c r="M1351" i="1" s="1"/>
  <c r="H1348" i="1"/>
  <c r="M1348" i="1" s="1"/>
  <c r="H1352" i="1"/>
  <c r="M1352" i="1" s="1"/>
  <c r="H1345" i="1"/>
  <c r="M1345" i="1" s="1"/>
  <c r="H1341" i="1"/>
  <c r="M1341" i="1" s="1"/>
  <c r="H1343" i="1"/>
  <c r="M1343" i="1" s="1"/>
  <c r="H271" i="1"/>
  <c r="M271" i="1" s="1"/>
  <c r="H1336" i="1"/>
  <c r="M1336" i="1" s="1"/>
  <c r="H1338" i="1"/>
  <c r="M1338" i="1" s="1"/>
  <c r="H1335" i="1"/>
  <c r="M1335" i="1" s="1"/>
  <c r="H1339" i="1"/>
  <c r="M1339" i="1" s="1"/>
  <c r="H1334" i="1"/>
  <c r="M1334" i="1" s="1"/>
  <c r="H1337" i="1"/>
  <c r="M1337" i="1" s="1"/>
  <c r="H386" i="1"/>
  <c r="M386" i="1" s="1"/>
  <c r="H99" i="1"/>
  <c r="M99" i="1" s="1"/>
  <c r="H95" i="1"/>
  <c r="M95" i="1" s="1"/>
  <c r="H279" i="1"/>
  <c r="M279" i="1" s="1"/>
  <c r="H385" i="1"/>
  <c r="M385" i="1" s="1"/>
  <c r="H371" i="1"/>
  <c r="M371" i="1" s="1"/>
  <c r="H425" i="1"/>
  <c r="M425" i="1" s="1"/>
  <c r="H202" i="1"/>
  <c r="M202" i="1" s="1"/>
  <c r="H197" i="1"/>
  <c r="M197" i="1" s="1"/>
  <c r="H272" i="1"/>
  <c r="M272" i="1" s="1"/>
  <c r="H258" i="1"/>
  <c r="M258" i="1" s="1"/>
  <c r="H411" i="1"/>
  <c r="M411" i="1" s="1"/>
  <c r="H65" i="1"/>
  <c r="M65" i="1" s="1"/>
  <c r="H248" i="1"/>
  <c r="M248" i="1" s="1"/>
  <c r="H246" i="1"/>
  <c r="M246" i="1" s="1"/>
  <c r="H244" i="1"/>
  <c r="M244" i="1" s="1"/>
  <c r="H242" i="1"/>
  <c r="M242" i="1" s="1"/>
  <c r="H240" i="1"/>
  <c r="M240" i="1" s="1"/>
  <c r="H238" i="1"/>
  <c r="M238" i="1" s="1"/>
  <c r="H235" i="1"/>
  <c r="M235" i="1" s="1"/>
  <c r="H233" i="1"/>
  <c r="M233" i="1" s="1"/>
  <c r="H231" i="1"/>
  <c r="M231" i="1" s="1"/>
  <c r="H229" i="1"/>
  <c r="M229" i="1" s="1"/>
  <c r="H227" i="1"/>
  <c r="M227" i="1" s="1"/>
  <c r="H225" i="1"/>
  <c r="M225" i="1" s="1"/>
  <c r="H41" i="1"/>
  <c r="M41" i="1" s="1"/>
  <c r="H39" i="1"/>
  <c r="M39" i="1" s="1"/>
  <c r="H37" i="1"/>
  <c r="M37" i="1" s="1"/>
  <c r="H35" i="1"/>
  <c r="M35" i="1" s="1"/>
  <c r="H404" i="1"/>
  <c r="M404" i="1" s="1"/>
  <c r="H215" i="1"/>
  <c r="M215" i="1" s="1"/>
  <c r="H402" i="1"/>
  <c r="M402" i="1" s="1"/>
  <c r="H212" i="1"/>
  <c r="M212" i="1" s="1"/>
  <c r="H399" i="1"/>
  <c r="M399" i="1" s="1"/>
  <c r="H209" i="1"/>
  <c r="M209" i="1" s="1"/>
  <c r="H26" i="1"/>
  <c r="M26" i="1" s="1"/>
  <c r="H20" i="1"/>
  <c r="M20" i="1" s="1"/>
  <c r="H387" i="1"/>
  <c r="M387" i="1" s="1"/>
  <c r="H199" i="1"/>
  <c r="M199" i="1" s="1"/>
  <c r="H198" i="1"/>
  <c r="M198" i="1" s="1"/>
  <c r="H14" i="1"/>
  <c r="M14" i="1" s="1"/>
  <c r="H185" i="1"/>
  <c r="M185" i="1" s="1"/>
  <c r="H445" i="1"/>
  <c r="M445" i="1" s="1"/>
  <c r="H128" i="1"/>
  <c r="M128" i="1" s="1"/>
  <c r="H100" i="1"/>
  <c r="M100" i="1" s="1"/>
  <c r="H430" i="1"/>
  <c r="M430" i="1" s="1"/>
  <c r="H426" i="1"/>
  <c r="M426" i="1" s="1"/>
  <c r="H273" i="1"/>
  <c r="M273" i="1" s="1"/>
  <c r="H92" i="1"/>
  <c r="M92" i="1" s="1"/>
  <c r="H1329" i="1"/>
  <c r="M1329" i="1" s="1"/>
  <c r="H1332" i="1"/>
  <c r="M1332" i="1" s="1"/>
  <c r="H1331" i="1"/>
  <c r="M1331" i="1" s="1"/>
  <c r="H1328" i="1"/>
  <c r="M1328" i="1" s="1"/>
  <c r="H78" i="1"/>
  <c r="M78" i="1" s="1"/>
  <c r="H255" i="1"/>
  <c r="M255" i="1" s="1"/>
  <c r="H69" i="1"/>
  <c r="M69" i="1" s="1"/>
  <c r="H77" i="1"/>
  <c r="M77" i="1" s="1"/>
  <c r="H75" i="1"/>
  <c r="M75" i="1" s="1"/>
  <c r="H257" i="1"/>
  <c r="M257" i="1" s="1"/>
  <c r="H72" i="1"/>
  <c r="M72" i="1" s="1"/>
  <c r="H70" i="1"/>
  <c r="M70" i="1" s="1"/>
  <c r="H412" i="1"/>
  <c r="M412" i="1" s="1"/>
  <c r="H251" i="1"/>
  <c r="M251" i="1" s="1"/>
  <c r="H66" i="1"/>
  <c r="M66" i="1" s="1"/>
  <c r="H408" i="1"/>
  <c r="M408" i="1" s="1"/>
  <c r="H63" i="1"/>
  <c r="M63" i="1" s="1"/>
  <c r="H61" i="1"/>
  <c r="M61" i="1" s="1"/>
  <c r="H59" i="1"/>
  <c r="M59" i="1" s="1"/>
  <c r="H57" i="1"/>
  <c r="M57" i="1" s="1"/>
  <c r="H55" i="1"/>
  <c r="M55" i="1" s="1"/>
  <c r="H237" i="1"/>
  <c r="M237" i="1" s="1"/>
  <c r="H52" i="1"/>
  <c r="M52" i="1" s="1"/>
  <c r="H50" i="1"/>
  <c r="M50" i="1" s="1"/>
  <c r="H48" i="1"/>
  <c r="M48" i="1" s="1"/>
  <c r="H46" i="1"/>
  <c r="M46" i="1" s="1"/>
  <c r="H44" i="1"/>
  <c r="M44" i="1" s="1"/>
  <c r="H42" i="1"/>
  <c r="M42" i="1" s="1"/>
  <c r="H223" i="1"/>
  <c r="M223" i="1" s="1"/>
  <c r="H221" i="1"/>
  <c r="M221" i="1" s="1"/>
  <c r="H219" i="1"/>
  <c r="M219" i="1" s="1"/>
  <c r="H405" i="1"/>
  <c r="M405" i="1" s="1"/>
  <c r="H216" i="1"/>
  <c r="M216" i="1" s="1"/>
  <c r="H32" i="1"/>
  <c r="M32" i="1" s="1"/>
  <c r="H213" i="1"/>
  <c r="M213" i="1" s="1"/>
  <c r="H29" i="1"/>
  <c r="M29" i="1" s="1"/>
  <c r="H210" i="1"/>
  <c r="M210" i="1" s="1"/>
  <c r="H27" i="1"/>
  <c r="M27" i="1" s="1"/>
  <c r="H396" i="1"/>
  <c r="M396" i="1" s="1"/>
  <c r="H388" i="1"/>
  <c r="M388" i="1" s="1"/>
  <c r="H200" i="1"/>
  <c r="M200" i="1" s="1"/>
  <c r="H17" i="1"/>
  <c r="M17" i="1" s="1"/>
  <c r="H15" i="1"/>
  <c r="M15" i="1" s="1"/>
  <c r="H383" i="1"/>
  <c r="M383" i="1" s="1"/>
  <c r="H186" i="1"/>
  <c r="M186" i="1" s="1"/>
  <c r="H2" i="1"/>
  <c r="M2" i="1" s="1"/>
  <c r="H306" i="1"/>
  <c r="M306" i="1" s="1"/>
  <c r="H431" i="1"/>
  <c r="M431" i="1" s="1"/>
  <c r="H277" i="1"/>
  <c r="M277" i="1" s="1"/>
  <c r="H274" i="1"/>
  <c r="M274" i="1" s="1"/>
  <c r="H93" i="1"/>
  <c r="M93" i="1" s="1"/>
  <c r="H423" i="1"/>
  <c r="M423" i="1" s="1"/>
  <c r="H260" i="1"/>
  <c r="M260" i="1" s="1"/>
  <c r="H254" i="1"/>
  <c r="M254" i="1" s="1"/>
  <c r="H250" i="1"/>
  <c r="M250" i="1" s="1"/>
  <c r="H79" i="1"/>
  <c r="M79" i="1" s="1"/>
  <c r="H261" i="1"/>
  <c r="M261" i="1" s="1"/>
  <c r="H259" i="1"/>
  <c r="M259" i="1" s="1"/>
  <c r="H73" i="1"/>
  <c r="M73" i="1" s="1"/>
  <c r="H414" i="1"/>
  <c r="M414" i="1" s="1"/>
  <c r="H413" i="1"/>
  <c r="M413" i="1" s="1"/>
  <c r="H252" i="1"/>
  <c r="M252" i="1" s="1"/>
  <c r="H67" i="1"/>
  <c r="M67" i="1" s="1"/>
  <c r="H409" i="1"/>
  <c r="M409" i="1" s="1"/>
  <c r="H64" i="1"/>
  <c r="M64" i="1" s="1"/>
  <c r="H247" i="1"/>
  <c r="M247" i="1" s="1"/>
  <c r="H245" i="1"/>
  <c r="M245" i="1" s="1"/>
  <c r="H243" i="1"/>
  <c r="M243" i="1" s="1"/>
  <c r="H241" i="1"/>
  <c r="M241" i="1" s="1"/>
  <c r="H239" i="1"/>
  <c r="M239" i="1" s="1"/>
  <c r="H236" i="1"/>
  <c r="M236" i="1" s="1"/>
  <c r="H234" i="1"/>
  <c r="M234" i="1" s="1"/>
  <c r="H232" i="1"/>
  <c r="M232" i="1" s="1"/>
  <c r="H230" i="1"/>
  <c r="M230" i="1" s="1"/>
  <c r="H228" i="1"/>
  <c r="M228" i="1" s="1"/>
  <c r="H226" i="1"/>
  <c r="M226" i="1" s="1"/>
  <c r="H406" i="1"/>
  <c r="M406" i="1" s="1"/>
  <c r="H40" i="1"/>
  <c r="M40" i="1" s="1"/>
  <c r="H38" i="1"/>
  <c r="M38" i="1" s="1"/>
  <c r="H217" i="1"/>
  <c r="M217" i="1" s="1"/>
  <c r="H33" i="1"/>
  <c r="M33" i="1" s="1"/>
  <c r="H214" i="1"/>
  <c r="M214" i="1" s="1"/>
  <c r="H30" i="1"/>
  <c r="M30" i="1" s="1"/>
  <c r="H400" i="1"/>
  <c r="M400" i="1" s="1"/>
  <c r="H28" i="1"/>
  <c r="M28" i="1" s="1"/>
  <c r="H397" i="1"/>
  <c r="M397" i="1" s="1"/>
  <c r="H389" i="1"/>
  <c r="M389" i="1" s="1"/>
  <c r="H201" i="1"/>
  <c r="M201" i="1" s="1"/>
  <c r="H18" i="1"/>
  <c r="M18" i="1" s="1"/>
  <c r="H16" i="1"/>
  <c r="M16" i="1" s="1"/>
  <c r="H384" i="1"/>
  <c r="M384" i="1" s="1"/>
  <c r="H196" i="1"/>
  <c r="M196" i="1" s="1"/>
  <c r="H91" i="1"/>
  <c r="M91" i="1" s="1"/>
  <c r="H314" i="1"/>
  <c r="M314" i="1" s="1"/>
  <c r="H132" i="1"/>
  <c r="M132" i="1" s="1"/>
  <c r="H443" i="1"/>
  <c r="M443" i="1" s="1"/>
  <c r="H125" i="1"/>
  <c r="M125" i="1" s="1"/>
  <c r="H278" i="1"/>
  <c r="M278" i="1" s="1"/>
  <c r="H98" i="1"/>
  <c r="M98" i="1" s="1"/>
  <c r="H427" i="1"/>
  <c r="M427" i="1" s="1"/>
  <c r="H94" i="1"/>
  <c r="M94" i="1" s="1"/>
  <c r="H424" i="1"/>
  <c r="M424" i="1" s="1"/>
  <c r="H819" i="1"/>
  <c r="U39" i="14"/>
  <c r="U32" i="14"/>
  <c r="U24" i="14"/>
  <c r="H32" i="14"/>
  <c r="H28" i="14"/>
  <c r="H26" i="14"/>
  <c r="H24" i="14"/>
  <c r="H31" i="14"/>
  <c r="H27" i="14"/>
  <c r="H25" i="14"/>
  <c r="G80" i="14"/>
  <c r="G77" i="14"/>
  <c r="G76" i="14"/>
  <c r="G75" i="14"/>
  <c r="G74" i="14"/>
  <c r="G73" i="14"/>
  <c r="G70" i="14"/>
  <c r="G69" i="14"/>
  <c r="G68" i="14"/>
  <c r="G67" i="14"/>
  <c r="G66" i="14"/>
  <c r="U38" i="14"/>
  <c r="U36" i="14"/>
  <c r="U34" i="14"/>
  <c r="U31" i="14"/>
  <c r="U27" i="14"/>
  <c r="G81" i="14"/>
  <c r="U30" i="14"/>
  <c r="U26" i="14"/>
  <c r="U33" i="14"/>
  <c r="U35" i="14"/>
  <c r="U37" i="14"/>
  <c r="U25" i="14"/>
  <c r="H458" i="1"/>
  <c r="M458" i="1" s="1"/>
  <c r="H447" i="1"/>
  <c r="M447" i="1" s="1"/>
  <c r="H334" i="1"/>
  <c r="M334" i="1" s="1"/>
  <c r="H154" i="1"/>
  <c r="M154" i="1" s="1"/>
  <c r="H339" i="1"/>
  <c r="M339" i="1" s="1"/>
  <c r="H510" i="1"/>
  <c r="M510" i="1" s="1"/>
  <c r="H514" i="1"/>
  <c r="M514" i="1" s="1"/>
  <c r="H522" i="1"/>
  <c r="M522" i="1" s="1"/>
  <c r="H530" i="1"/>
  <c r="M530" i="1" s="1"/>
  <c r="H554" i="1"/>
  <c r="M554" i="1" s="1"/>
  <c r="H574" i="1"/>
  <c r="M574" i="1" s="1"/>
  <c r="H578" i="1"/>
  <c r="M578" i="1" s="1"/>
  <c r="H586" i="1"/>
  <c r="M586" i="1" s="1"/>
  <c r="H592" i="1"/>
  <c r="M592" i="1" s="1"/>
  <c r="H598" i="1"/>
  <c r="M598" i="1" s="1"/>
  <c r="H610" i="1"/>
  <c r="M610" i="1" s="1"/>
  <c r="H626" i="1"/>
  <c r="M626" i="1" s="1"/>
  <c r="H658" i="1"/>
  <c r="M658" i="1" s="1"/>
  <c r="H662" i="1"/>
  <c r="M662" i="1" s="1"/>
  <c r="H670" i="1"/>
  <c r="M670" i="1" s="1"/>
  <c r="H674" i="1"/>
  <c r="M674" i="1" s="1"/>
  <c r="H702" i="1"/>
  <c r="M702" i="1" s="1"/>
  <c r="H730" i="1"/>
  <c r="M730" i="1" s="1"/>
  <c r="H734" i="1"/>
  <c r="M734" i="1" s="1"/>
  <c r="H738" i="1"/>
  <c r="M738" i="1" s="1"/>
  <c r="H742" i="1"/>
  <c r="M742" i="1" s="1"/>
  <c r="H136" i="1"/>
  <c r="M136" i="1" s="1"/>
  <c r="H448" i="1"/>
  <c r="M448" i="1" s="1"/>
  <c r="H144" i="1"/>
  <c r="M144" i="1" s="1"/>
  <c r="H461" i="1"/>
  <c r="M461" i="1" s="1"/>
  <c r="H527" i="1"/>
  <c r="M527" i="1" s="1"/>
  <c r="H559" i="1"/>
  <c r="M559" i="1" s="1"/>
  <c r="H571" i="1"/>
  <c r="M571" i="1" s="1"/>
  <c r="H583" i="1"/>
  <c r="M583" i="1" s="1"/>
  <c r="H587" i="1"/>
  <c r="M587" i="1" s="1"/>
  <c r="H593" i="1"/>
  <c r="M593" i="1" s="1"/>
  <c r="H599" i="1"/>
  <c r="M599" i="1" s="1"/>
  <c r="H603" i="1"/>
  <c r="M603" i="1" s="1"/>
  <c r="H607" i="1"/>
  <c r="M607" i="1" s="1"/>
  <c r="H619" i="1"/>
  <c r="M619" i="1" s="1"/>
  <c r="H623" i="1"/>
  <c r="M623" i="1" s="1"/>
  <c r="H667" i="1"/>
  <c r="M667" i="1" s="1"/>
  <c r="H679" i="1"/>
  <c r="M679" i="1" s="1"/>
  <c r="H691" i="1"/>
  <c r="M691" i="1" s="1"/>
  <c r="H695" i="1"/>
  <c r="M695" i="1" s="1"/>
  <c r="H703" i="1"/>
  <c r="M703" i="1" s="1"/>
  <c r="H707" i="1"/>
  <c r="M707" i="1" s="1"/>
  <c r="H711" i="1"/>
  <c r="M711" i="1" s="1"/>
  <c r="H735" i="1"/>
  <c r="M735" i="1" s="1"/>
  <c r="H318" i="1"/>
  <c r="M318" i="1" s="1"/>
  <c r="H141" i="1"/>
  <c r="M141" i="1" s="1"/>
  <c r="H450" i="1"/>
  <c r="M450" i="1" s="1"/>
  <c r="H149" i="1"/>
  <c r="M149" i="1" s="1"/>
  <c r="H561" i="1"/>
  <c r="M561" i="1" s="1"/>
  <c r="H569" i="1"/>
  <c r="M569" i="1" s="1"/>
  <c r="H652" i="1"/>
  <c r="M652" i="1" s="1"/>
  <c r="H664" i="1"/>
  <c r="M664" i="1" s="1"/>
  <c r="H700" i="1"/>
  <c r="M700" i="1" s="1"/>
  <c r="H732" i="1"/>
  <c r="M732" i="1" s="1"/>
  <c r="H755" i="1"/>
  <c r="M755" i="1" s="1"/>
  <c r="H759" i="1"/>
  <c r="M759" i="1" s="1"/>
  <c r="H763" i="1"/>
  <c r="M763" i="1" s="1"/>
  <c r="H325" i="1"/>
  <c r="M325" i="1" s="1"/>
  <c r="H505" i="1"/>
  <c r="M505" i="1" s="1"/>
  <c r="H588" i="1"/>
  <c r="M588" i="1" s="1"/>
  <c r="H605" i="1"/>
  <c r="M605" i="1" s="1"/>
  <c r="H613" i="1"/>
  <c r="M613" i="1" s="1"/>
  <c r="H681" i="1"/>
  <c r="M681" i="1" s="1"/>
  <c r="H688" i="1"/>
  <c r="M688" i="1" s="1"/>
  <c r="H733" i="1"/>
  <c r="M733" i="1" s="1"/>
  <c r="H748" i="1"/>
  <c r="M748" i="1" s="1"/>
  <c r="H752" i="1"/>
  <c r="M752" i="1" s="1"/>
  <c r="H772" i="1"/>
  <c r="M772" i="1" s="1"/>
  <c r="H776" i="1"/>
  <c r="M776" i="1" s="1"/>
  <c r="H816" i="1"/>
  <c r="M816" i="1" s="1"/>
  <c r="H830" i="1"/>
  <c r="M830" i="1" s="1"/>
  <c r="H834" i="1"/>
  <c r="M834" i="1" s="1"/>
  <c r="H453" i="1"/>
  <c r="M453" i="1" s="1"/>
  <c r="H565" i="1"/>
  <c r="M565" i="1" s="1"/>
  <c r="H581" i="1"/>
  <c r="M581" i="1" s="1"/>
  <c r="H591" i="1"/>
  <c r="M591" i="1" s="1"/>
  <c r="H709" i="1"/>
  <c r="M709" i="1" s="1"/>
  <c r="H757" i="1"/>
  <c r="M757" i="1" s="1"/>
  <c r="H769" i="1"/>
  <c r="M769" i="1" s="1"/>
  <c r="H781" i="1"/>
  <c r="M781" i="1" s="1"/>
  <c r="H823" i="1"/>
  <c r="M823" i="1" s="1"/>
  <c r="H677" i="1"/>
  <c r="M677" i="1" s="1"/>
  <c r="H814" i="1"/>
  <c r="M814" i="1" s="1"/>
  <c r="H960" i="1"/>
  <c r="M960" i="1" s="1"/>
  <c r="H964" i="1"/>
  <c r="M964" i="1" s="1"/>
  <c r="H972" i="1"/>
  <c r="M972" i="1" s="1"/>
  <c r="H976" i="1"/>
  <c r="M976" i="1" s="1"/>
  <c r="H980" i="1"/>
  <c r="M980" i="1" s="1"/>
  <c r="H1024" i="1"/>
  <c r="M1024" i="1" s="1"/>
  <c r="H1037" i="1"/>
  <c r="M1037" i="1" s="1"/>
  <c r="H1057" i="1"/>
  <c r="M1057" i="1" s="1"/>
  <c r="H1157" i="1"/>
  <c r="M1157" i="1" s="1"/>
  <c r="H1177" i="1"/>
  <c r="M1177" i="1" s="1"/>
  <c r="H1181" i="1"/>
  <c r="M1181" i="1" s="1"/>
  <c r="H1185" i="1"/>
  <c r="M1185" i="1" s="1"/>
  <c r="H616" i="1"/>
  <c r="M616" i="1" s="1"/>
  <c r="H779" i="1"/>
  <c r="M779" i="1" s="1"/>
  <c r="H810" i="1"/>
  <c r="M810" i="1" s="1"/>
  <c r="H965" i="1"/>
  <c r="M965" i="1" s="1"/>
  <c r="H985" i="1"/>
  <c r="M985" i="1" s="1"/>
  <c r="H1001" i="1"/>
  <c r="M1001" i="1" s="1"/>
  <c r="H1005" i="1"/>
  <c r="M1005" i="1" s="1"/>
  <c r="H1025" i="1"/>
  <c r="M1025" i="1" s="1"/>
  <c r="H1046" i="1"/>
  <c r="M1046" i="1" s="1"/>
  <c r="H1050" i="1"/>
  <c r="M1050" i="1" s="1"/>
  <c r="H1062" i="1"/>
  <c r="M1062" i="1" s="1"/>
  <c r="H1066" i="1"/>
  <c r="M1066" i="1" s="1"/>
  <c r="H1078" i="1"/>
  <c r="M1078" i="1" s="1"/>
  <c r="H1082" i="1"/>
  <c r="M1082" i="1" s="1"/>
  <c r="H1154" i="1"/>
  <c r="M1154" i="1" s="1"/>
  <c r="H1166" i="1"/>
  <c r="M1166" i="1" s="1"/>
  <c r="H1170" i="1"/>
  <c r="M1170" i="1" s="1"/>
  <c r="H1174" i="1"/>
  <c r="M1174" i="1" s="1"/>
  <c r="H329" i="1"/>
  <c r="M329" i="1" s="1"/>
  <c r="H685" i="1"/>
  <c r="M685" i="1" s="1"/>
  <c r="H697" i="1"/>
  <c r="M697" i="1" s="1"/>
  <c r="H825" i="1"/>
  <c r="M825" i="1" s="1"/>
  <c r="H841" i="1"/>
  <c r="M841" i="1" s="1"/>
  <c r="H848" i="1"/>
  <c r="M848" i="1" s="1"/>
  <c r="H962" i="1"/>
  <c r="M962" i="1" s="1"/>
  <c r="H970" i="1"/>
  <c r="M970" i="1" s="1"/>
  <c r="H974" i="1"/>
  <c r="M974" i="1" s="1"/>
  <c r="H978" i="1"/>
  <c r="M978" i="1" s="1"/>
  <c r="H986" i="1"/>
  <c r="M986" i="1" s="1"/>
  <c r="H998" i="1"/>
  <c r="M998" i="1" s="1"/>
  <c r="H1002" i="1"/>
  <c r="M1002" i="1" s="1"/>
  <c r="H1006" i="1"/>
  <c r="M1006" i="1" s="1"/>
  <c r="H1022" i="1"/>
  <c r="M1022" i="1" s="1"/>
  <c r="H1055" i="1"/>
  <c r="M1055" i="1" s="1"/>
  <c r="H1059" i="1"/>
  <c r="M1059" i="1" s="1"/>
  <c r="H1071" i="1"/>
  <c r="M1071" i="1" s="1"/>
  <c r="H1075" i="1"/>
  <c r="M1075" i="1" s="1"/>
  <c r="H1163" i="1"/>
  <c r="M1163" i="1" s="1"/>
  <c r="H517" i="1"/>
  <c r="M517" i="1" s="1"/>
  <c r="H656" i="1"/>
  <c r="M656" i="1" s="1"/>
  <c r="H766" i="1"/>
  <c r="M766" i="1" s="1"/>
  <c r="H783" i="1"/>
  <c r="M783" i="1" s="1"/>
  <c r="H967" i="1"/>
  <c r="M967" i="1" s="1"/>
  <c r="H1023" i="1"/>
  <c r="M1023" i="1" s="1"/>
  <c r="H1040" i="1"/>
  <c r="M1040" i="1" s="1"/>
  <c r="H1052" i="1"/>
  <c r="M1052" i="1" s="1"/>
  <c r="H1068" i="1"/>
  <c r="M1068" i="1" s="1"/>
  <c r="H1160" i="1"/>
  <c r="M1160" i="1" s="1"/>
  <c r="H1188" i="1"/>
  <c r="M1188" i="1" s="1"/>
  <c r="H1192" i="1"/>
  <c r="M1192" i="1" s="1"/>
  <c r="H1243" i="1"/>
  <c r="M1243" i="1" s="1"/>
  <c r="H1247" i="1"/>
  <c r="M1247" i="1" s="1"/>
  <c r="H1251" i="1"/>
  <c r="M1251" i="1" s="1"/>
  <c r="H1295" i="1"/>
  <c r="M1295" i="1" s="1"/>
  <c r="H1303" i="1"/>
  <c r="M1303" i="1" s="1"/>
  <c r="H1276" i="1"/>
  <c r="M1276" i="1" s="1"/>
  <c r="H1280" i="1"/>
  <c r="M1280" i="1" s="1"/>
  <c r="H1292" i="1"/>
  <c r="M1292" i="1" s="1"/>
  <c r="H1300" i="1"/>
  <c r="M1300" i="1" s="1"/>
  <c r="H1229" i="1"/>
  <c r="M1229" i="1" s="1"/>
  <c r="H1233" i="1"/>
  <c r="M1233" i="1" s="1"/>
  <c r="H1273" i="1"/>
  <c r="M1273" i="1" s="1"/>
  <c r="H1285" i="1"/>
  <c r="M1285" i="1" s="1"/>
  <c r="H1289" i="1"/>
  <c r="M1289" i="1" s="1"/>
  <c r="H1238" i="1"/>
  <c r="M1238" i="1" s="1"/>
  <c r="H1254" i="1"/>
  <c r="M1254" i="1" s="1"/>
  <c r="H1258" i="1"/>
  <c r="M1258" i="1" s="1"/>
  <c r="H1262" i="1"/>
  <c r="M1262" i="1" s="1"/>
  <c r="H1266" i="1"/>
  <c r="M1266" i="1" s="1"/>
  <c r="H1270" i="1"/>
  <c r="M1270" i="1" s="1"/>
  <c r="H1282" i="1"/>
  <c r="M1282" i="1" s="1"/>
  <c r="H1286" i="1"/>
  <c r="M1286" i="1" s="1"/>
  <c r="H1298" i="1"/>
  <c r="M1298" i="1" s="1"/>
  <c r="H1306" i="1"/>
  <c r="M1306" i="1" s="1"/>
  <c r="U17" i="14"/>
  <c r="H20" i="14"/>
  <c r="H18" i="14"/>
  <c r="H16" i="14"/>
  <c r="H4" i="14"/>
  <c r="U20" i="14"/>
  <c r="U16" i="14"/>
  <c r="U4" i="14"/>
  <c r="U19" i="14"/>
  <c r="U15" i="14"/>
  <c r="U3" i="14"/>
  <c r="H21" i="14"/>
  <c r="H19" i="14"/>
  <c r="H17" i="14"/>
  <c r="H15" i="14"/>
  <c r="H3" i="14"/>
  <c r="G63" i="14"/>
  <c r="G62" i="14"/>
  <c r="G61" i="14"/>
  <c r="G60" i="14"/>
  <c r="G59" i="14"/>
  <c r="G58" i="14"/>
  <c r="G57" i="14"/>
  <c r="U14" i="14"/>
  <c r="U18" i="14"/>
  <c r="H594" i="1"/>
  <c r="H590" i="1"/>
  <c r="M590" i="1" s="1"/>
  <c r="H589" i="1"/>
  <c r="M589" i="1" s="1"/>
  <c r="H618" i="1"/>
  <c r="M618" i="1" s="1"/>
  <c r="H612" i="1"/>
  <c r="M612" i="1" s="1"/>
  <c r="H137" i="1"/>
  <c r="M137" i="1" s="1"/>
  <c r="H838" i="1"/>
  <c r="M838" i="1" s="1"/>
  <c r="H882" i="1"/>
  <c r="M882" i="1" s="1"/>
  <c r="H902" i="1"/>
  <c r="M902" i="1" s="1"/>
  <c r="H601" i="1"/>
  <c r="M601" i="1" s="1"/>
  <c r="H621" i="1"/>
  <c r="M621" i="1" s="1"/>
  <c r="H628" i="1"/>
  <c r="M628" i="1" s="1"/>
  <c r="H895" i="1"/>
  <c r="M895" i="1" s="1"/>
  <c r="H829" i="1"/>
  <c r="M829" i="1" s="1"/>
  <c r="H909" i="1"/>
  <c r="M909" i="1" s="1"/>
  <c r="H1141" i="1"/>
  <c r="M1141" i="1" s="1"/>
  <c r="H1145" i="1"/>
  <c r="M1145" i="1" s="1"/>
  <c r="H1169" i="1"/>
  <c r="M1169" i="1" s="1"/>
  <c r="H596" i="1"/>
  <c r="M596" i="1" s="1"/>
  <c r="H853" i="1"/>
  <c r="M853" i="1" s="1"/>
  <c r="H1134" i="1"/>
  <c r="M1134" i="1" s="1"/>
  <c r="H1138" i="1"/>
  <c r="M1138" i="1" s="1"/>
  <c r="H1162" i="1"/>
  <c r="M1162" i="1" s="1"/>
  <c r="H856" i="1"/>
  <c r="M856" i="1" s="1"/>
  <c r="H905" i="1"/>
  <c r="M905" i="1" s="1"/>
  <c r="H1119" i="1"/>
  <c r="M1119" i="1" s="1"/>
  <c r="H1131" i="1"/>
  <c r="M1131" i="1" s="1"/>
  <c r="H1151" i="1"/>
  <c r="M1151" i="1" s="1"/>
  <c r="H1159" i="1"/>
  <c r="M1159" i="1" s="1"/>
  <c r="H609" i="1"/>
  <c r="M609" i="1" s="1"/>
  <c r="H844" i="1"/>
  <c r="M844" i="1" s="1"/>
  <c r="H1148" i="1"/>
  <c r="M1148" i="1" s="1"/>
  <c r="H1156" i="1"/>
  <c r="M1156" i="1" s="1"/>
  <c r="H1164" i="1"/>
  <c r="M1164" i="1" s="1"/>
  <c r="U13" i="14"/>
  <c r="U9" i="14"/>
  <c r="U5" i="14"/>
  <c r="H14" i="14"/>
  <c r="H12" i="14"/>
  <c r="H10" i="14"/>
  <c r="H8" i="14"/>
  <c r="H6" i="14"/>
  <c r="U12" i="14"/>
  <c r="U8" i="14"/>
  <c r="U11" i="14"/>
  <c r="U7" i="14"/>
  <c r="H13" i="14"/>
  <c r="H11" i="14"/>
  <c r="H9" i="14"/>
  <c r="H7" i="14"/>
  <c r="H5" i="14"/>
  <c r="G56" i="14"/>
  <c r="G55" i="14"/>
  <c r="G54" i="14"/>
  <c r="G53" i="14"/>
  <c r="G52" i="14"/>
  <c r="G51" i="14"/>
  <c r="G50" i="14"/>
  <c r="G49" i="14"/>
  <c r="G48" i="14"/>
  <c r="G47" i="14"/>
  <c r="U10" i="14"/>
  <c r="U6" i="14"/>
  <c r="G46" i="14"/>
  <c r="H1027" i="1"/>
  <c r="M1027" i="1" s="1"/>
  <c r="H595" i="1"/>
  <c r="H177" i="1"/>
  <c r="M177" i="1" s="1"/>
  <c r="H160" i="1"/>
  <c r="M160" i="1" s="1"/>
  <c r="H336" i="1"/>
  <c r="M336" i="1" s="1"/>
  <c r="H319" i="1"/>
  <c r="M319" i="1" s="1"/>
  <c r="H139" i="1"/>
  <c r="M139" i="1" s="1"/>
  <c r="H331" i="1"/>
  <c r="M331" i="1" s="1"/>
  <c r="H345" i="1"/>
  <c r="M345" i="1" s="1"/>
  <c r="H348" i="1"/>
  <c r="M348" i="1" s="1"/>
  <c r="H168" i="1"/>
  <c r="M168" i="1" s="1"/>
  <c r="H353" i="1"/>
  <c r="M353" i="1" s="1"/>
  <c r="H172" i="1"/>
  <c r="M172" i="1" s="1"/>
  <c r="H363" i="1"/>
  <c r="M363" i="1" s="1"/>
  <c r="H494" i="1"/>
  <c r="M494" i="1" s="1"/>
  <c r="H538" i="1"/>
  <c r="M538" i="1" s="1"/>
  <c r="H666" i="1"/>
  <c r="M666" i="1" s="1"/>
  <c r="H678" i="1"/>
  <c r="M678" i="1" s="1"/>
  <c r="H682" i="1"/>
  <c r="M682" i="1" s="1"/>
  <c r="H686" i="1"/>
  <c r="M686" i="1" s="1"/>
  <c r="H690" i="1"/>
  <c r="M690" i="1" s="1"/>
  <c r="H698" i="1"/>
  <c r="M698" i="1" s="1"/>
  <c r="H710" i="1"/>
  <c r="M710" i="1" s="1"/>
  <c r="H714" i="1"/>
  <c r="M714" i="1" s="1"/>
  <c r="H746" i="1"/>
  <c r="M746" i="1" s="1"/>
  <c r="H322" i="1"/>
  <c r="M322" i="1" s="1"/>
  <c r="H142" i="1"/>
  <c r="M142" i="1" s="1"/>
  <c r="H155" i="1"/>
  <c r="M155" i="1" s="1"/>
  <c r="H159" i="1"/>
  <c r="M159" i="1" s="1"/>
  <c r="H346" i="1"/>
  <c r="M346" i="1" s="1"/>
  <c r="H164" i="1"/>
  <c r="M164" i="1" s="1"/>
  <c r="H354" i="1"/>
  <c r="M354" i="1" s="1"/>
  <c r="H469" i="1"/>
  <c r="M469" i="1" s="1"/>
  <c r="H173" i="1"/>
  <c r="M173" i="1" s="1"/>
  <c r="H358" i="1"/>
  <c r="M358" i="1" s="1"/>
  <c r="H178" i="1"/>
  <c r="M178" i="1" s="1"/>
  <c r="H364" i="1"/>
  <c r="M364" i="1" s="1"/>
  <c r="H475" i="1"/>
  <c r="M475" i="1" s="1"/>
  <c r="H181" i="1"/>
  <c r="M181" i="1" s="1"/>
  <c r="H368" i="1"/>
  <c r="M368" i="1" s="1"/>
  <c r="H487" i="1"/>
  <c r="M487" i="1" s="1"/>
  <c r="H499" i="1"/>
  <c r="M499" i="1" s="1"/>
  <c r="H539" i="1"/>
  <c r="M539" i="1" s="1"/>
  <c r="H543" i="1"/>
  <c r="M543" i="1" s="1"/>
  <c r="H547" i="1"/>
  <c r="M547" i="1" s="1"/>
  <c r="H563" i="1"/>
  <c r="M563" i="1" s="1"/>
  <c r="H567" i="1"/>
  <c r="M567" i="1" s="1"/>
  <c r="H639" i="1"/>
  <c r="M639" i="1" s="1"/>
  <c r="H671" i="1"/>
  <c r="M671" i="1" s="1"/>
  <c r="H675" i="1"/>
  <c r="M675" i="1" s="1"/>
  <c r="H683" i="1"/>
  <c r="M683" i="1" s="1"/>
  <c r="H699" i="1"/>
  <c r="M699" i="1" s="1"/>
  <c r="H715" i="1"/>
  <c r="M715" i="1" s="1"/>
  <c r="H140" i="1"/>
  <c r="M140" i="1" s="1"/>
  <c r="H327" i="1"/>
  <c r="M327" i="1" s="1"/>
  <c r="H462" i="1"/>
  <c r="M462" i="1" s="1"/>
  <c r="H359" i="1"/>
  <c r="M359" i="1" s="1"/>
  <c r="H512" i="1"/>
  <c r="M512" i="1" s="1"/>
  <c r="H520" i="1"/>
  <c r="M520" i="1" s="1"/>
  <c r="H533" i="1"/>
  <c r="M533" i="1" s="1"/>
  <c r="H540" i="1"/>
  <c r="M540" i="1" s="1"/>
  <c r="H556" i="1"/>
  <c r="M556" i="1" s="1"/>
  <c r="H597" i="1"/>
  <c r="M597" i="1" s="1"/>
  <c r="H637" i="1"/>
  <c r="M637" i="1" s="1"/>
  <c r="H672" i="1"/>
  <c r="M672" i="1" s="1"/>
  <c r="H680" i="1"/>
  <c r="M680" i="1" s="1"/>
  <c r="H693" i="1"/>
  <c r="M693" i="1" s="1"/>
  <c r="H713" i="1"/>
  <c r="M713" i="1" s="1"/>
  <c r="H740" i="1"/>
  <c r="M740" i="1" s="1"/>
  <c r="H751" i="1"/>
  <c r="M751" i="1" s="1"/>
  <c r="H146" i="1"/>
  <c r="M146" i="1" s="1"/>
  <c r="H151" i="1"/>
  <c r="M151" i="1" s="1"/>
  <c r="H341" i="1"/>
  <c r="M341" i="1" s="1"/>
  <c r="H162" i="1"/>
  <c r="M162" i="1" s="1"/>
  <c r="H484" i="1"/>
  <c r="M484" i="1" s="1"/>
  <c r="H541" i="1"/>
  <c r="M541" i="1" s="1"/>
  <c r="H549" i="1"/>
  <c r="M549" i="1" s="1"/>
  <c r="H557" i="1"/>
  <c r="M557" i="1" s="1"/>
  <c r="H660" i="1"/>
  <c r="M660" i="1" s="1"/>
  <c r="H701" i="1"/>
  <c r="M701" i="1" s="1"/>
  <c r="H708" i="1"/>
  <c r="M708" i="1" s="1"/>
  <c r="H716" i="1"/>
  <c r="M716" i="1" s="1"/>
  <c r="H768" i="1"/>
  <c r="M768" i="1" s="1"/>
  <c r="H784" i="1"/>
  <c r="M784" i="1" s="1"/>
  <c r="H804" i="1"/>
  <c r="M804" i="1" s="1"/>
  <c r="H808" i="1"/>
  <c r="M808" i="1" s="1"/>
  <c r="H812" i="1"/>
  <c r="M812" i="1" s="1"/>
  <c r="H842" i="1"/>
  <c r="M842" i="1" s="1"/>
  <c r="H854" i="1"/>
  <c r="M854" i="1" s="1"/>
  <c r="H858" i="1"/>
  <c r="M858" i="1" s="1"/>
  <c r="H862" i="1"/>
  <c r="M862" i="1" s="1"/>
  <c r="H870" i="1"/>
  <c r="M870" i="1" s="1"/>
  <c r="H874" i="1"/>
  <c r="M874" i="1" s="1"/>
  <c r="H910" i="1"/>
  <c r="M910" i="1" s="1"/>
  <c r="H914" i="1"/>
  <c r="M914" i="1" s="1"/>
  <c r="H930" i="1"/>
  <c r="M930" i="1" s="1"/>
  <c r="H938" i="1"/>
  <c r="M938" i="1" s="1"/>
  <c r="H946" i="1"/>
  <c r="M946" i="1" s="1"/>
  <c r="H954" i="1"/>
  <c r="M954" i="1" s="1"/>
  <c r="H958" i="1"/>
  <c r="M958" i="1" s="1"/>
  <c r="H342" i="1"/>
  <c r="M342" i="1" s="1"/>
  <c r="H350" i="1"/>
  <c r="M350" i="1" s="1"/>
  <c r="H167" i="1"/>
  <c r="M167" i="1" s="1"/>
  <c r="H472" i="1"/>
  <c r="M472" i="1" s="1"/>
  <c r="H182" i="1"/>
  <c r="M182" i="1" s="1"/>
  <c r="H508" i="1"/>
  <c r="M508" i="1" s="1"/>
  <c r="H536" i="1"/>
  <c r="M536" i="1" s="1"/>
  <c r="H544" i="1"/>
  <c r="M544" i="1" s="1"/>
  <c r="H552" i="1"/>
  <c r="M552" i="1" s="1"/>
  <c r="H573" i="1"/>
  <c r="M573" i="1" s="1"/>
  <c r="H668" i="1"/>
  <c r="M668" i="1" s="1"/>
  <c r="H676" i="1"/>
  <c r="M676" i="1" s="1"/>
  <c r="H689" i="1"/>
  <c r="M689" i="1" s="1"/>
  <c r="H696" i="1"/>
  <c r="M696" i="1" s="1"/>
  <c r="H704" i="1"/>
  <c r="M704" i="1" s="1"/>
  <c r="H724" i="1"/>
  <c r="M724" i="1" s="1"/>
  <c r="H729" i="1"/>
  <c r="M729" i="1" s="1"/>
  <c r="H736" i="1"/>
  <c r="M736" i="1" s="1"/>
  <c r="H744" i="1"/>
  <c r="M744" i="1" s="1"/>
  <c r="H749" i="1"/>
  <c r="M749" i="1" s="1"/>
  <c r="H761" i="1"/>
  <c r="M761" i="1" s="1"/>
  <c r="H765" i="1"/>
  <c r="M765" i="1" s="1"/>
  <c r="H785" i="1"/>
  <c r="M785" i="1" s="1"/>
  <c r="H801" i="1"/>
  <c r="M801" i="1" s="1"/>
  <c r="H817" i="1"/>
  <c r="M817" i="1" s="1"/>
  <c r="H831" i="1"/>
  <c r="M831" i="1" s="1"/>
  <c r="H835" i="1"/>
  <c r="M835" i="1" s="1"/>
  <c r="H851" i="1"/>
  <c r="M851" i="1" s="1"/>
  <c r="H867" i="1"/>
  <c r="M867" i="1" s="1"/>
  <c r="H891" i="1"/>
  <c r="M891" i="1" s="1"/>
  <c r="H911" i="1"/>
  <c r="M911" i="1" s="1"/>
  <c r="H915" i="1"/>
  <c r="M915" i="1" s="1"/>
  <c r="H465" i="1"/>
  <c r="M465" i="1" s="1"/>
  <c r="H576" i="1"/>
  <c r="M576" i="1" s="1"/>
  <c r="H692" i="1"/>
  <c r="M692" i="1" s="1"/>
  <c r="H754" i="1"/>
  <c r="M754" i="1" s="1"/>
  <c r="H786" i="1"/>
  <c r="M786" i="1" s="1"/>
  <c r="H837" i="1"/>
  <c r="M837" i="1" s="1"/>
  <c r="H845" i="1"/>
  <c r="M845" i="1" s="1"/>
  <c r="H860" i="1"/>
  <c r="M860" i="1" s="1"/>
  <c r="H865" i="1"/>
  <c r="M865" i="1" s="1"/>
  <c r="H880" i="1"/>
  <c r="M880" i="1" s="1"/>
  <c r="H917" i="1"/>
  <c r="M917" i="1" s="1"/>
  <c r="H944" i="1"/>
  <c r="M944" i="1" s="1"/>
  <c r="H955" i="1"/>
  <c r="M955" i="1" s="1"/>
  <c r="H968" i="1"/>
  <c r="M968" i="1" s="1"/>
  <c r="H992" i="1"/>
  <c r="M992" i="1" s="1"/>
  <c r="H1016" i="1"/>
  <c r="M1016" i="1" s="1"/>
  <c r="H1029" i="1"/>
  <c r="M1029" i="1" s="1"/>
  <c r="H1033" i="1"/>
  <c r="M1033" i="1" s="1"/>
  <c r="H1041" i="1"/>
  <c r="M1041" i="1" s="1"/>
  <c r="H1053" i="1"/>
  <c r="M1053" i="1" s="1"/>
  <c r="H1113" i="1"/>
  <c r="M1113" i="1" s="1"/>
  <c r="H1125" i="1"/>
  <c r="M1125" i="1" s="1"/>
  <c r="H1153" i="1"/>
  <c r="M1153" i="1" s="1"/>
  <c r="H156" i="1"/>
  <c r="M156" i="1" s="1"/>
  <c r="H525" i="1"/>
  <c r="M525" i="1" s="1"/>
  <c r="H712" i="1"/>
  <c r="M712" i="1" s="1"/>
  <c r="H758" i="1"/>
  <c r="M758" i="1" s="1"/>
  <c r="H787" i="1"/>
  <c r="M787" i="1" s="1"/>
  <c r="H791" i="1"/>
  <c r="M791" i="1" s="1"/>
  <c r="H795" i="1"/>
  <c r="M795" i="1" s="1"/>
  <c r="H799" i="1"/>
  <c r="M799" i="1" s="1"/>
  <c r="H840" i="1"/>
  <c r="M840" i="1" s="1"/>
  <c r="H861" i="1"/>
  <c r="M861" i="1" s="1"/>
  <c r="H888" i="1"/>
  <c r="M888" i="1" s="1"/>
  <c r="H912" i="1"/>
  <c r="M912" i="1" s="1"/>
  <c r="H924" i="1"/>
  <c r="M924" i="1" s="1"/>
  <c r="H940" i="1"/>
  <c r="M940" i="1" s="1"/>
  <c r="H951" i="1"/>
  <c r="M951" i="1" s="1"/>
  <c r="H956" i="1"/>
  <c r="M956" i="1" s="1"/>
  <c r="H961" i="1"/>
  <c r="M961" i="1" s="1"/>
  <c r="H969" i="1"/>
  <c r="M969" i="1" s="1"/>
  <c r="H973" i="1"/>
  <c r="M973" i="1" s="1"/>
  <c r="H977" i="1"/>
  <c r="M977" i="1" s="1"/>
  <c r="H981" i="1"/>
  <c r="M981" i="1" s="1"/>
  <c r="H1009" i="1"/>
  <c r="M1009" i="1" s="1"/>
  <c r="H1038" i="1"/>
  <c r="M1038" i="1" s="1"/>
  <c r="H1086" i="1"/>
  <c r="M1086" i="1" s="1"/>
  <c r="H1102" i="1"/>
  <c r="M1102" i="1" s="1"/>
  <c r="H1106" i="1"/>
  <c r="M1106" i="1" s="1"/>
  <c r="H1110" i="1"/>
  <c r="M1110" i="1" s="1"/>
  <c r="H1158" i="1"/>
  <c r="M1158" i="1" s="1"/>
  <c r="H1218" i="1"/>
  <c r="M1218" i="1" s="1"/>
  <c r="H323" i="1"/>
  <c r="M323" i="1" s="1"/>
  <c r="H774" i="1"/>
  <c r="M774" i="1" s="1"/>
  <c r="H806" i="1"/>
  <c r="M806" i="1" s="1"/>
  <c r="H811" i="1"/>
  <c r="M811" i="1" s="1"/>
  <c r="H869" i="1"/>
  <c r="M869" i="1" s="1"/>
  <c r="H884" i="1"/>
  <c r="M884" i="1" s="1"/>
  <c r="H897" i="1"/>
  <c r="M897" i="1" s="1"/>
  <c r="H913" i="1"/>
  <c r="M913" i="1" s="1"/>
  <c r="H920" i="1"/>
  <c r="M920" i="1" s="1"/>
  <c r="H966" i="1"/>
  <c r="M966" i="1" s="1"/>
  <c r="H982" i="1"/>
  <c r="M982" i="1" s="1"/>
  <c r="H994" i="1"/>
  <c r="M994" i="1" s="1"/>
  <c r="H1014" i="1"/>
  <c r="M1014" i="1" s="1"/>
  <c r="H1031" i="1"/>
  <c r="M1031" i="1" s="1"/>
  <c r="H1035" i="1"/>
  <c r="M1035" i="1" s="1"/>
  <c r="H1047" i="1"/>
  <c r="M1047" i="1" s="1"/>
  <c r="H1051" i="1"/>
  <c r="M1051" i="1" s="1"/>
  <c r="H1063" i="1"/>
  <c r="M1063" i="1" s="1"/>
  <c r="H1099" i="1"/>
  <c r="M1099" i="1" s="1"/>
  <c r="H1155" i="1"/>
  <c r="M1155" i="1" s="1"/>
  <c r="H1191" i="1"/>
  <c r="M1191" i="1" s="1"/>
  <c r="H1195" i="1"/>
  <c r="M1195" i="1" s="1"/>
  <c r="H1203" i="1"/>
  <c r="M1203" i="1" s="1"/>
  <c r="H1223" i="1"/>
  <c r="M1223" i="1" s="1"/>
  <c r="H1227" i="1"/>
  <c r="M1227" i="1" s="1"/>
  <c r="H553" i="1"/>
  <c r="M553" i="1" s="1"/>
  <c r="H705" i="1"/>
  <c r="M705" i="1" s="1"/>
  <c r="H737" i="1"/>
  <c r="M737" i="1" s="1"/>
  <c r="H750" i="1"/>
  <c r="M750" i="1" s="1"/>
  <c r="H775" i="1"/>
  <c r="M775" i="1" s="1"/>
  <c r="H807" i="1"/>
  <c r="M807" i="1" s="1"/>
  <c r="H821" i="1"/>
  <c r="M821" i="1" s="1"/>
  <c r="H849" i="1"/>
  <c r="M849" i="1" s="1"/>
  <c r="H864" i="1"/>
  <c r="M864" i="1" s="1"/>
  <c r="H872" i="1"/>
  <c r="M872" i="1" s="1"/>
  <c r="H877" i="1"/>
  <c r="M877" i="1" s="1"/>
  <c r="H900" i="1"/>
  <c r="M900" i="1" s="1"/>
  <c r="H908" i="1"/>
  <c r="M908" i="1" s="1"/>
  <c r="H953" i="1"/>
  <c r="M953" i="1" s="1"/>
  <c r="H959" i="1"/>
  <c r="M959" i="1" s="1"/>
  <c r="H963" i="1"/>
  <c r="M963" i="1" s="1"/>
  <c r="H971" i="1"/>
  <c r="M971" i="1" s="1"/>
  <c r="H975" i="1"/>
  <c r="M975" i="1" s="1"/>
  <c r="H979" i="1"/>
  <c r="M979" i="1" s="1"/>
  <c r="H983" i="1"/>
  <c r="M983" i="1" s="1"/>
  <c r="H1028" i="1"/>
  <c r="M1028" i="1" s="1"/>
  <c r="H1036" i="1"/>
  <c r="M1036" i="1" s="1"/>
  <c r="H1056" i="1"/>
  <c r="M1056" i="1" s="1"/>
  <c r="H1072" i="1"/>
  <c r="M1072" i="1" s="1"/>
  <c r="H1080" i="1"/>
  <c r="M1080" i="1" s="1"/>
  <c r="H1116" i="1"/>
  <c r="M1116" i="1" s="1"/>
  <c r="H1120" i="1"/>
  <c r="M1120" i="1" s="1"/>
  <c r="H1184" i="1"/>
  <c r="M1184" i="1" s="1"/>
  <c r="H1200" i="1"/>
  <c r="M1200" i="1" s="1"/>
  <c r="H1212" i="1"/>
  <c r="M1212" i="1" s="1"/>
  <c r="H1221" i="1"/>
  <c r="M1221" i="1" s="1"/>
  <c r="H1226" i="1"/>
  <c r="M1226" i="1" s="1"/>
  <c r="H1231" i="1"/>
  <c r="M1231" i="1" s="1"/>
  <c r="H1239" i="1"/>
  <c r="M1239" i="1" s="1"/>
  <c r="H1255" i="1"/>
  <c r="M1255" i="1" s="1"/>
  <c r="H1259" i="1"/>
  <c r="M1259" i="1" s="1"/>
  <c r="H1263" i="1"/>
  <c r="M1263" i="1" s="1"/>
  <c r="H1267" i="1"/>
  <c r="M1267" i="1" s="1"/>
  <c r="H1271" i="1"/>
  <c r="M1271" i="1" s="1"/>
  <c r="H1287" i="1"/>
  <c r="M1287" i="1" s="1"/>
  <c r="H1209" i="1"/>
  <c r="M1209" i="1" s="1"/>
  <c r="H1222" i="1"/>
  <c r="M1222" i="1" s="1"/>
  <c r="H1244" i="1"/>
  <c r="M1244" i="1" s="1"/>
  <c r="H1248" i="1"/>
  <c r="M1248" i="1" s="1"/>
  <c r="H1272" i="1"/>
  <c r="M1272" i="1" s="1"/>
  <c r="H1284" i="1"/>
  <c r="M1284" i="1" s="1"/>
  <c r="H1224" i="1"/>
  <c r="M1224" i="1" s="1"/>
  <c r="H1237" i="1"/>
  <c r="M1237" i="1" s="1"/>
  <c r="H1241" i="1"/>
  <c r="M1241" i="1" s="1"/>
  <c r="H1257" i="1"/>
  <c r="M1257" i="1" s="1"/>
  <c r="H1265" i="1"/>
  <c r="M1265" i="1" s="1"/>
  <c r="H1281" i="1"/>
  <c r="M1281" i="1" s="1"/>
  <c r="H1305" i="1"/>
  <c r="M1305" i="1" s="1"/>
  <c r="H1197" i="1"/>
  <c r="M1197" i="1" s="1"/>
  <c r="H1220" i="1"/>
  <c r="M1220" i="1" s="1"/>
  <c r="H1234" i="1"/>
  <c r="M1234" i="1" s="1"/>
  <c r="H1274" i="1"/>
  <c r="M1274" i="1" s="1"/>
  <c r="H1278" i="1"/>
  <c r="M1278" i="1" s="1"/>
  <c r="H1294" i="1"/>
  <c r="M1294" i="1" s="1"/>
  <c r="H1318" i="1"/>
  <c r="M1318" i="1" s="1"/>
  <c r="H1326" i="1"/>
  <c r="M1326" i="1" s="1"/>
  <c r="H468" i="1"/>
  <c r="M468" i="1" s="1"/>
  <c r="H357" i="1"/>
  <c r="M357" i="1" s="1"/>
  <c r="H176" i="1"/>
  <c r="M176" i="1" s="1"/>
  <c r="H474" i="1"/>
  <c r="M474" i="1" s="1"/>
  <c r="H180" i="1"/>
  <c r="M180" i="1" s="1"/>
  <c r="H367" i="1"/>
  <c r="M367" i="1" s="1"/>
  <c r="H498" i="1"/>
  <c r="M498" i="1" s="1"/>
  <c r="H562" i="1"/>
  <c r="M562" i="1" s="1"/>
  <c r="H566" i="1"/>
  <c r="M566" i="1" s="1"/>
  <c r="H570" i="1"/>
  <c r="M570" i="1" s="1"/>
  <c r="H582" i="1"/>
  <c r="M582" i="1" s="1"/>
  <c r="H606" i="1"/>
  <c r="M606" i="1" s="1"/>
  <c r="H614" i="1"/>
  <c r="M614" i="1" s="1"/>
  <c r="H471" i="1"/>
  <c r="M471" i="1" s="1"/>
  <c r="H184" i="1"/>
  <c r="M184" i="1" s="1"/>
  <c r="H503" i="1"/>
  <c r="M503" i="1" s="1"/>
  <c r="H507" i="1"/>
  <c r="M507" i="1" s="1"/>
  <c r="H511" i="1"/>
  <c r="M511" i="1" s="1"/>
  <c r="H515" i="1"/>
  <c r="M515" i="1" s="1"/>
  <c r="H519" i="1"/>
  <c r="M519" i="1" s="1"/>
  <c r="H535" i="1"/>
  <c r="M535" i="1" s="1"/>
  <c r="H551" i="1"/>
  <c r="M551" i="1" s="1"/>
  <c r="H555" i="1"/>
  <c r="M555" i="1" s="1"/>
  <c r="H575" i="1"/>
  <c r="M575" i="1" s="1"/>
  <c r="H579" i="1"/>
  <c r="M579" i="1" s="1"/>
  <c r="H611" i="1"/>
  <c r="M611" i="1" s="1"/>
  <c r="H627" i="1"/>
  <c r="M627" i="1" s="1"/>
  <c r="H643" i="1"/>
  <c r="M643" i="1" s="1"/>
  <c r="H651" i="1"/>
  <c r="M651" i="1" s="1"/>
  <c r="H659" i="1"/>
  <c r="M659" i="1" s="1"/>
  <c r="H604" i="1"/>
  <c r="M604" i="1" s="1"/>
  <c r="H617" i="1"/>
  <c r="M617" i="1" s="1"/>
  <c r="H624" i="1"/>
  <c r="M624" i="1" s="1"/>
  <c r="H645" i="1"/>
  <c r="M645" i="1" s="1"/>
  <c r="H657" i="1"/>
  <c r="M657" i="1" s="1"/>
  <c r="H166" i="1"/>
  <c r="M166" i="1" s="1"/>
  <c r="H352" i="1"/>
  <c r="M352" i="1" s="1"/>
  <c r="H171" i="1"/>
  <c r="M171" i="1" s="1"/>
  <c r="H362" i="1"/>
  <c r="M362" i="1" s="1"/>
  <c r="H478" i="1"/>
  <c r="M478" i="1" s="1"/>
  <c r="H572" i="1"/>
  <c r="M572" i="1" s="1"/>
  <c r="H600" i="1"/>
  <c r="M600" i="1" s="1"/>
  <c r="H620" i="1"/>
  <c r="M620" i="1" s="1"/>
  <c r="H653" i="1"/>
  <c r="M653" i="1" s="1"/>
  <c r="H665" i="1"/>
  <c r="M665" i="1" s="1"/>
  <c r="H826" i="1"/>
  <c r="M826" i="1" s="1"/>
  <c r="H846" i="1"/>
  <c r="M846" i="1" s="1"/>
  <c r="H850" i="1"/>
  <c r="M850" i="1" s="1"/>
  <c r="H878" i="1"/>
  <c r="M878" i="1" s="1"/>
  <c r="H894" i="1"/>
  <c r="M894" i="1" s="1"/>
  <c r="H898" i="1"/>
  <c r="M898" i="1" s="1"/>
  <c r="H926" i="1"/>
  <c r="M926" i="1" s="1"/>
  <c r="H934" i="1"/>
  <c r="M934" i="1" s="1"/>
  <c r="H369" i="1"/>
  <c r="M369" i="1" s="1"/>
  <c r="H493" i="1"/>
  <c r="M493" i="1" s="1"/>
  <c r="H524" i="1"/>
  <c r="M524" i="1" s="1"/>
  <c r="H529" i="1"/>
  <c r="M529" i="1" s="1"/>
  <c r="H608" i="1"/>
  <c r="M608" i="1" s="1"/>
  <c r="H641" i="1"/>
  <c r="M641" i="1" s="1"/>
  <c r="H648" i="1"/>
  <c r="M648" i="1" s="1"/>
  <c r="H839" i="1"/>
  <c r="M839" i="1" s="1"/>
  <c r="H843" i="1"/>
  <c r="M843" i="1" s="1"/>
  <c r="H855" i="1"/>
  <c r="M855" i="1" s="1"/>
  <c r="H852" i="1"/>
  <c r="M852" i="1" s="1"/>
  <c r="H873" i="1"/>
  <c r="M873" i="1" s="1"/>
  <c r="H901" i="1"/>
  <c r="M901" i="1" s="1"/>
  <c r="H923" i="1"/>
  <c r="M923" i="1" s="1"/>
  <c r="H949" i="1"/>
  <c r="M949" i="1" s="1"/>
  <c r="H1020" i="1"/>
  <c r="M1020" i="1" s="1"/>
  <c r="H1069" i="1"/>
  <c r="M1069" i="1" s="1"/>
  <c r="H1073" i="1"/>
  <c r="M1073" i="1" s="1"/>
  <c r="H1133" i="1"/>
  <c r="M1133" i="1" s="1"/>
  <c r="H1137" i="1"/>
  <c r="M1137" i="1" s="1"/>
  <c r="H560" i="1"/>
  <c r="M560" i="1" s="1"/>
  <c r="H832" i="1"/>
  <c r="M832" i="1" s="1"/>
  <c r="H881" i="1"/>
  <c r="M881" i="1" s="1"/>
  <c r="H904" i="1"/>
  <c r="M904" i="1" s="1"/>
  <c r="H919" i="1"/>
  <c r="M919" i="1" s="1"/>
  <c r="H929" i="1"/>
  <c r="M929" i="1" s="1"/>
  <c r="H945" i="1"/>
  <c r="M945" i="1" s="1"/>
  <c r="H1013" i="1"/>
  <c r="M1013" i="1" s="1"/>
  <c r="H1017" i="1"/>
  <c r="M1017" i="1" s="1"/>
  <c r="H1021" i="1"/>
  <c r="M1021" i="1" s="1"/>
  <c r="H1042" i="1"/>
  <c r="M1042" i="1" s="1"/>
  <c r="H1058" i="1"/>
  <c r="M1058" i="1" s="1"/>
  <c r="H1090" i="1"/>
  <c r="M1090" i="1" s="1"/>
  <c r="H1130" i="1"/>
  <c r="M1130" i="1" s="1"/>
  <c r="H1190" i="1"/>
  <c r="M1190" i="1" s="1"/>
  <c r="H1194" i="1"/>
  <c r="M1194" i="1" s="1"/>
  <c r="H1202" i="1"/>
  <c r="M1202" i="1" s="1"/>
  <c r="H889" i="1"/>
  <c r="M889" i="1" s="1"/>
  <c r="H941" i="1"/>
  <c r="M941" i="1" s="1"/>
  <c r="H1010" i="1"/>
  <c r="M1010" i="1" s="1"/>
  <c r="H1039" i="1"/>
  <c r="M1039" i="1" s="1"/>
  <c r="H1067" i="1"/>
  <c r="M1067" i="1" s="1"/>
  <c r="H1091" i="1"/>
  <c r="M1091" i="1" s="1"/>
  <c r="H1095" i="1"/>
  <c r="M1095" i="1" s="1"/>
  <c r="H1143" i="1"/>
  <c r="M1143" i="1" s="1"/>
  <c r="H1179" i="1"/>
  <c r="M1179" i="1" s="1"/>
  <c r="H1183" i="1"/>
  <c r="M1183" i="1" s="1"/>
  <c r="H1187" i="1"/>
  <c r="M1187" i="1" s="1"/>
  <c r="H1199" i="1"/>
  <c r="M1199" i="1" s="1"/>
  <c r="H1207" i="1"/>
  <c r="M1207" i="1" s="1"/>
  <c r="H1211" i="1"/>
  <c r="M1211" i="1" s="1"/>
  <c r="H532" i="1"/>
  <c r="M532" i="1" s="1"/>
  <c r="H584" i="1"/>
  <c r="M584" i="1" s="1"/>
  <c r="H828" i="1"/>
  <c r="M828" i="1" s="1"/>
  <c r="H836" i="1"/>
  <c r="M836" i="1" s="1"/>
  <c r="H885" i="1"/>
  <c r="M885" i="1" s="1"/>
  <c r="H892" i="1"/>
  <c r="M892" i="1" s="1"/>
  <c r="H932" i="1"/>
  <c r="M932" i="1" s="1"/>
  <c r="H937" i="1"/>
  <c r="M937" i="1" s="1"/>
  <c r="H943" i="1"/>
  <c r="M943" i="1" s="1"/>
  <c r="H995" i="1"/>
  <c r="M995" i="1" s="1"/>
  <c r="H999" i="1"/>
  <c r="M999" i="1" s="1"/>
  <c r="H1007" i="1"/>
  <c r="M1007" i="1" s="1"/>
  <c r="H1048" i="1"/>
  <c r="M1048" i="1" s="1"/>
  <c r="H1060" i="1"/>
  <c r="M1060" i="1" s="1"/>
  <c r="H1064" i="1"/>
  <c r="M1064" i="1" s="1"/>
  <c r="H1076" i="1"/>
  <c r="M1076" i="1" s="1"/>
  <c r="H1084" i="1"/>
  <c r="M1084" i="1" s="1"/>
  <c r="H1088" i="1"/>
  <c r="M1088" i="1" s="1"/>
  <c r="H1124" i="1"/>
  <c r="M1124" i="1" s="1"/>
  <c r="H1128" i="1"/>
  <c r="M1128" i="1" s="1"/>
  <c r="H1140" i="1"/>
  <c r="M1140" i="1" s="1"/>
  <c r="H1168" i="1"/>
  <c r="M1168" i="1" s="1"/>
  <c r="H1172" i="1"/>
  <c r="M1172" i="1" s="1"/>
  <c r="H1176" i="1"/>
  <c r="M1176" i="1" s="1"/>
  <c r="H1196" i="1"/>
  <c r="M1196" i="1" s="1"/>
  <c r="H1235" i="1"/>
  <c r="M1235" i="1" s="1"/>
  <c r="H1283" i="1"/>
  <c r="M1283" i="1" s="1"/>
  <c r="H1299" i="1"/>
  <c r="M1299" i="1" s="1"/>
  <c r="H1217" i="1"/>
  <c r="M1217" i="1" s="1"/>
  <c r="H1240" i="1"/>
  <c r="M1240" i="1" s="1"/>
  <c r="H1252" i="1"/>
  <c r="M1252" i="1" s="1"/>
  <c r="H1256" i="1"/>
  <c r="M1256" i="1" s="1"/>
  <c r="H1260" i="1"/>
  <c r="M1260" i="1" s="1"/>
  <c r="H1264" i="1"/>
  <c r="M1264" i="1" s="1"/>
  <c r="H1268" i="1"/>
  <c r="M1268" i="1" s="1"/>
  <c r="H1296" i="1"/>
  <c r="M1296" i="1" s="1"/>
  <c r="H1304" i="1"/>
  <c r="M1304" i="1" s="1"/>
  <c r="H1308" i="1"/>
  <c r="M1308" i="1" s="1"/>
  <c r="H1245" i="1"/>
  <c r="M1245" i="1" s="1"/>
  <c r="H1249" i="1"/>
  <c r="M1249" i="1" s="1"/>
  <c r="H1277" i="1"/>
  <c r="M1277" i="1" s="1"/>
  <c r="H1293" i="1"/>
  <c r="M1293" i="1" s="1"/>
  <c r="H1325" i="1"/>
  <c r="M1325" i="1" s="1"/>
  <c r="H1230" i="1"/>
  <c r="M1230" i="1" s="1"/>
  <c r="H1290" i="1"/>
  <c r="M1290" i="1" s="1"/>
  <c r="H1302" i="1"/>
  <c r="M1302" i="1" s="1"/>
  <c r="H1322" i="1"/>
  <c r="M1322" i="1" s="1"/>
  <c r="H459" i="1"/>
  <c r="M459" i="1" s="1"/>
  <c r="H337" i="1"/>
  <c r="M337" i="1" s="1"/>
  <c r="H143" i="1"/>
  <c r="M143" i="1" s="1"/>
  <c r="H452" i="1"/>
  <c r="M452" i="1" s="1"/>
  <c r="H147" i="1"/>
  <c r="M147" i="1" s="1"/>
  <c r="H138" i="1"/>
  <c r="M138" i="1" s="1"/>
  <c r="H328" i="1"/>
  <c r="M328" i="1" s="1"/>
  <c r="H332" i="1"/>
  <c r="M332" i="1" s="1"/>
  <c r="H455" i="1"/>
  <c r="M455" i="1" s="1"/>
  <c r="H320" i="1"/>
  <c r="M320" i="1" s="1"/>
  <c r="H449" i="1"/>
  <c r="M449" i="1" s="1"/>
  <c r="H152" i="1"/>
  <c r="M152" i="1" s="1"/>
  <c r="H827" i="1"/>
  <c r="M827" i="1" s="1"/>
  <c r="H1161" i="1"/>
  <c r="M1161" i="1" s="1"/>
  <c r="H1165" i="1"/>
  <c r="M1165" i="1" s="1"/>
  <c r="H1189" i="1"/>
  <c r="M1189" i="1" s="1"/>
  <c r="H1193" i="1"/>
  <c r="M1193" i="1" s="1"/>
  <c r="H824" i="1"/>
  <c r="M824" i="1" s="1"/>
  <c r="H1178" i="1"/>
  <c r="M1178" i="1" s="1"/>
  <c r="H1182" i="1"/>
  <c r="M1182" i="1" s="1"/>
  <c r="H1186" i="1"/>
  <c r="M1186" i="1" s="1"/>
  <c r="H1206" i="1"/>
  <c r="M1206" i="1" s="1"/>
  <c r="H1214" i="1"/>
  <c r="M1214" i="1" s="1"/>
  <c r="H1167" i="1"/>
  <c r="M1167" i="1" s="1"/>
  <c r="H1171" i="1"/>
  <c r="M1171" i="1" s="1"/>
  <c r="H1175" i="1"/>
  <c r="M1175" i="1" s="1"/>
  <c r="H1216" i="1"/>
  <c r="M1216" i="1" s="1"/>
  <c r="H1201" i="1"/>
  <c r="M1201" i="1" s="1"/>
  <c r="H483" i="1"/>
  <c r="M483" i="1" s="1"/>
  <c r="H38" i="14"/>
  <c r="H36" i="14"/>
  <c r="H37" i="14"/>
  <c r="H35" i="14"/>
  <c r="G87" i="14"/>
  <c r="T45" i="14"/>
  <c r="T44" i="14"/>
  <c r="T43" i="14"/>
  <c r="T42" i="14"/>
  <c r="H470" i="1"/>
  <c r="M470" i="1" s="1"/>
  <c r="H183" i="1"/>
  <c r="M183" i="1" s="1"/>
  <c r="H481" i="1"/>
  <c r="M481" i="1" s="1"/>
  <c r="H630" i="1"/>
  <c r="M630" i="1" s="1"/>
  <c r="H634" i="1"/>
  <c r="M634" i="1" s="1"/>
  <c r="H638" i="1"/>
  <c r="M638" i="1" s="1"/>
  <c r="H642" i="1"/>
  <c r="M642" i="1" s="1"/>
  <c r="H650" i="1"/>
  <c r="M650" i="1" s="1"/>
  <c r="H165" i="1"/>
  <c r="M165" i="1" s="1"/>
  <c r="H491" i="1"/>
  <c r="M491" i="1" s="1"/>
  <c r="H635" i="1"/>
  <c r="M635" i="1" s="1"/>
  <c r="H647" i="1"/>
  <c r="M647" i="1" s="1"/>
  <c r="H655" i="1"/>
  <c r="M655" i="1" s="1"/>
  <c r="H723" i="1"/>
  <c r="M723" i="1" s="1"/>
  <c r="H727" i="1"/>
  <c r="M727" i="1" s="1"/>
  <c r="H351" i="1"/>
  <c r="M351" i="1" s="1"/>
  <c r="H170" i="1"/>
  <c r="M170" i="1" s="1"/>
  <c r="H361" i="1"/>
  <c r="M361" i="1" s="1"/>
  <c r="H477" i="1"/>
  <c r="M477" i="1" s="1"/>
  <c r="H489" i="1"/>
  <c r="M489" i="1" s="1"/>
  <c r="H496" i="1"/>
  <c r="M496" i="1" s="1"/>
  <c r="H179" i="1"/>
  <c r="M179" i="1" s="1"/>
  <c r="H632" i="1"/>
  <c r="M632" i="1" s="1"/>
  <c r="H640" i="1"/>
  <c r="M640" i="1" s="1"/>
  <c r="H728" i="1"/>
  <c r="M728" i="1" s="1"/>
  <c r="H866" i="1"/>
  <c r="M866" i="1" s="1"/>
  <c r="H890" i="1"/>
  <c r="M890" i="1" s="1"/>
  <c r="H906" i="1"/>
  <c r="M906" i="1" s="1"/>
  <c r="H922" i="1"/>
  <c r="M922" i="1" s="1"/>
  <c r="H485" i="1"/>
  <c r="M485" i="1" s="1"/>
  <c r="H633" i="1"/>
  <c r="M633" i="1" s="1"/>
  <c r="H859" i="1"/>
  <c r="M859" i="1" s="1"/>
  <c r="H871" i="1"/>
  <c r="M871" i="1" s="1"/>
  <c r="H879" i="1"/>
  <c r="M879" i="1" s="1"/>
  <c r="H883" i="1"/>
  <c r="M883" i="1" s="1"/>
  <c r="H887" i="1"/>
  <c r="M887" i="1" s="1"/>
  <c r="H899" i="1"/>
  <c r="M899" i="1" s="1"/>
  <c r="H903" i="1"/>
  <c r="M903" i="1" s="1"/>
  <c r="H907" i="1"/>
  <c r="M907" i="1" s="1"/>
  <c r="H467" i="1"/>
  <c r="M467" i="1" s="1"/>
  <c r="H175" i="1"/>
  <c r="M175" i="1" s="1"/>
  <c r="H366" i="1"/>
  <c r="M366" i="1" s="1"/>
  <c r="H725" i="1"/>
  <c r="M725" i="1" s="1"/>
  <c r="H893" i="1"/>
  <c r="M893" i="1" s="1"/>
  <c r="H928" i="1"/>
  <c r="M928" i="1" s="1"/>
  <c r="H933" i="1"/>
  <c r="M933" i="1" s="1"/>
  <c r="H1121" i="1"/>
  <c r="M1121" i="1" s="1"/>
  <c r="H1129" i="1"/>
  <c r="M1129" i="1" s="1"/>
  <c r="H868" i="1"/>
  <c r="M868" i="1" s="1"/>
  <c r="H896" i="1"/>
  <c r="M896" i="1" s="1"/>
  <c r="H1118" i="1"/>
  <c r="M1118" i="1" s="1"/>
  <c r="H1142" i="1"/>
  <c r="M1142" i="1" s="1"/>
  <c r="H1150" i="1"/>
  <c r="M1150" i="1" s="1"/>
  <c r="H356" i="1"/>
  <c r="M356" i="1" s="1"/>
  <c r="H473" i="1"/>
  <c r="M473" i="1" s="1"/>
  <c r="H636" i="1"/>
  <c r="M636" i="1" s="1"/>
  <c r="H876" i="1"/>
  <c r="M876" i="1" s="1"/>
  <c r="H925" i="1"/>
  <c r="M925" i="1" s="1"/>
  <c r="H931" i="1"/>
  <c r="M931" i="1" s="1"/>
  <c r="H936" i="1"/>
  <c r="M936" i="1" s="1"/>
  <c r="H1123" i="1"/>
  <c r="M1123" i="1" s="1"/>
  <c r="H1127" i="1"/>
  <c r="M1127" i="1" s="1"/>
  <c r="H1147" i="1"/>
  <c r="M1147" i="1" s="1"/>
  <c r="H644" i="1"/>
  <c r="M644" i="1" s="1"/>
  <c r="H857" i="1"/>
  <c r="M857" i="1" s="1"/>
  <c r="H1136" i="1"/>
  <c r="M1136" i="1" s="1"/>
  <c r="H1144" i="1"/>
  <c r="M1144" i="1" s="1"/>
  <c r="H1311" i="1"/>
  <c r="M1311" i="1" s="1"/>
  <c r="H1316" i="1"/>
  <c r="M1316" i="1" s="1"/>
  <c r="H1320" i="1"/>
  <c r="M1320" i="1" s="1"/>
  <c r="H1324" i="1"/>
  <c r="M1324" i="1" s="1"/>
  <c r="H1309" i="1"/>
  <c r="M1309" i="1" s="1"/>
  <c r="H1313" i="1"/>
  <c r="M1313" i="1" s="1"/>
  <c r="H335" i="1"/>
  <c r="M335" i="1" s="1"/>
  <c r="H326" i="1"/>
  <c r="M326" i="1" s="1"/>
  <c r="H454" i="1"/>
  <c r="M454" i="1" s="1"/>
  <c r="H158" i="1"/>
  <c r="M158" i="1" s="1"/>
  <c r="H486" i="1"/>
  <c r="M486" i="1" s="1"/>
  <c r="H490" i="1"/>
  <c r="M490" i="1" s="1"/>
  <c r="H502" i="1"/>
  <c r="M502" i="1" s="1"/>
  <c r="H506" i="1"/>
  <c r="M506" i="1" s="1"/>
  <c r="H518" i="1"/>
  <c r="M518" i="1" s="1"/>
  <c r="H150" i="1"/>
  <c r="M150" i="1" s="1"/>
  <c r="H340" i="1"/>
  <c r="M340" i="1" s="1"/>
  <c r="H523" i="1"/>
  <c r="M523" i="1" s="1"/>
  <c r="H531" i="1"/>
  <c r="M531" i="1" s="1"/>
  <c r="H739" i="1"/>
  <c r="M739" i="1" s="1"/>
  <c r="H743" i="1"/>
  <c r="M743" i="1" s="1"/>
  <c r="H145" i="1"/>
  <c r="M145" i="1" s="1"/>
  <c r="H330" i="1"/>
  <c r="M330" i="1" s="1"/>
  <c r="H767" i="1"/>
  <c r="M767" i="1" s="1"/>
  <c r="H492" i="1"/>
  <c r="M492" i="1" s="1"/>
  <c r="H497" i="1"/>
  <c r="M497" i="1" s="1"/>
  <c r="H528" i="1"/>
  <c r="M528" i="1" s="1"/>
  <c r="H756" i="1"/>
  <c r="M756" i="1" s="1"/>
  <c r="H760" i="1"/>
  <c r="M760" i="1" s="1"/>
  <c r="H764" i="1"/>
  <c r="M764" i="1" s="1"/>
  <c r="H780" i="1"/>
  <c r="M780" i="1" s="1"/>
  <c r="H918" i="1"/>
  <c r="M918" i="1" s="1"/>
  <c r="H942" i="1"/>
  <c r="M942" i="1" s="1"/>
  <c r="H950" i="1"/>
  <c r="M950" i="1" s="1"/>
  <c r="H753" i="1"/>
  <c r="M753" i="1" s="1"/>
  <c r="H773" i="1"/>
  <c r="M773" i="1" s="1"/>
  <c r="H777" i="1"/>
  <c r="M777" i="1" s="1"/>
  <c r="H451" i="1"/>
  <c r="M451" i="1" s="1"/>
  <c r="H770" i="1"/>
  <c r="M770" i="1" s="1"/>
  <c r="H939" i="1"/>
  <c r="M939" i="1" s="1"/>
  <c r="H1089" i="1"/>
  <c r="M1089" i="1" s="1"/>
  <c r="H1097" i="1"/>
  <c r="M1097" i="1" s="1"/>
  <c r="H1094" i="1"/>
  <c r="M1094" i="1" s="1"/>
  <c r="H344" i="1"/>
  <c r="M344" i="1" s="1"/>
  <c r="H952" i="1"/>
  <c r="M952" i="1" s="1"/>
  <c r="H1087" i="1"/>
  <c r="M1087" i="1" s="1"/>
  <c r="H1111" i="1"/>
  <c r="M1111" i="1" s="1"/>
  <c r="H1115" i="1"/>
  <c r="M1115" i="1" s="1"/>
  <c r="H916" i="1"/>
  <c r="M916" i="1" s="1"/>
  <c r="H948" i="1"/>
  <c r="M948" i="1" s="1"/>
  <c r="H1100" i="1"/>
  <c r="M1100" i="1" s="1"/>
  <c r="H1104" i="1"/>
  <c r="M1104" i="1" s="1"/>
  <c r="H1108" i="1"/>
  <c r="M1108" i="1" s="1"/>
  <c r="H1112" i="1"/>
  <c r="M1112" i="1" s="1"/>
  <c r="H1307" i="1"/>
  <c r="M1307" i="1" s="1"/>
  <c r="H1312" i="1"/>
  <c r="M1312" i="1" s="1"/>
  <c r="H1301" i="1"/>
  <c r="M1301" i="1" s="1"/>
  <c r="H1317" i="1"/>
  <c r="M1317" i="1" s="1"/>
  <c r="H1321" i="1"/>
  <c r="M1321" i="1" s="1"/>
  <c r="H1310" i="1"/>
  <c r="M1310" i="1" s="1"/>
  <c r="H1314" i="1"/>
  <c r="M1314" i="1" s="1"/>
  <c r="H996" i="1"/>
  <c r="M996" i="1" s="1"/>
  <c r="H993" i="1"/>
  <c r="M993" i="1" s="1"/>
  <c r="H990" i="1"/>
  <c r="M990" i="1" s="1"/>
  <c r="H991" i="1"/>
  <c r="M991" i="1" s="1"/>
  <c r="H1003" i="1"/>
  <c r="M1003" i="1" s="1"/>
  <c r="H96" i="1"/>
  <c r="M96" i="1" s="1"/>
  <c r="U28" i="14"/>
  <c r="H30" i="14"/>
  <c r="H29" i="14"/>
  <c r="G72" i="14"/>
  <c r="G71" i="14"/>
  <c r="U29" i="14"/>
  <c r="H542" i="1"/>
  <c r="M542" i="1" s="1"/>
  <c r="H546" i="1"/>
  <c r="M546" i="1" s="1"/>
  <c r="H550" i="1"/>
  <c r="M550" i="1" s="1"/>
  <c r="H718" i="1"/>
  <c r="M718" i="1" s="1"/>
  <c r="H722" i="1"/>
  <c r="M722" i="1" s="1"/>
  <c r="H548" i="1"/>
  <c r="M548" i="1" s="1"/>
  <c r="H720" i="1"/>
  <c r="M720" i="1" s="1"/>
  <c r="H717" i="1"/>
  <c r="M717" i="1" s="1"/>
  <c r="H428" i="1"/>
  <c r="M428" i="1" s="1"/>
  <c r="H276" i="1"/>
  <c r="M276" i="1" s="1"/>
  <c r="C178" i="7" l="1"/>
  <c r="E178" i="7" s="1"/>
  <c r="C158" i="7"/>
  <c r="D158" i="7" s="1"/>
  <c r="C159" i="7"/>
  <c r="D159" i="7" s="1"/>
  <c r="C160" i="7"/>
  <c r="E160" i="7" s="1"/>
  <c r="C161" i="7"/>
  <c r="D161" i="7" s="1"/>
  <c r="C162" i="7"/>
  <c r="D162" i="7" s="1"/>
  <c r="C163" i="7"/>
  <c r="D163" i="7" s="1"/>
  <c r="C164" i="7"/>
  <c r="D164" i="7" s="1"/>
  <c r="C165" i="7"/>
  <c r="D165" i="7" s="1"/>
  <c r="C166" i="7"/>
  <c r="D166" i="7" s="1"/>
  <c r="C167" i="7"/>
  <c r="D167" i="7" s="1"/>
  <c r="C168" i="7"/>
  <c r="F168" i="7" s="1"/>
  <c r="H168" i="7" s="1"/>
  <c r="C169" i="7"/>
  <c r="D169" i="7" s="1"/>
  <c r="C170" i="7"/>
  <c r="D170" i="7" s="1"/>
  <c r="C171" i="7"/>
  <c r="D171" i="7" s="1"/>
  <c r="C172" i="7"/>
  <c r="E172" i="7" s="1"/>
  <c r="C173" i="7"/>
  <c r="D173" i="7" s="1"/>
  <c r="C174" i="7"/>
  <c r="D174" i="7" s="1"/>
  <c r="C175" i="7"/>
  <c r="D175" i="7" s="1"/>
  <c r="C176" i="7"/>
  <c r="D176" i="7" s="1"/>
  <c r="C177" i="7"/>
  <c r="E177" i="7" s="1"/>
  <c r="C134" i="7"/>
  <c r="D134" i="7" s="1"/>
  <c r="C135" i="7"/>
  <c r="D135" i="7" s="1"/>
  <c r="C136" i="7"/>
  <c r="D136" i="7" s="1"/>
  <c r="C137" i="7"/>
  <c r="D137" i="7" s="1"/>
  <c r="C138" i="7"/>
  <c r="D138" i="7" s="1"/>
  <c r="C139" i="7"/>
  <c r="D139" i="7" s="1"/>
  <c r="C140" i="7"/>
  <c r="D140" i="7" s="1"/>
  <c r="C141" i="7"/>
  <c r="D141" i="7" s="1"/>
  <c r="C142" i="7"/>
  <c r="D142" i="7" s="1"/>
  <c r="C143" i="7"/>
  <c r="D143" i="7" s="1"/>
  <c r="C144" i="7"/>
  <c r="D144" i="7" s="1"/>
  <c r="C145" i="7"/>
  <c r="D145" i="7" s="1"/>
  <c r="C146" i="7"/>
  <c r="D146" i="7" s="1"/>
  <c r="C147" i="7"/>
  <c r="D147" i="7" s="1"/>
  <c r="C148" i="7"/>
  <c r="D148" i="7" s="1"/>
  <c r="C149" i="7"/>
  <c r="D149" i="7" s="1"/>
  <c r="C150" i="7"/>
  <c r="D150" i="7" s="1"/>
  <c r="C151" i="7"/>
  <c r="D151" i="7" s="1"/>
  <c r="C152" i="7"/>
  <c r="D152" i="7" s="1"/>
  <c r="C153" i="7"/>
  <c r="D153" i="7" s="1"/>
  <c r="C154" i="7"/>
  <c r="D154" i="7" s="1"/>
  <c r="C155" i="7"/>
  <c r="D155" i="7" s="1"/>
  <c r="C156" i="7"/>
  <c r="E156" i="7" s="1"/>
  <c r="C157" i="7"/>
  <c r="D157" i="7" s="1"/>
  <c r="C112" i="7"/>
  <c r="D112" i="7" s="1"/>
  <c r="C113" i="7"/>
  <c r="D113" i="7" s="1"/>
  <c r="C114" i="7"/>
  <c r="F114" i="7" s="1"/>
  <c r="H114" i="7" s="1"/>
  <c r="C115" i="7"/>
  <c r="D115" i="7" s="1"/>
  <c r="C116" i="7"/>
  <c r="D116" i="7" s="1"/>
  <c r="C117" i="7"/>
  <c r="D117" i="7" s="1"/>
  <c r="C118" i="7"/>
  <c r="D118" i="7" s="1"/>
  <c r="C119" i="7"/>
  <c r="D119" i="7" s="1"/>
  <c r="C120" i="7"/>
  <c r="D120" i="7" s="1"/>
  <c r="C121" i="7"/>
  <c r="D121" i="7" s="1"/>
  <c r="C122" i="7"/>
  <c r="F122" i="7" s="1"/>
  <c r="H122" i="7" s="1"/>
  <c r="C123" i="7"/>
  <c r="D123" i="7" s="1"/>
  <c r="C124" i="7"/>
  <c r="D124" i="7" s="1"/>
  <c r="C125" i="7"/>
  <c r="D125" i="7" s="1"/>
  <c r="C126" i="7"/>
  <c r="F126" i="7" s="1"/>
  <c r="H126" i="7" s="1"/>
  <c r="C127" i="7"/>
  <c r="D127" i="7" s="1"/>
  <c r="C128" i="7"/>
  <c r="D128" i="7" s="1"/>
  <c r="C129" i="7"/>
  <c r="D129" i="7" s="1"/>
  <c r="C130" i="7"/>
  <c r="D130" i="7" s="1"/>
  <c r="C131" i="7"/>
  <c r="E131" i="7" s="1"/>
  <c r="C132" i="7"/>
  <c r="D132" i="7" s="1"/>
  <c r="C133" i="7"/>
  <c r="D133" i="7" s="1"/>
  <c r="C92" i="7"/>
  <c r="D92" i="7" s="1"/>
  <c r="C93" i="7"/>
  <c r="F93" i="7" s="1"/>
  <c r="H93" i="7" s="1"/>
  <c r="C94" i="7"/>
  <c r="E94" i="7" s="1"/>
  <c r="C95" i="7"/>
  <c r="D95" i="7" s="1"/>
  <c r="C96" i="7"/>
  <c r="D96" i="7" s="1"/>
  <c r="C97" i="7"/>
  <c r="D97" i="7" s="1"/>
  <c r="C98" i="7"/>
  <c r="E98" i="7" s="1"/>
  <c r="C99" i="7"/>
  <c r="D99" i="7" s="1"/>
  <c r="C100" i="7"/>
  <c r="D100" i="7" s="1"/>
  <c r="C101" i="7"/>
  <c r="F101" i="7" s="1"/>
  <c r="H101" i="7" s="1"/>
  <c r="C102" i="7"/>
  <c r="E102" i="7" s="1"/>
  <c r="C103" i="7"/>
  <c r="D103" i="7" s="1"/>
  <c r="C104" i="7"/>
  <c r="D104" i="7" s="1"/>
  <c r="C105" i="7"/>
  <c r="D105" i="7" s="1"/>
  <c r="C106" i="7"/>
  <c r="E106" i="7" s="1"/>
  <c r="C107" i="7"/>
  <c r="D107" i="7" s="1"/>
  <c r="C108" i="7"/>
  <c r="D108" i="7" s="1"/>
  <c r="C109" i="7"/>
  <c r="F109" i="7" s="1"/>
  <c r="H109" i="7" s="1"/>
  <c r="C110" i="7"/>
  <c r="E110" i="7" s="1"/>
  <c r="C111" i="7"/>
  <c r="D111" i="7" s="1"/>
  <c r="I313" i="1"/>
  <c r="G313" i="1"/>
  <c r="D313" i="1"/>
  <c r="I312" i="1"/>
  <c r="G312" i="1"/>
  <c r="D312" i="1"/>
  <c r="D311" i="1"/>
  <c r="I131" i="1"/>
  <c r="G131" i="1"/>
  <c r="D131" i="1"/>
  <c r="I130" i="1"/>
  <c r="G130" i="1"/>
  <c r="D130" i="1"/>
  <c r="I129" i="1"/>
  <c r="G129" i="1"/>
  <c r="D129" i="1"/>
  <c r="G443" i="1"/>
  <c r="I443" i="1"/>
  <c r="G444" i="1"/>
  <c r="I444" i="1"/>
  <c r="G128" i="1"/>
  <c r="I128" i="1"/>
  <c r="G310" i="1"/>
  <c r="I310" i="1"/>
  <c r="G311" i="1"/>
  <c r="I311" i="1"/>
  <c r="A443" i="1"/>
  <c r="A444" i="1"/>
  <c r="A128" i="1"/>
  <c r="A129" i="1"/>
  <c r="A130" i="1"/>
  <c r="A131" i="1"/>
  <c r="A310" i="1"/>
  <c r="A311" i="1"/>
  <c r="A312" i="1"/>
  <c r="A313" i="1"/>
  <c r="D443" i="1"/>
  <c r="D444" i="1"/>
  <c r="D128" i="1"/>
  <c r="D310" i="1"/>
  <c r="E139" i="7" l="1"/>
  <c r="F164" i="7"/>
  <c r="H164" i="7" s="1"/>
  <c r="D178" i="7"/>
  <c r="F112" i="7"/>
  <c r="H112" i="7" s="1"/>
  <c r="F139" i="7"/>
  <c r="H139" i="7" s="1"/>
  <c r="F178" i="7"/>
  <c r="H178" i="7" s="1"/>
  <c r="D172" i="7"/>
  <c r="F176" i="7"/>
  <c r="H176" i="7" s="1"/>
  <c r="E176" i="7"/>
  <c r="D177" i="7"/>
  <c r="F175" i="7"/>
  <c r="H175" i="7" s="1"/>
  <c r="E175" i="7"/>
  <c r="F170" i="7"/>
  <c r="H170" i="7" s="1"/>
  <c r="F172" i="7"/>
  <c r="H172" i="7" s="1"/>
  <c r="F171" i="7"/>
  <c r="H171" i="7" s="1"/>
  <c r="F174" i="7"/>
  <c r="H174" i="7" s="1"/>
  <c r="E171" i="7"/>
  <c r="F167" i="7"/>
  <c r="H167" i="7" s="1"/>
  <c r="E167" i="7"/>
  <c r="E168" i="7"/>
  <c r="D168" i="7"/>
  <c r="F162" i="7"/>
  <c r="H162" i="7" s="1"/>
  <c r="D160" i="7"/>
  <c r="F160" i="7"/>
  <c r="H160" i="7" s="1"/>
  <c r="F159" i="7"/>
  <c r="H159" i="7" s="1"/>
  <c r="E159" i="7"/>
  <c r="F166" i="7"/>
  <c r="H166" i="7" s="1"/>
  <c r="E164" i="7"/>
  <c r="F163" i="7"/>
  <c r="H163" i="7" s="1"/>
  <c r="E163" i="7"/>
  <c r="F158" i="7"/>
  <c r="H158" i="7" s="1"/>
  <c r="F146" i="7"/>
  <c r="H146" i="7" s="1"/>
  <c r="E143" i="7"/>
  <c r="F144" i="7"/>
  <c r="H144" i="7" s="1"/>
  <c r="E144" i="7"/>
  <c r="F138" i="7"/>
  <c r="H138" i="7" s="1"/>
  <c r="F136" i="7"/>
  <c r="H136" i="7" s="1"/>
  <c r="E136" i="7"/>
  <c r="F135" i="7"/>
  <c r="H135" i="7" s="1"/>
  <c r="E135" i="7"/>
  <c r="F134" i="7"/>
  <c r="H134" i="7" s="1"/>
  <c r="F177" i="7"/>
  <c r="H177" i="7" s="1"/>
  <c r="E174" i="7"/>
  <c r="F173" i="7"/>
  <c r="H173" i="7" s="1"/>
  <c r="E170" i="7"/>
  <c r="F169" i="7"/>
  <c r="H169" i="7" s="1"/>
  <c r="E166" i="7"/>
  <c r="F165" i="7"/>
  <c r="H165" i="7" s="1"/>
  <c r="E162" i="7"/>
  <c r="F161" i="7"/>
  <c r="H161" i="7" s="1"/>
  <c r="E158" i="7"/>
  <c r="E173" i="7"/>
  <c r="E169" i="7"/>
  <c r="E165" i="7"/>
  <c r="E161" i="7"/>
  <c r="F143" i="7"/>
  <c r="H143" i="7" s="1"/>
  <c r="F152" i="7"/>
  <c r="H152" i="7" s="1"/>
  <c r="F151" i="7"/>
  <c r="H151" i="7" s="1"/>
  <c r="F154" i="7"/>
  <c r="H154" i="7" s="1"/>
  <c r="E152" i="7"/>
  <c r="E151" i="7"/>
  <c r="D156" i="7"/>
  <c r="F140" i="7"/>
  <c r="H140" i="7" s="1"/>
  <c r="F156" i="7"/>
  <c r="H156" i="7" s="1"/>
  <c r="F155" i="7"/>
  <c r="H155" i="7" s="1"/>
  <c r="F148" i="7"/>
  <c r="H148" i="7" s="1"/>
  <c r="F147" i="7"/>
  <c r="H147" i="7" s="1"/>
  <c r="E155" i="7"/>
  <c r="F150" i="7"/>
  <c r="H150" i="7" s="1"/>
  <c r="E148" i="7"/>
  <c r="E147" i="7"/>
  <c r="F142" i="7"/>
  <c r="H142" i="7" s="1"/>
  <c r="E140" i="7"/>
  <c r="F157" i="7"/>
  <c r="H157" i="7" s="1"/>
  <c r="E154" i="7"/>
  <c r="F153" i="7"/>
  <c r="H153" i="7" s="1"/>
  <c r="E150" i="7"/>
  <c r="F149" i="7"/>
  <c r="H149" i="7" s="1"/>
  <c r="E146" i="7"/>
  <c r="F145" i="7"/>
  <c r="H145" i="7" s="1"/>
  <c r="E142" i="7"/>
  <c r="F141" i="7"/>
  <c r="H141" i="7" s="1"/>
  <c r="E138" i="7"/>
  <c r="F137" i="7"/>
  <c r="H137" i="7" s="1"/>
  <c r="E134" i="7"/>
  <c r="E157" i="7"/>
  <c r="E153" i="7"/>
  <c r="E149" i="7"/>
  <c r="E145" i="7"/>
  <c r="E141" i="7"/>
  <c r="E137" i="7"/>
  <c r="F130" i="7"/>
  <c r="H130" i="7" s="1"/>
  <c r="E130" i="7"/>
  <c r="E129" i="7"/>
  <c r="F129" i="7"/>
  <c r="H129" i="7" s="1"/>
  <c r="E126" i="7"/>
  <c r="D126" i="7"/>
  <c r="E125" i="7"/>
  <c r="F124" i="7"/>
  <c r="H124" i="7" s="1"/>
  <c r="E122" i="7"/>
  <c r="E121" i="7"/>
  <c r="F121" i="7"/>
  <c r="H121" i="7" s="1"/>
  <c r="F118" i="7"/>
  <c r="H118" i="7" s="1"/>
  <c r="E118" i="7"/>
  <c r="E117" i="7"/>
  <c r="F117" i="7"/>
  <c r="H117" i="7" s="1"/>
  <c r="E114" i="7"/>
  <c r="D114" i="7"/>
  <c r="E113" i="7"/>
  <c r="E133" i="7"/>
  <c r="F133" i="7"/>
  <c r="H133" i="7" s="1"/>
  <c r="D131" i="7"/>
  <c r="F128" i="7"/>
  <c r="H128" i="7" s="1"/>
  <c r="F125" i="7"/>
  <c r="H125" i="7" s="1"/>
  <c r="D122" i="7"/>
  <c r="F120" i="7"/>
  <c r="H120" i="7" s="1"/>
  <c r="F116" i="7"/>
  <c r="H116" i="7" s="1"/>
  <c r="F113" i="7"/>
  <c r="H113" i="7" s="1"/>
  <c r="F132" i="7"/>
  <c r="H132" i="7" s="1"/>
  <c r="E132" i="7"/>
  <c r="F131" i="7"/>
  <c r="H131" i="7" s="1"/>
  <c r="E128" i="7"/>
  <c r="F127" i="7"/>
  <c r="H127" i="7" s="1"/>
  <c r="E124" i="7"/>
  <c r="F123" i="7"/>
  <c r="H123" i="7" s="1"/>
  <c r="E120" i="7"/>
  <c r="F119" i="7"/>
  <c r="H119" i="7" s="1"/>
  <c r="E116" i="7"/>
  <c r="F115" i="7"/>
  <c r="H115" i="7" s="1"/>
  <c r="E112" i="7"/>
  <c r="E127" i="7"/>
  <c r="E123" i="7"/>
  <c r="E119" i="7"/>
  <c r="E115" i="7"/>
  <c r="F105" i="7"/>
  <c r="H105" i="7" s="1"/>
  <c r="F104" i="7"/>
  <c r="H104" i="7" s="1"/>
  <c r="F97" i="7"/>
  <c r="H97" i="7" s="1"/>
  <c r="D110" i="7"/>
  <c r="E109" i="7"/>
  <c r="D109" i="7"/>
  <c r="E104" i="7"/>
  <c r="D101" i="7"/>
  <c r="D102" i="7"/>
  <c r="E101" i="7"/>
  <c r="F96" i="7"/>
  <c r="H96" i="7" s="1"/>
  <c r="E96" i="7"/>
  <c r="D94" i="7"/>
  <c r="E97" i="7"/>
  <c r="F92" i="7"/>
  <c r="H92" i="7" s="1"/>
  <c r="E105" i="7"/>
  <c r="F108" i="7"/>
  <c r="H108" i="7" s="1"/>
  <c r="D106" i="7"/>
  <c r="F100" i="7"/>
  <c r="H100" i="7" s="1"/>
  <c r="D98" i="7"/>
  <c r="E93" i="7"/>
  <c r="E92" i="7"/>
  <c r="E108" i="7"/>
  <c r="E100" i="7"/>
  <c r="D93" i="7"/>
  <c r="F111" i="7"/>
  <c r="H111" i="7" s="1"/>
  <c r="F107" i="7"/>
  <c r="H107" i="7" s="1"/>
  <c r="F103" i="7"/>
  <c r="H103" i="7" s="1"/>
  <c r="F99" i="7"/>
  <c r="H99" i="7" s="1"/>
  <c r="F95" i="7"/>
  <c r="H95" i="7" s="1"/>
  <c r="E111" i="7"/>
  <c r="F110" i="7"/>
  <c r="H110" i="7" s="1"/>
  <c r="E107" i="7"/>
  <c r="F106" i="7"/>
  <c r="H106" i="7" s="1"/>
  <c r="E103" i="7"/>
  <c r="F102" i="7"/>
  <c r="H102" i="7" s="1"/>
  <c r="E99" i="7"/>
  <c r="F98" i="7"/>
  <c r="H98" i="7" s="1"/>
  <c r="E95" i="7"/>
  <c r="F94" i="7"/>
  <c r="H94" i="7" s="1"/>
  <c r="I442" i="1" l="1"/>
  <c r="G442" i="1"/>
  <c r="D442" i="1"/>
  <c r="I309" i="1"/>
  <c r="G309" i="1"/>
  <c r="D309" i="1"/>
  <c r="I308" i="1"/>
  <c r="G308" i="1"/>
  <c r="D308" i="1"/>
  <c r="I127" i="1"/>
  <c r="G127" i="1"/>
  <c r="D127" i="1"/>
  <c r="I307" i="1"/>
  <c r="G307" i="1"/>
  <c r="D307" i="1"/>
  <c r="I126" i="1"/>
  <c r="G126" i="1"/>
  <c r="D126" i="1"/>
  <c r="I306" i="1"/>
  <c r="G306" i="1"/>
  <c r="D306" i="1"/>
  <c r="I125" i="1"/>
  <c r="G125" i="1"/>
  <c r="D125" i="1"/>
  <c r="A125" i="1"/>
  <c r="D2" i="1" l="1"/>
  <c r="D185" i="1"/>
  <c r="D371" i="1"/>
  <c r="D3" i="1"/>
  <c r="D186" i="1"/>
  <c r="D372" i="1"/>
  <c r="D4" i="1"/>
  <c r="D187" i="1"/>
  <c r="D373" i="1"/>
  <c r="D5" i="1"/>
  <c r="D188" i="1"/>
  <c r="D374" i="1"/>
  <c r="D6" i="1"/>
  <c r="D189" i="1"/>
  <c r="D375" i="1"/>
  <c r="D7" i="1"/>
  <c r="D190" i="1"/>
  <c r="D376" i="1"/>
  <c r="D8" i="1"/>
  <c r="D191" i="1"/>
  <c r="D377" i="1"/>
  <c r="D9" i="1"/>
  <c r="D192" i="1"/>
  <c r="D378" i="1"/>
  <c r="D10" i="1"/>
  <c r="D193" i="1"/>
  <c r="D379" i="1"/>
  <c r="D11" i="1"/>
  <c r="D194" i="1"/>
  <c r="D380" i="1"/>
  <c r="D12" i="1"/>
  <c r="D195" i="1"/>
  <c r="D381" i="1"/>
  <c r="D13" i="1"/>
  <c r="D382" i="1"/>
  <c r="D196" i="1"/>
  <c r="D383" i="1"/>
  <c r="D14" i="1"/>
  <c r="D197" i="1"/>
  <c r="D384" i="1"/>
  <c r="D15" i="1"/>
  <c r="D198" i="1"/>
  <c r="D385" i="1"/>
  <c r="D16" i="1"/>
  <c r="D17" i="1"/>
  <c r="D199" i="1"/>
  <c r="D386" i="1"/>
  <c r="D18" i="1"/>
  <c r="D200" i="1"/>
  <c r="D387" i="1"/>
  <c r="D19" i="1"/>
  <c r="D201" i="1"/>
  <c r="D388" i="1"/>
  <c r="D20" i="1"/>
  <c r="D202" i="1"/>
  <c r="D389" i="1"/>
  <c r="D390" i="1"/>
  <c r="D21" i="1"/>
  <c r="D203" i="1"/>
  <c r="D391" i="1"/>
  <c r="D22" i="1"/>
  <c r="D204" i="1"/>
  <c r="D392" i="1"/>
  <c r="D23" i="1"/>
  <c r="D205" i="1"/>
  <c r="D393" i="1"/>
  <c r="D394" i="1"/>
  <c r="D24" i="1"/>
  <c r="D206" i="1"/>
  <c r="D395" i="1"/>
  <c r="D25" i="1"/>
  <c r="D207" i="1"/>
  <c r="D396" i="1"/>
  <c r="D26" i="1"/>
  <c r="D208" i="1"/>
  <c r="D397" i="1"/>
  <c r="D27" i="1"/>
  <c r="D209" i="1"/>
  <c r="D398" i="1"/>
  <c r="D28" i="1"/>
  <c r="D210" i="1"/>
  <c r="D399" i="1"/>
  <c r="D211" i="1"/>
  <c r="D400" i="1"/>
  <c r="D29" i="1"/>
  <c r="D212" i="1"/>
  <c r="D401" i="1"/>
  <c r="D30" i="1"/>
  <c r="D213" i="1"/>
  <c r="D402" i="1"/>
  <c r="D31" i="1"/>
  <c r="D214" i="1"/>
  <c r="D32" i="1"/>
  <c r="D215" i="1"/>
  <c r="D403" i="1"/>
  <c r="D33" i="1"/>
  <c r="D216" i="1"/>
  <c r="D404" i="1"/>
  <c r="D34" i="1"/>
  <c r="D217" i="1"/>
  <c r="D405" i="1"/>
  <c r="D35" i="1"/>
  <c r="D218" i="1"/>
  <c r="D36" i="1"/>
  <c r="D219" i="1"/>
  <c r="D37" i="1"/>
  <c r="D220" i="1"/>
  <c r="D38" i="1"/>
  <c r="D221" i="1"/>
  <c r="D39" i="1"/>
  <c r="D222" i="1"/>
  <c r="D40" i="1"/>
  <c r="D223" i="1"/>
  <c r="D41" i="1"/>
  <c r="D224" i="1"/>
  <c r="D406" i="1"/>
  <c r="D42" i="1"/>
  <c r="D225" i="1"/>
  <c r="D43" i="1"/>
  <c r="D226" i="1"/>
  <c r="D44" i="1"/>
  <c r="D227" i="1"/>
  <c r="D45" i="1"/>
  <c r="D228" i="1"/>
  <c r="D46" i="1"/>
  <c r="D229" i="1"/>
  <c r="D47" i="1"/>
  <c r="D230" i="1"/>
  <c r="D48" i="1"/>
  <c r="D231" i="1"/>
  <c r="D49" i="1"/>
  <c r="D232" i="1"/>
  <c r="D50" i="1"/>
  <c r="D233" i="1"/>
  <c r="D51" i="1"/>
  <c r="D234" i="1"/>
  <c r="D52" i="1"/>
  <c r="D235" i="1"/>
  <c r="D53" i="1"/>
  <c r="D236" i="1"/>
  <c r="D237" i="1"/>
  <c r="D238" i="1"/>
  <c r="D54" i="1"/>
  <c r="D239" i="1"/>
  <c r="D55" i="1"/>
  <c r="D240" i="1"/>
  <c r="D56" i="1"/>
  <c r="D241" i="1"/>
  <c r="D57" i="1"/>
  <c r="D242" i="1"/>
  <c r="D58" i="1"/>
  <c r="D243" i="1"/>
  <c r="D59" i="1"/>
  <c r="D244" i="1"/>
  <c r="D60" i="1"/>
  <c r="D245" i="1"/>
  <c r="D61" i="1"/>
  <c r="D246" i="1"/>
  <c r="D62" i="1"/>
  <c r="D247" i="1"/>
  <c r="D63" i="1"/>
  <c r="D248" i="1"/>
  <c r="D407" i="1"/>
  <c r="D64" i="1"/>
  <c r="D408" i="1"/>
  <c r="D65" i="1"/>
  <c r="D249" i="1"/>
  <c r="D409" i="1"/>
  <c r="D66" i="1"/>
  <c r="D250" i="1"/>
  <c r="D410" i="1"/>
  <c r="D67" i="1"/>
  <c r="D251" i="1"/>
  <c r="D411" i="1"/>
  <c r="D68" i="1"/>
  <c r="D252" i="1"/>
  <c r="D412" i="1"/>
  <c r="D69" i="1"/>
  <c r="D253" i="1"/>
  <c r="D413" i="1"/>
  <c r="D70" i="1"/>
  <c r="D254" i="1"/>
  <c r="D71" i="1"/>
  <c r="D414" i="1"/>
  <c r="D72" i="1"/>
  <c r="D255" i="1"/>
  <c r="D256" i="1"/>
  <c r="D73" i="1"/>
  <c r="D257" i="1"/>
  <c r="D258" i="1"/>
  <c r="D74" i="1"/>
  <c r="D259" i="1"/>
  <c r="D75" i="1"/>
  <c r="D260" i="1"/>
  <c r="D76" i="1"/>
  <c r="D261" i="1"/>
  <c r="D77" i="1"/>
  <c r="D78" i="1"/>
  <c r="D262" i="1"/>
  <c r="D79" i="1"/>
  <c r="D415" i="1"/>
  <c r="D416" i="1"/>
  <c r="D80" i="1"/>
  <c r="D417" i="1"/>
  <c r="D81" i="1"/>
  <c r="D263" i="1"/>
  <c r="D82" i="1"/>
  <c r="D264" i="1"/>
  <c r="D83" i="1"/>
  <c r="D265" i="1"/>
  <c r="D418" i="1"/>
  <c r="D84" i="1"/>
  <c r="D266" i="1"/>
  <c r="D267" i="1"/>
  <c r="D419" i="1"/>
  <c r="D85" i="1"/>
  <c r="D268" i="1"/>
  <c r="D420" i="1"/>
  <c r="D86" i="1"/>
  <c r="D421" i="1"/>
  <c r="D87" i="1"/>
  <c r="D269" i="1"/>
  <c r="D88" i="1"/>
  <c r="D89" i="1"/>
  <c r="D270" i="1"/>
  <c r="D422" i="1"/>
  <c r="D90" i="1"/>
  <c r="D91" i="1"/>
  <c r="D271" i="1"/>
  <c r="D423" i="1"/>
  <c r="D92" i="1"/>
  <c r="D272" i="1"/>
  <c r="D424" i="1"/>
  <c r="D93" i="1"/>
  <c r="D273" i="1"/>
  <c r="D425" i="1"/>
  <c r="D94" i="1"/>
  <c r="D274" i="1"/>
  <c r="D426" i="1"/>
  <c r="D95" i="1"/>
  <c r="D427" i="1"/>
  <c r="D96" i="1"/>
  <c r="D275" i="1"/>
  <c r="D428" i="1"/>
  <c r="D97" i="1"/>
  <c r="D276" i="1"/>
  <c r="D429" i="1"/>
  <c r="D98" i="1"/>
  <c r="D277" i="1"/>
  <c r="D430" i="1"/>
  <c r="D99" i="1"/>
  <c r="D278" i="1"/>
  <c r="D431" i="1"/>
  <c r="D100" i="1"/>
  <c r="D279" i="1"/>
  <c r="D280" i="1"/>
  <c r="D432" i="1"/>
  <c r="D101" i="1"/>
  <c r="D281" i="1"/>
  <c r="D433" i="1"/>
  <c r="D102" i="1"/>
  <c r="D282" i="1"/>
  <c r="D434" i="1"/>
  <c r="D103" i="1"/>
  <c r="D104" i="1"/>
  <c r="D283" i="1"/>
  <c r="D435" i="1"/>
  <c r="D105" i="1"/>
  <c r="D284" i="1"/>
  <c r="D436" i="1"/>
  <c r="D106" i="1"/>
  <c r="D285" i="1"/>
  <c r="D107" i="1"/>
  <c r="D286" i="1"/>
  <c r="D108" i="1"/>
  <c r="D287" i="1"/>
  <c r="D109" i="1"/>
  <c r="D288" i="1"/>
  <c r="D110" i="1"/>
  <c r="D289" i="1"/>
  <c r="D290" i="1"/>
  <c r="D111" i="1"/>
  <c r="D291" i="1"/>
  <c r="D112" i="1"/>
  <c r="D292" i="1"/>
  <c r="D113" i="1"/>
  <c r="D293" i="1"/>
  <c r="D114" i="1"/>
  <c r="D294" i="1"/>
  <c r="D115" i="1"/>
  <c r="D295" i="1"/>
  <c r="D116" i="1"/>
  <c r="D296" i="1"/>
  <c r="D117" i="1"/>
  <c r="D297" i="1"/>
  <c r="D118" i="1"/>
  <c r="D298" i="1"/>
  <c r="D119" i="1"/>
  <c r="D299" i="1"/>
  <c r="D300" i="1"/>
  <c r="D120" i="1"/>
  <c r="D437" i="1"/>
  <c r="D301" i="1"/>
  <c r="D438" i="1"/>
  <c r="D302" i="1"/>
  <c r="D303" i="1"/>
  <c r="D439" i="1"/>
  <c r="D121" i="1"/>
  <c r="D304" i="1"/>
  <c r="D440" i="1"/>
  <c r="D305" i="1"/>
  <c r="D441" i="1"/>
  <c r="D122" i="1"/>
  <c r="D123" i="1"/>
  <c r="D124" i="1"/>
  <c r="D445" i="1"/>
  <c r="D446" i="1"/>
  <c r="D132" i="1"/>
  <c r="D133" i="1"/>
  <c r="D134" i="1"/>
  <c r="D135" i="1"/>
  <c r="D314" i="1"/>
  <c r="D315" i="1"/>
  <c r="D316" i="1"/>
  <c r="D317" i="1"/>
  <c r="D447" i="1"/>
  <c r="D136" i="1"/>
  <c r="D318" i="1"/>
  <c r="D137" i="1"/>
  <c r="D319" i="1"/>
  <c r="D138" i="1"/>
  <c r="D320" i="1"/>
  <c r="D321" i="1"/>
  <c r="D139" i="1"/>
  <c r="D322" i="1"/>
  <c r="D140" i="1"/>
  <c r="D323" i="1"/>
  <c r="D324" i="1"/>
  <c r="D448" i="1"/>
  <c r="D141" i="1"/>
  <c r="D325" i="1"/>
  <c r="D142" i="1"/>
  <c r="D327" i="1"/>
  <c r="D449" i="1"/>
  <c r="D143" i="1"/>
  <c r="D328" i="1"/>
  <c r="D450" i="1"/>
  <c r="D451" i="1"/>
  <c r="D452" i="1"/>
  <c r="D370" i="1"/>
  <c r="C3" i="7"/>
  <c r="F3" i="7" s="1"/>
  <c r="H3" i="7" s="1"/>
  <c r="C4" i="7"/>
  <c r="F4" i="7" s="1"/>
  <c r="H4" i="7" s="1"/>
  <c r="C5" i="7"/>
  <c r="F5" i="7" s="1"/>
  <c r="H5" i="7" s="1"/>
  <c r="C6" i="7"/>
  <c r="F6" i="7" s="1"/>
  <c r="H6" i="7" s="1"/>
  <c r="C7" i="7"/>
  <c r="F7" i="7" s="1"/>
  <c r="H7" i="7" s="1"/>
  <c r="C8" i="7"/>
  <c r="F8" i="7" s="1"/>
  <c r="H8" i="7" s="1"/>
  <c r="C9" i="7"/>
  <c r="F9" i="7" s="1"/>
  <c r="H9" i="7" s="1"/>
  <c r="C10" i="7"/>
  <c r="F10" i="7" s="1"/>
  <c r="H10" i="7" s="1"/>
  <c r="C11" i="7"/>
  <c r="F11" i="7" s="1"/>
  <c r="H11" i="7" s="1"/>
  <c r="C12" i="7"/>
  <c r="F12" i="7" s="1"/>
  <c r="H12" i="7" s="1"/>
  <c r="C13" i="7"/>
  <c r="E13" i="7" s="1"/>
  <c r="C14" i="7"/>
  <c r="F14" i="7" s="1"/>
  <c r="H14" i="7" s="1"/>
  <c r="C15" i="7"/>
  <c r="F15" i="7" s="1"/>
  <c r="H15" i="7" s="1"/>
  <c r="C16" i="7"/>
  <c r="F16" i="7" s="1"/>
  <c r="H16" i="7" s="1"/>
  <c r="C17" i="7"/>
  <c r="F17" i="7" s="1"/>
  <c r="H17" i="7" s="1"/>
  <c r="C18" i="7"/>
  <c r="F18" i="7" s="1"/>
  <c r="H18" i="7" s="1"/>
  <c r="C19" i="7"/>
  <c r="D19" i="7" s="1"/>
  <c r="C20" i="7"/>
  <c r="F20" i="7" s="1"/>
  <c r="H20" i="7" s="1"/>
  <c r="C21" i="7"/>
  <c r="F21" i="7" s="1"/>
  <c r="H21" i="7" s="1"/>
  <c r="C22" i="7"/>
  <c r="F22" i="7" s="1"/>
  <c r="H22" i="7" s="1"/>
  <c r="C23" i="7"/>
  <c r="F23" i="7" s="1"/>
  <c r="H23" i="7" s="1"/>
  <c r="C24" i="7"/>
  <c r="F24" i="7" s="1"/>
  <c r="H24" i="7" s="1"/>
  <c r="C25" i="7"/>
  <c r="D25" i="7" s="1"/>
  <c r="C26" i="7"/>
  <c r="F26" i="7" s="1"/>
  <c r="H26" i="7" s="1"/>
  <c r="C27" i="7"/>
  <c r="F27" i="7" s="1"/>
  <c r="H27" i="7" s="1"/>
  <c r="C28" i="7"/>
  <c r="F28" i="7" s="1"/>
  <c r="H28" i="7" s="1"/>
  <c r="C29" i="7"/>
  <c r="F29" i="7" s="1"/>
  <c r="H29" i="7" s="1"/>
  <c r="C30" i="7"/>
  <c r="F30" i="7" s="1"/>
  <c r="H30" i="7" s="1"/>
  <c r="C31" i="7"/>
  <c r="F31" i="7" s="1"/>
  <c r="H31" i="7" s="1"/>
  <c r="C32" i="7"/>
  <c r="F32" i="7" s="1"/>
  <c r="H32" i="7" s="1"/>
  <c r="C33" i="7"/>
  <c r="F33" i="7" s="1"/>
  <c r="H33" i="7" s="1"/>
  <c r="C34" i="7"/>
  <c r="F34" i="7" s="1"/>
  <c r="H34" i="7" s="1"/>
  <c r="C35" i="7"/>
  <c r="F35" i="7" s="1"/>
  <c r="H35" i="7" s="1"/>
  <c r="C36" i="7"/>
  <c r="F36" i="7" s="1"/>
  <c r="H36" i="7" s="1"/>
  <c r="C37" i="7"/>
  <c r="E37" i="7" s="1"/>
  <c r="C38" i="7"/>
  <c r="F38" i="7" s="1"/>
  <c r="H38" i="7" s="1"/>
  <c r="C39" i="7"/>
  <c r="F39" i="7" s="1"/>
  <c r="H39" i="7" s="1"/>
  <c r="C40" i="7"/>
  <c r="F40" i="7" s="1"/>
  <c r="H40" i="7" s="1"/>
  <c r="C41" i="7"/>
  <c r="F41" i="7" s="1"/>
  <c r="H41" i="7" s="1"/>
  <c r="C42" i="7"/>
  <c r="F42" i="7" s="1"/>
  <c r="H42" i="7" s="1"/>
  <c r="C43" i="7"/>
  <c r="D43" i="7" s="1"/>
  <c r="C44" i="7"/>
  <c r="F44" i="7" s="1"/>
  <c r="H44" i="7" s="1"/>
  <c r="C45" i="7"/>
  <c r="F45" i="7" s="1"/>
  <c r="H45" i="7" s="1"/>
  <c r="C46" i="7"/>
  <c r="F46" i="7" s="1"/>
  <c r="H46" i="7" s="1"/>
  <c r="C47" i="7"/>
  <c r="F47" i="7" s="1"/>
  <c r="H47" i="7" s="1"/>
  <c r="C48" i="7"/>
  <c r="F48" i="7" s="1"/>
  <c r="H48" i="7" s="1"/>
  <c r="C49" i="7"/>
  <c r="D49" i="7" s="1"/>
  <c r="C50" i="7"/>
  <c r="F50" i="7" s="1"/>
  <c r="H50" i="7" s="1"/>
  <c r="C51" i="7"/>
  <c r="F51" i="7" s="1"/>
  <c r="H51" i="7" s="1"/>
  <c r="C52" i="7"/>
  <c r="F52" i="7" s="1"/>
  <c r="H52" i="7" s="1"/>
  <c r="C53" i="7"/>
  <c r="F53" i="7" s="1"/>
  <c r="H53" i="7" s="1"/>
  <c r="C54" i="7"/>
  <c r="F54" i="7" s="1"/>
  <c r="H54" i="7" s="1"/>
  <c r="C55" i="7"/>
  <c r="F55" i="7" s="1"/>
  <c r="H55" i="7" s="1"/>
  <c r="C56" i="7"/>
  <c r="F56" i="7" s="1"/>
  <c r="H56" i="7" s="1"/>
  <c r="C57" i="7"/>
  <c r="F57" i="7" s="1"/>
  <c r="H57" i="7" s="1"/>
  <c r="C58" i="7"/>
  <c r="F58" i="7" s="1"/>
  <c r="H58" i="7" s="1"/>
  <c r="C59" i="7"/>
  <c r="F59" i="7" s="1"/>
  <c r="H59" i="7" s="1"/>
  <c r="C60" i="7"/>
  <c r="F60" i="7" s="1"/>
  <c r="H60" i="7" s="1"/>
  <c r="C61" i="7"/>
  <c r="E61" i="7" s="1"/>
  <c r="C62" i="7"/>
  <c r="F62" i="7" s="1"/>
  <c r="H62" i="7" s="1"/>
  <c r="C63" i="7"/>
  <c r="F63" i="7" s="1"/>
  <c r="H63" i="7" s="1"/>
  <c r="C64" i="7"/>
  <c r="F64" i="7" s="1"/>
  <c r="H64" i="7" s="1"/>
  <c r="C65" i="7"/>
  <c r="F65" i="7" s="1"/>
  <c r="H65" i="7" s="1"/>
  <c r="C66" i="7"/>
  <c r="F66" i="7" s="1"/>
  <c r="H66" i="7" s="1"/>
  <c r="C67" i="7"/>
  <c r="D67" i="7" s="1"/>
  <c r="C68" i="7"/>
  <c r="F68" i="7" s="1"/>
  <c r="H68" i="7" s="1"/>
  <c r="C69" i="7"/>
  <c r="F69" i="7" s="1"/>
  <c r="H69" i="7" s="1"/>
  <c r="C70" i="7"/>
  <c r="F70" i="7" s="1"/>
  <c r="H70" i="7" s="1"/>
  <c r="C71" i="7"/>
  <c r="F71" i="7" s="1"/>
  <c r="H71" i="7" s="1"/>
  <c r="C72" i="7"/>
  <c r="F72" i="7" s="1"/>
  <c r="H72" i="7" s="1"/>
  <c r="C73" i="7"/>
  <c r="D73" i="7" s="1"/>
  <c r="C74" i="7"/>
  <c r="F74" i="7" s="1"/>
  <c r="H74" i="7" s="1"/>
  <c r="C75" i="7"/>
  <c r="F75" i="7" s="1"/>
  <c r="H75" i="7" s="1"/>
  <c r="C76" i="7"/>
  <c r="F76" i="7" s="1"/>
  <c r="H76" i="7" s="1"/>
  <c r="C77" i="7"/>
  <c r="F77" i="7" s="1"/>
  <c r="H77" i="7" s="1"/>
  <c r="C78" i="7"/>
  <c r="F78" i="7" s="1"/>
  <c r="H78" i="7" s="1"/>
  <c r="C79" i="7"/>
  <c r="F79" i="7" s="1"/>
  <c r="H79" i="7" s="1"/>
  <c r="C80" i="7"/>
  <c r="F80" i="7" s="1"/>
  <c r="H80" i="7" s="1"/>
  <c r="C81" i="7"/>
  <c r="F81" i="7" s="1"/>
  <c r="H81" i="7" s="1"/>
  <c r="C82" i="7"/>
  <c r="F82" i="7" s="1"/>
  <c r="H82" i="7" s="1"/>
  <c r="C83" i="7"/>
  <c r="F83" i="7" s="1"/>
  <c r="H83" i="7" s="1"/>
  <c r="C84" i="7"/>
  <c r="F84" i="7" s="1"/>
  <c r="H84" i="7" s="1"/>
  <c r="C85" i="7"/>
  <c r="E85" i="7" s="1"/>
  <c r="C86" i="7"/>
  <c r="F86" i="7" s="1"/>
  <c r="H86" i="7" s="1"/>
  <c r="C87" i="7"/>
  <c r="F87" i="7" s="1"/>
  <c r="H87" i="7" s="1"/>
  <c r="C88" i="7"/>
  <c r="F88" i="7" s="1"/>
  <c r="H88" i="7" s="1"/>
  <c r="C89" i="7"/>
  <c r="F89" i="7" s="1"/>
  <c r="H89" i="7" s="1"/>
  <c r="C90" i="7"/>
  <c r="F90" i="7" s="1"/>
  <c r="H90" i="7" s="1"/>
  <c r="C91" i="7"/>
  <c r="D91" i="7" s="1"/>
  <c r="C2" i="7"/>
  <c r="F2" i="7" s="1"/>
  <c r="H2" i="7" s="1"/>
  <c r="D13" i="7" l="1"/>
  <c r="D85" i="7"/>
  <c r="F73" i="7"/>
  <c r="H73" i="7" s="1"/>
  <c r="D61" i="7"/>
  <c r="F49" i="7"/>
  <c r="H49" i="7" s="1"/>
  <c r="D37" i="7"/>
  <c r="F25" i="7"/>
  <c r="H25" i="7" s="1"/>
  <c r="D79" i="7"/>
  <c r="D55" i="7"/>
  <c r="D31" i="7"/>
  <c r="D7" i="7"/>
  <c r="E73" i="7"/>
  <c r="E49" i="7"/>
  <c r="E25" i="7"/>
  <c r="F91" i="7"/>
  <c r="H91" i="7" s="1"/>
  <c r="F67" i="7"/>
  <c r="H67" i="7" s="1"/>
  <c r="F43" i="7"/>
  <c r="H43" i="7" s="1"/>
  <c r="F19" i="7"/>
  <c r="H19" i="7" s="1"/>
  <c r="E79" i="7"/>
  <c r="E55" i="7"/>
  <c r="E31" i="7"/>
  <c r="E7" i="7"/>
  <c r="E91" i="7"/>
  <c r="E67" i="7"/>
  <c r="E43" i="7"/>
  <c r="E19" i="7"/>
  <c r="F85" i="7"/>
  <c r="H85" i="7" s="1"/>
  <c r="F61" i="7"/>
  <c r="H61" i="7" s="1"/>
  <c r="F37" i="7"/>
  <c r="H37" i="7" s="1"/>
  <c r="F13" i="7"/>
  <c r="H13" i="7" s="1"/>
  <c r="D2" i="7"/>
  <c r="D86" i="7"/>
  <c r="D80" i="7"/>
  <c r="D74" i="7"/>
  <c r="D68" i="7"/>
  <c r="D62" i="7"/>
  <c r="D56" i="7"/>
  <c r="D50" i="7"/>
  <c r="D44" i="7"/>
  <c r="D38" i="7"/>
  <c r="D32" i="7"/>
  <c r="D26" i="7"/>
  <c r="D20" i="7"/>
  <c r="D14" i="7"/>
  <c r="D8" i="7"/>
  <c r="E2" i="7"/>
  <c r="E86" i="7"/>
  <c r="E80" i="7"/>
  <c r="E74" i="7"/>
  <c r="E68" i="7"/>
  <c r="E62" i="7"/>
  <c r="E56" i="7"/>
  <c r="E50" i="7"/>
  <c r="E44" i="7"/>
  <c r="E38" i="7"/>
  <c r="E32" i="7"/>
  <c r="E26" i="7"/>
  <c r="E20" i="7"/>
  <c r="E14" i="7"/>
  <c r="E8" i="7"/>
  <c r="D90" i="7"/>
  <c r="D84" i="7"/>
  <c r="D78" i="7"/>
  <c r="D72" i="7"/>
  <c r="D66" i="7"/>
  <c r="D60" i="7"/>
  <c r="D54" i="7"/>
  <c r="D48" i="7"/>
  <c r="D42" i="7"/>
  <c r="D36" i="7"/>
  <c r="D30" i="7"/>
  <c r="D24" i="7"/>
  <c r="D18" i="7"/>
  <c r="D12" i="7"/>
  <c r="D6" i="7"/>
  <c r="E90" i="7"/>
  <c r="E84" i="7"/>
  <c r="E78" i="7"/>
  <c r="E72" i="7"/>
  <c r="E66" i="7"/>
  <c r="E60" i="7"/>
  <c r="E54" i="7"/>
  <c r="E48" i="7"/>
  <c r="E42" i="7"/>
  <c r="E36" i="7"/>
  <c r="E30" i="7"/>
  <c r="E24" i="7"/>
  <c r="E18" i="7"/>
  <c r="E12" i="7"/>
  <c r="E6" i="7"/>
  <c r="D89" i="7"/>
  <c r="D83" i="7"/>
  <c r="D77" i="7"/>
  <c r="D71" i="7"/>
  <c r="D65" i="7"/>
  <c r="D59" i="7"/>
  <c r="D53" i="7"/>
  <c r="D47" i="7"/>
  <c r="D41" i="7"/>
  <c r="D35" i="7"/>
  <c r="D29" i="7"/>
  <c r="D23" i="7"/>
  <c r="D17" i="7"/>
  <c r="D11" i="7"/>
  <c r="D5" i="7"/>
  <c r="E89" i="7"/>
  <c r="E83" i="7"/>
  <c r="E77" i="7"/>
  <c r="E71" i="7"/>
  <c r="E65" i="7"/>
  <c r="E59" i="7"/>
  <c r="E53" i="7"/>
  <c r="E47" i="7"/>
  <c r="E41" i="7"/>
  <c r="E35" i="7"/>
  <c r="E29" i="7"/>
  <c r="E23" i="7"/>
  <c r="E17" i="7"/>
  <c r="E11" i="7"/>
  <c r="E5" i="7"/>
  <c r="D88" i="7"/>
  <c r="D82" i="7"/>
  <c r="D76" i="7"/>
  <c r="D70" i="7"/>
  <c r="D64" i="7"/>
  <c r="D58" i="7"/>
  <c r="D52" i="7"/>
  <c r="D46" i="7"/>
  <c r="D40" i="7"/>
  <c r="D34" i="7"/>
  <c r="D28" i="7"/>
  <c r="D22" i="7"/>
  <c r="D16" i="7"/>
  <c r="D10" i="7"/>
  <c r="D4" i="7"/>
  <c r="E88" i="7"/>
  <c r="E82" i="7"/>
  <c r="E76" i="7"/>
  <c r="E70" i="7"/>
  <c r="E64" i="7"/>
  <c r="E58" i="7"/>
  <c r="E52" i="7"/>
  <c r="E46" i="7"/>
  <c r="E40" i="7"/>
  <c r="E34" i="7"/>
  <c r="E28" i="7"/>
  <c r="E22" i="7"/>
  <c r="E16" i="7"/>
  <c r="E10" i="7"/>
  <c r="E4" i="7"/>
  <c r="D87" i="7"/>
  <c r="D81" i="7"/>
  <c r="D75" i="7"/>
  <c r="D69" i="7"/>
  <c r="D63" i="7"/>
  <c r="D57" i="7"/>
  <c r="D51" i="7"/>
  <c r="D45" i="7"/>
  <c r="D39" i="7"/>
  <c r="D33" i="7"/>
  <c r="D27" i="7"/>
  <c r="D21" i="7"/>
  <c r="D15" i="7"/>
  <c r="D9" i="7"/>
  <c r="D3" i="7"/>
  <c r="E87" i="7"/>
  <c r="E81" i="7"/>
  <c r="E75" i="7"/>
  <c r="E69" i="7"/>
  <c r="E63" i="7"/>
  <c r="E57" i="7"/>
  <c r="E51" i="7"/>
  <c r="E45" i="7"/>
  <c r="E39" i="7"/>
  <c r="E33" i="7"/>
  <c r="E27" i="7"/>
  <c r="E21" i="7"/>
  <c r="E15" i="7"/>
  <c r="E9" i="7"/>
  <c r="E3" i="7"/>
  <c r="L370" i="1"/>
  <c r="A2" i="1" l="1"/>
  <c r="A185" i="1"/>
  <c r="A371" i="1"/>
  <c r="A3" i="1"/>
  <c r="A186" i="1"/>
  <c r="A372" i="1"/>
  <c r="A4" i="1"/>
  <c r="A187" i="1"/>
  <c r="A373" i="1"/>
  <c r="A5" i="1"/>
  <c r="A188" i="1"/>
  <c r="A374" i="1"/>
  <c r="A6" i="1"/>
  <c r="A189" i="1"/>
  <c r="A375" i="1"/>
  <c r="A7" i="1"/>
  <c r="A190" i="1"/>
  <c r="A376" i="1"/>
  <c r="A8" i="1"/>
  <c r="A191" i="1"/>
  <c r="A377" i="1"/>
  <c r="A9" i="1"/>
  <c r="A192" i="1"/>
  <c r="A378" i="1"/>
  <c r="A10" i="1"/>
  <c r="A193" i="1"/>
  <c r="A379" i="1"/>
  <c r="A11" i="1"/>
  <c r="A194" i="1"/>
  <c r="A380" i="1"/>
  <c r="A12" i="1"/>
  <c r="A195" i="1"/>
  <c r="A381" i="1"/>
  <c r="A13" i="1"/>
  <c r="A382" i="1"/>
  <c r="A196" i="1"/>
  <c r="A383" i="1"/>
  <c r="A14" i="1"/>
  <c r="A197" i="1"/>
  <c r="A384" i="1"/>
  <c r="A15" i="1"/>
  <c r="A198" i="1"/>
  <c r="A385" i="1"/>
  <c r="A16" i="1"/>
  <c r="A17" i="1"/>
  <c r="A199" i="1"/>
  <c r="A386" i="1"/>
  <c r="A18" i="1"/>
  <c r="A200" i="1"/>
  <c r="A387" i="1"/>
  <c r="A19" i="1"/>
  <c r="A201" i="1"/>
  <c r="A388" i="1"/>
  <c r="A20" i="1"/>
  <c r="A202" i="1"/>
  <c r="A389" i="1"/>
  <c r="A390" i="1"/>
  <c r="A21" i="1"/>
  <c r="A203" i="1"/>
  <c r="A391" i="1"/>
  <c r="A22" i="1"/>
  <c r="A204" i="1"/>
  <c r="A392" i="1"/>
  <c r="A23" i="1"/>
  <c r="A205" i="1"/>
  <c r="A393" i="1"/>
  <c r="A394" i="1"/>
  <c r="A24" i="1"/>
  <c r="A206" i="1"/>
  <c r="A395" i="1"/>
  <c r="A25" i="1"/>
  <c r="A207" i="1"/>
  <c r="A396" i="1"/>
  <c r="A26" i="1"/>
  <c r="A208" i="1"/>
  <c r="A397" i="1"/>
  <c r="A27" i="1"/>
  <c r="A209" i="1"/>
  <c r="A398" i="1"/>
  <c r="A28" i="1"/>
  <c r="A210" i="1"/>
  <c r="A399" i="1"/>
  <c r="A211" i="1"/>
  <c r="A400" i="1"/>
  <c r="A29" i="1"/>
  <c r="A212" i="1"/>
  <c r="A401" i="1"/>
  <c r="A30" i="1"/>
  <c r="A213" i="1"/>
  <c r="A402" i="1"/>
  <c r="A31" i="1"/>
  <c r="A214" i="1"/>
  <c r="A32" i="1"/>
  <c r="A215" i="1"/>
  <c r="A403" i="1"/>
  <c r="A33" i="1"/>
  <c r="A216" i="1"/>
  <c r="A404" i="1"/>
  <c r="A34" i="1"/>
  <c r="A217" i="1"/>
  <c r="A405" i="1"/>
  <c r="A35" i="1"/>
  <c r="A218" i="1"/>
  <c r="A36" i="1"/>
  <c r="A219" i="1"/>
  <c r="A37" i="1"/>
  <c r="A220" i="1"/>
  <c r="A38" i="1"/>
  <c r="A221" i="1"/>
  <c r="A39" i="1"/>
  <c r="A222" i="1"/>
  <c r="A40" i="1"/>
  <c r="A223" i="1"/>
  <c r="A41" i="1"/>
  <c r="A224" i="1"/>
  <c r="A406" i="1"/>
  <c r="A42" i="1"/>
  <c r="A225" i="1"/>
  <c r="A43" i="1"/>
  <c r="A226" i="1"/>
  <c r="A44" i="1"/>
  <c r="A227" i="1"/>
  <c r="A45" i="1"/>
  <c r="A228" i="1"/>
  <c r="A46" i="1"/>
  <c r="A229" i="1"/>
  <c r="A47" i="1"/>
  <c r="A230" i="1"/>
  <c r="A48" i="1"/>
  <c r="A231" i="1"/>
  <c r="A49" i="1"/>
  <c r="A232" i="1"/>
  <c r="A50" i="1"/>
  <c r="A233" i="1"/>
  <c r="A51" i="1"/>
  <c r="A234" i="1"/>
  <c r="A52" i="1"/>
  <c r="A235" i="1"/>
  <c r="A53" i="1"/>
  <c r="A236" i="1"/>
  <c r="A237" i="1"/>
  <c r="A238" i="1"/>
  <c r="A54" i="1"/>
  <c r="A239" i="1"/>
  <c r="A55" i="1"/>
  <c r="A240" i="1"/>
  <c r="A56" i="1"/>
  <c r="A241" i="1"/>
  <c r="A57" i="1"/>
  <c r="A242" i="1"/>
  <c r="A58" i="1"/>
  <c r="A243" i="1"/>
  <c r="A59" i="1"/>
  <c r="A244" i="1"/>
  <c r="A60" i="1"/>
  <c r="A245" i="1"/>
  <c r="A61" i="1"/>
  <c r="A246" i="1"/>
  <c r="A62" i="1"/>
  <c r="A247" i="1"/>
  <c r="A63" i="1"/>
  <c r="A248" i="1"/>
  <c r="A407" i="1"/>
  <c r="A64" i="1"/>
  <c r="A408" i="1"/>
  <c r="A65" i="1"/>
  <c r="A249" i="1"/>
  <c r="A409" i="1"/>
  <c r="A66" i="1"/>
  <c r="A250" i="1"/>
  <c r="A410" i="1"/>
  <c r="A67" i="1"/>
  <c r="A251" i="1"/>
  <c r="A411" i="1"/>
  <c r="A68" i="1"/>
  <c r="A252" i="1"/>
  <c r="A412" i="1"/>
  <c r="A69" i="1"/>
  <c r="A253" i="1"/>
  <c r="A413" i="1"/>
  <c r="A70" i="1"/>
  <c r="A254" i="1"/>
  <c r="A71" i="1"/>
  <c r="A414" i="1"/>
  <c r="A72" i="1"/>
  <c r="A255" i="1"/>
  <c r="A256" i="1"/>
  <c r="A73" i="1"/>
  <c r="A257" i="1"/>
  <c r="A258" i="1"/>
  <c r="A74" i="1"/>
  <c r="A259" i="1"/>
  <c r="A75" i="1"/>
  <c r="A260" i="1"/>
  <c r="A76" i="1"/>
  <c r="A261" i="1"/>
  <c r="A77" i="1"/>
  <c r="A78" i="1"/>
  <c r="A262" i="1"/>
  <c r="A79" i="1"/>
  <c r="A415" i="1"/>
  <c r="A416" i="1"/>
  <c r="A80" i="1"/>
  <c r="A417" i="1"/>
  <c r="A81" i="1"/>
  <c r="A263" i="1"/>
  <c r="A82" i="1"/>
  <c r="A264" i="1"/>
  <c r="A83" i="1"/>
  <c r="A265" i="1"/>
  <c r="A418" i="1"/>
  <c r="A84" i="1"/>
  <c r="A266" i="1"/>
  <c r="A267" i="1"/>
  <c r="A419" i="1"/>
  <c r="A85" i="1"/>
  <c r="A268" i="1"/>
  <c r="A420" i="1"/>
  <c r="A86" i="1"/>
  <c r="A421" i="1"/>
  <c r="A87" i="1"/>
  <c r="A269" i="1"/>
  <c r="A88" i="1"/>
  <c r="A89" i="1"/>
  <c r="A270" i="1"/>
  <c r="A422" i="1"/>
  <c r="A90" i="1"/>
  <c r="A91" i="1"/>
  <c r="A271" i="1"/>
  <c r="A423" i="1"/>
  <c r="A92" i="1"/>
  <c r="A272" i="1"/>
  <c r="A424" i="1"/>
  <c r="A93" i="1"/>
  <c r="A273" i="1"/>
  <c r="A425" i="1"/>
  <c r="A94" i="1"/>
  <c r="A274" i="1"/>
  <c r="A426" i="1"/>
  <c r="A95" i="1"/>
  <c r="A427" i="1"/>
  <c r="A96" i="1"/>
  <c r="A275" i="1"/>
  <c r="A428" i="1"/>
  <c r="A97" i="1"/>
  <c r="A276" i="1"/>
  <c r="A429" i="1"/>
  <c r="A98" i="1"/>
  <c r="A277" i="1"/>
  <c r="A430" i="1"/>
  <c r="A99" i="1"/>
  <c r="A278" i="1"/>
  <c r="A431" i="1"/>
  <c r="A100" i="1"/>
  <c r="A279" i="1"/>
  <c r="A280" i="1"/>
  <c r="A432" i="1"/>
  <c r="A101" i="1"/>
  <c r="A281" i="1"/>
  <c r="A433" i="1"/>
  <c r="A102" i="1"/>
  <c r="A282" i="1"/>
  <c r="A434" i="1"/>
  <c r="A103" i="1"/>
  <c r="A104" i="1"/>
  <c r="A283" i="1"/>
  <c r="A435" i="1"/>
  <c r="A105" i="1"/>
  <c r="A284" i="1"/>
  <c r="A436" i="1"/>
  <c r="A106" i="1"/>
  <c r="A285" i="1"/>
  <c r="A107" i="1"/>
  <c r="A286" i="1"/>
  <c r="A108" i="1"/>
  <c r="A287" i="1"/>
  <c r="A109" i="1"/>
  <c r="A288" i="1"/>
  <c r="A110" i="1"/>
  <c r="A289" i="1"/>
  <c r="A290" i="1"/>
  <c r="A111" i="1"/>
  <c r="A291" i="1"/>
  <c r="A112" i="1"/>
  <c r="A292" i="1"/>
  <c r="A113" i="1"/>
  <c r="A293" i="1"/>
  <c r="A114" i="1"/>
  <c r="A294" i="1"/>
  <c r="A115" i="1"/>
  <c r="A295" i="1"/>
  <c r="A116" i="1"/>
  <c r="A296" i="1"/>
  <c r="A117" i="1"/>
  <c r="A297" i="1"/>
  <c r="A118" i="1"/>
  <c r="A298" i="1"/>
  <c r="A119" i="1"/>
  <c r="A299" i="1"/>
  <c r="A300" i="1"/>
  <c r="A120" i="1"/>
  <c r="A437" i="1"/>
  <c r="A301" i="1"/>
  <c r="A438" i="1"/>
  <c r="A302" i="1"/>
  <c r="A303" i="1"/>
  <c r="A439" i="1"/>
  <c r="A121" i="1"/>
  <c r="A304" i="1"/>
  <c r="A440" i="1"/>
  <c r="A305" i="1"/>
  <c r="A441" i="1"/>
  <c r="A122" i="1"/>
  <c r="A123" i="1"/>
  <c r="A124" i="1"/>
  <c r="A306" i="1"/>
  <c r="A126" i="1"/>
  <c r="A307" i="1"/>
  <c r="A127" i="1"/>
  <c r="A308" i="1"/>
  <c r="A309" i="1"/>
  <c r="A442" i="1"/>
  <c r="A445" i="1"/>
  <c r="A446" i="1"/>
  <c r="A132" i="1"/>
  <c r="A133" i="1"/>
  <c r="A134" i="1"/>
  <c r="A135" i="1"/>
  <c r="A314" i="1"/>
  <c r="A315" i="1"/>
  <c r="A316" i="1"/>
  <c r="A317" i="1"/>
  <c r="A447" i="1"/>
  <c r="A136" i="1"/>
  <c r="A318" i="1"/>
  <c r="A137" i="1"/>
  <c r="A319" i="1"/>
  <c r="A138" i="1"/>
  <c r="A320" i="1"/>
  <c r="A321" i="1"/>
  <c r="A139" i="1"/>
  <c r="A322" i="1"/>
  <c r="A140" i="1"/>
  <c r="A323" i="1"/>
  <c r="A324" i="1"/>
  <c r="A448" i="1"/>
  <c r="A141" i="1"/>
  <c r="A325" i="1"/>
  <c r="A326" i="1"/>
  <c r="A142" i="1"/>
  <c r="A327" i="1"/>
  <c r="A449" i="1"/>
  <c r="A143" i="1"/>
  <c r="A328" i="1"/>
  <c r="A450" i="1"/>
  <c r="A451" i="1"/>
  <c r="A452" i="1"/>
  <c r="A144" i="1"/>
  <c r="A145" i="1"/>
  <c r="A146" i="1"/>
  <c r="A147" i="1"/>
  <c r="A148" i="1"/>
  <c r="A329" i="1"/>
  <c r="A330" i="1"/>
  <c r="A331" i="1"/>
  <c r="A332" i="1"/>
  <c r="A333" i="1"/>
  <c r="A453" i="1"/>
  <c r="A454" i="1"/>
  <c r="A455" i="1"/>
  <c r="A456" i="1"/>
  <c r="A149" i="1"/>
  <c r="A334" i="1"/>
  <c r="A150" i="1"/>
  <c r="A151" i="1"/>
  <c r="A152" i="1"/>
  <c r="A154" i="1"/>
  <c r="A155" i="1"/>
  <c r="A156" i="1"/>
  <c r="A157" i="1"/>
  <c r="A339" i="1"/>
  <c r="A340" i="1"/>
  <c r="A341" i="1"/>
  <c r="A342" i="1"/>
  <c r="A343" i="1"/>
  <c r="A461" i="1"/>
  <c r="A462" i="1"/>
  <c r="A463" i="1"/>
  <c r="A466" i="1"/>
  <c r="A165" i="1"/>
  <c r="A166" i="1"/>
  <c r="A167" i="1"/>
  <c r="A168" i="1"/>
  <c r="A169" i="1"/>
  <c r="A351" i="1"/>
  <c r="A352" i="1"/>
  <c r="A353" i="1"/>
  <c r="A354" i="1"/>
  <c r="A355" i="1"/>
  <c r="A467" i="1"/>
  <c r="A468" i="1"/>
  <c r="A469" i="1"/>
  <c r="A170" i="1"/>
  <c r="A171" i="1"/>
  <c r="A172" i="1"/>
  <c r="A173" i="1"/>
  <c r="A174" i="1"/>
  <c r="A356" i="1"/>
  <c r="A357" i="1"/>
  <c r="A179" i="1"/>
  <c r="A180" i="1"/>
  <c r="A181" i="1"/>
  <c r="A182" i="1"/>
  <c r="A366" i="1"/>
  <c r="A367" i="1"/>
  <c r="A368" i="1"/>
  <c r="A477" i="1"/>
  <c r="A478" i="1"/>
  <c r="A503" i="1"/>
  <c r="A504" i="1"/>
  <c r="A505" i="1"/>
  <c r="A506" i="1"/>
  <c r="A507" i="1"/>
  <c r="A508" i="1"/>
  <c r="A509" i="1"/>
  <c r="A510" i="1"/>
  <c r="A511" i="1"/>
  <c r="A512" i="1"/>
  <c r="A513" i="1"/>
  <c r="A514" i="1"/>
  <c r="A515" i="1"/>
  <c r="A516"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91" i="1"/>
  <c r="A616" i="1"/>
  <c r="A617" i="1"/>
  <c r="A618" i="1"/>
  <c r="A619" i="1"/>
  <c r="A620" i="1"/>
  <c r="A621" i="1"/>
  <c r="A622" i="1"/>
  <c r="A623" i="1"/>
  <c r="A624" i="1"/>
  <c r="A625" i="1"/>
  <c r="A627" i="1"/>
  <c r="A628" i="1"/>
  <c r="A629" i="1"/>
  <c r="A630"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53" i="1"/>
  <c r="A1154" i="1"/>
  <c r="A1155" i="1"/>
  <c r="A1156" i="1"/>
  <c r="A1157" i="1"/>
  <c r="A1158" i="1"/>
  <c r="A1159" i="1"/>
  <c r="A1160" i="1"/>
  <c r="A1161" i="1"/>
  <c r="A1162" i="1"/>
  <c r="A1163" i="1"/>
  <c r="A1164"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370" i="1"/>
  <c r="I91" i="1" l="1"/>
  <c r="I271" i="1"/>
  <c r="I423" i="1"/>
  <c r="I92" i="1"/>
  <c r="I272" i="1"/>
  <c r="I424" i="1"/>
  <c r="I93" i="1"/>
  <c r="I273" i="1"/>
  <c r="I425" i="1"/>
  <c r="I94" i="1"/>
  <c r="I274" i="1"/>
  <c r="I426" i="1"/>
  <c r="I95" i="1"/>
  <c r="I427" i="1"/>
  <c r="I96" i="1"/>
  <c r="I275" i="1"/>
  <c r="I428" i="1"/>
  <c r="I97" i="1"/>
  <c r="I276" i="1"/>
  <c r="I429" i="1"/>
  <c r="I98" i="1"/>
  <c r="I277" i="1"/>
  <c r="I430" i="1"/>
  <c r="I99" i="1"/>
  <c r="I278" i="1"/>
  <c r="I431" i="1"/>
  <c r="I100" i="1"/>
  <c r="I279" i="1"/>
  <c r="I280" i="1"/>
  <c r="I432" i="1"/>
  <c r="I101" i="1"/>
  <c r="I281" i="1"/>
  <c r="I433" i="1"/>
  <c r="I102" i="1"/>
  <c r="I282" i="1"/>
  <c r="I434" i="1"/>
  <c r="I103" i="1"/>
  <c r="I104" i="1"/>
  <c r="I283" i="1"/>
  <c r="I435" i="1"/>
  <c r="I105" i="1"/>
  <c r="I284" i="1"/>
  <c r="I436" i="1"/>
  <c r="I106" i="1"/>
  <c r="I285" i="1"/>
  <c r="I107" i="1"/>
  <c r="I286" i="1"/>
  <c r="I108" i="1"/>
  <c r="I287" i="1"/>
  <c r="I109" i="1"/>
  <c r="I288" i="1"/>
  <c r="I110" i="1"/>
  <c r="I289" i="1"/>
  <c r="I290" i="1"/>
  <c r="I111" i="1"/>
  <c r="I291" i="1"/>
  <c r="I112" i="1"/>
  <c r="I292" i="1"/>
  <c r="I113" i="1"/>
  <c r="I293" i="1"/>
  <c r="I114" i="1"/>
  <c r="I294" i="1"/>
  <c r="I115" i="1"/>
  <c r="I295" i="1"/>
  <c r="I116" i="1"/>
  <c r="I296" i="1"/>
  <c r="I117" i="1"/>
  <c r="I297" i="1"/>
  <c r="I118" i="1"/>
  <c r="I298" i="1"/>
  <c r="I119" i="1"/>
  <c r="I299" i="1"/>
  <c r="I300" i="1"/>
  <c r="I120" i="1"/>
  <c r="I437" i="1"/>
  <c r="I301" i="1"/>
  <c r="I438" i="1"/>
  <c r="I302" i="1"/>
  <c r="I303" i="1"/>
  <c r="I439" i="1"/>
  <c r="I121" i="1"/>
  <c r="I304" i="1"/>
  <c r="I440" i="1"/>
  <c r="I305" i="1"/>
  <c r="I441" i="1"/>
  <c r="I122" i="1"/>
  <c r="I123" i="1"/>
  <c r="I124" i="1"/>
  <c r="I445" i="1"/>
  <c r="I446" i="1"/>
  <c r="I132" i="1"/>
  <c r="I133" i="1"/>
  <c r="I134" i="1"/>
  <c r="I135" i="1"/>
  <c r="I314" i="1"/>
  <c r="I315" i="1"/>
  <c r="I316" i="1"/>
  <c r="I317" i="1"/>
  <c r="I447" i="1"/>
  <c r="I136" i="1"/>
  <c r="I318" i="1"/>
  <c r="I137" i="1"/>
  <c r="I319" i="1"/>
  <c r="I138" i="1"/>
  <c r="I320" i="1"/>
  <c r="I321" i="1"/>
  <c r="I139" i="1"/>
  <c r="I322" i="1"/>
  <c r="I140" i="1"/>
  <c r="I323" i="1"/>
  <c r="I324" i="1"/>
  <c r="I448" i="1"/>
  <c r="I141" i="1"/>
  <c r="I325" i="1"/>
  <c r="I326" i="1"/>
  <c r="I142" i="1"/>
  <c r="I327" i="1"/>
  <c r="I449" i="1"/>
  <c r="I143" i="1"/>
  <c r="I328" i="1"/>
  <c r="I450" i="1"/>
  <c r="I451" i="1"/>
  <c r="I452" i="1"/>
  <c r="I144" i="1"/>
  <c r="I145" i="1"/>
  <c r="I146" i="1"/>
  <c r="I147" i="1"/>
  <c r="I148" i="1"/>
  <c r="I329" i="1"/>
  <c r="I330" i="1"/>
  <c r="I331" i="1"/>
  <c r="I332" i="1"/>
  <c r="I333" i="1"/>
  <c r="I453" i="1"/>
  <c r="I454" i="1"/>
  <c r="I455" i="1"/>
  <c r="I456" i="1"/>
  <c r="I149" i="1"/>
  <c r="I334" i="1"/>
  <c r="I150" i="1"/>
  <c r="I151" i="1"/>
  <c r="I152" i="1"/>
  <c r="I154" i="1"/>
  <c r="I155" i="1"/>
  <c r="I156" i="1"/>
  <c r="I157" i="1"/>
  <c r="I339" i="1"/>
  <c r="I340" i="1"/>
  <c r="I341" i="1"/>
  <c r="I342" i="1"/>
  <c r="I343" i="1"/>
  <c r="I461" i="1"/>
  <c r="I462" i="1"/>
  <c r="I463" i="1"/>
  <c r="I158" i="1"/>
  <c r="I159" i="1"/>
  <c r="I161" i="1"/>
  <c r="I344" i="1"/>
  <c r="I345" i="1"/>
  <c r="I346" i="1"/>
  <c r="I347" i="1"/>
  <c r="I162" i="1"/>
  <c r="I348" i="1"/>
  <c r="I164" i="1"/>
  <c r="I350" i="1"/>
  <c r="I465" i="1"/>
  <c r="I466" i="1"/>
  <c r="I165" i="1"/>
  <c r="I166" i="1"/>
  <c r="I167" i="1"/>
  <c r="I168" i="1"/>
  <c r="I169" i="1"/>
  <c r="I351" i="1"/>
  <c r="I352" i="1"/>
  <c r="I353" i="1"/>
  <c r="I354" i="1"/>
  <c r="I355" i="1"/>
  <c r="I467" i="1"/>
  <c r="I468" i="1"/>
  <c r="I469" i="1"/>
  <c r="I170" i="1"/>
  <c r="I171" i="1"/>
  <c r="I172" i="1"/>
  <c r="I173" i="1"/>
  <c r="I174" i="1"/>
  <c r="I356" i="1"/>
  <c r="I357" i="1"/>
  <c r="I358" i="1"/>
  <c r="I359" i="1"/>
  <c r="I360" i="1"/>
  <c r="I470" i="1"/>
  <c r="I471" i="1"/>
  <c r="I472" i="1"/>
  <c r="I175" i="1"/>
  <c r="I176" i="1"/>
  <c r="I178" i="1"/>
  <c r="I361" i="1"/>
  <c r="I362" i="1"/>
  <c r="I363" i="1"/>
  <c r="I364" i="1"/>
  <c r="I365" i="1"/>
  <c r="I473" i="1"/>
  <c r="I474" i="1"/>
  <c r="I475" i="1"/>
  <c r="I476" i="1"/>
  <c r="I179" i="1"/>
  <c r="I180" i="1"/>
  <c r="I181" i="1"/>
  <c r="I182" i="1"/>
  <c r="I366" i="1"/>
  <c r="I367" i="1"/>
  <c r="I368" i="1"/>
  <c r="I477" i="1"/>
  <c r="I478" i="1"/>
  <c r="I183" i="1"/>
  <c r="I184" i="1"/>
  <c r="I369" i="1"/>
  <c r="I480" i="1"/>
  <c r="I481" i="1"/>
  <c r="I482"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91" i="1"/>
  <c r="I592" i="1"/>
  <c r="I593"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21"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2" i="1"/>
  <c r="I185" i="1"/>
  <c r="I371" i="1"/>
  <c r="I3" i="1"/>
  <c r="I186" i="1"/>
  <c r="I372" i="1"/>
  <c r="I4" i="1"/>
  <c r="I187" i="1"/>
  <c r="I373" i="1"/>
  <c r="I5" i="1"/>
  <c r="I188" i="1"/>
  <c r="I374" i="1"/>
  <c r="I6" i="1"/>
  <c r="I189" i="1"/>
  <c r="I375" i="1"/>
  <c r="I7" i="1"/>
  <c r="I190" i="1"/>
  <c r="I376" i="1"/>
  <c r="I8" i="1"/>
  <c r="I191" i="1"/>
  <c r="I377" i="1"/>
  <c r="I9" i="1"/>
  <c r="I192" i="1"/>
  <c r="I378" i="1"/>
  <c r="I10" i="1"/>
  <c r="I193" i="1"/>
  <c r="I379" i="1"/>
  <c r="I11" i="1"/>
  <c r="I194" i="1"/>
  <c r="I380" i="1"/>
  <c r="I12" i="1"/>
  <c r="I195" i="1"/>
  <c r="I381" i="1"/>
  <c r="I13" i="1"/>
  <c r="I382" i="1"/>
  <c r="I196" i="1"/>
  <c r="I383" i="1"/>
  <c r="I14" i="1"/>
  <c r="I197" i="1"/>
  <c r="I384" i="1"/>
  <c r="I15" i="1"/>
  <c r="I198" i="1"/>
  <c r="I385" i="1"/>
  <c r="I16" i="1"/>
  <c r="I17" i="1"/>
  <c r="I199" i="1"/>
  <c r="I386" i="1"/>
  <c r="I18" i="1"/>
  <c r="I200" i="1"/>
  <c r="I387" i="1"/>
  <c r="I19" i="1"/>
  <c r="I201" i="1"/>
  <c r="I388" i="1"/>
  <c r="I20" i="1"/>
  <c r="I202" i="1"/>
  <c r="I389" i="1"/>
  <c r="I390" i="1"/>
  <c r="I21" i="1"/>
  <c r="I203" i="1"/>
  <c r="I391" i="1"/>
  <c r="I22" i="1"/>
  <c r="I204" i="1"/>
  <c r="I392" i="1"/>
  <c r="I23" i="1"/>
  <c r="I205" i="1"/>
  <c r="I393" i="1"/>
  <c r="I394" i="1"/>
  <c r="I24" i="1"/>
  <c r="I206" i="1"/>
  <c r="I395" i="1"/>
  <c r="I25" i="1"/>
  <c r="I207" i="1"/>
  <c r="I396" i="1"/>
  <c r="I26" i="1"/>
  <c r="I208" i="1"/>
  <c r="I397" i="1"/>
  <c r="I27" i="1"/>
  <c r="I209" i="1"/>
  <c r="I398" i="1"/>
  <c r="I28" i="1"/>
  <c r="I210" i="1"/>
  <c r="I399" i="1"/>
  <c r="I211" i="1"/>
  <c r="I400" i="1"/>
  <c r="I29" i="1"/>
  <c r="I212" i="1"/>
  <c r="I401" i="1"/>
  <c r="I30" i="1"/>
  <c r="I213" i="1"/>
  <c r="I402" i="1"/>
  <c r="I31" i="1"/>
  <c r="I214" i="1"/>
  <c r="I32" i="1"/>
  <c r="I215" i="1"/>
  <c r="I403" i="1"/>
  <c r="I33" i="1"/>
  <c r="I216" i="1"/>
  <c r="I404" i="1"/>
  <c r="I34" i="1"/>
  <c r="I217" i="1"/>
  <c r="I405" i="1"/>
  <c r="I35" i="1"/>
  <c r="I218" i="1"/>
  <c r="I36" i="1"/>
  <c r="I219" i="1"/>
  <c r="I37" i="1"/>
  <c r="I220" i="1"/>
  <c r="I38" i="1"/>
  <c r="I221" i="1"/>
  <c r="I39" i="1"/>
  <c r="I222" i="1"/>
  <c r="I40" i="1"/>
  <c r="I223" i="1"/>
  <c r="I41" i="1"/>
  <c r="I224" i="1"/>
  <c r="I406" i="1"/>
  <c r="I42" i="1"/>
  <c r="I225" i="1"/>
  <c r="I43" i="1"/>
  <c r="I226" i="1"/>
  <c r="I44" i="1"/>
  <c r="I227" i="1"/>
  <c r="I45" i="1"/>
  <c r="I228" i="1"/>
  <c r="I46" i="1"/>
  <c r="I229" i="1"/>
  <c r="I47" i="1"/>
  <c r="I230" i="1"/>
  <c r="I48" i="1"/>
  <c r="I231" i="1"/>
  <c r="I49" i="1"/>
  <c r="I232" i="1"/>
  <c r="I50" i="1"/>
  <c r="I233" i="1"/>
  <c r="I51" i="1"/>
  <c r="I234" i="1"/>
  <c r="I52" i="1"/>
  <c r="I235" i="1"/>
  <c r="I53" i="1"/>
  <c r="I236" i="1"/>
  <c r="I237" i="1"/>
  <c r="I238" i="1"/>
  <c r="I54" i="1"/>
  <c r="I239" i="1"/>
  <c r="I55" i="1"/>
  <c r="I240" i="1"/>
  <c r="I56" i="1"/>
  <c r="I241" i="1"/>
  <c r="I57" i="1"/>
  <c r="I242" i="1"/>
  <c r="I58" i="1"/>
  <c r="I243" i="1"/>
  <c r="I59" i="1"/>
  <c r="I244" i="1"/>
  <c r="I60" i="1"/>
  <c r="I245" i="1"/>
  <c r="I61" i="1"/>
  <c r="I246" i="1"/>
  <c r="I62" i="1"/>
  <c r="I247" i="1"/>
  <c r="I63" i="1"/>
  <c r="I248" i="1"/>
  <c r="I407" i="1"/>
  <c r="I64" i="1"/>
  <c r="I408" i="1"/>
  <c r="I65" i="1"/>
  <c r="I249" i="1"/>
  <c r="I409" i="1"/>
  <c r="I66" i="1"/>
  <c r="I250" i="1"/>
  <c r="I410" i="1"/>
  <c r="I67" i="1"/>
  <c r="I251" i="1"/>
  <c r="I411" i="1"/>
  <c r="I68" i="1"/>
  <c r="I252" i="1"/>
  <c r="I412" i="1"/>
  <c r="I69" i="1"/>
  <c r="I253" i="1"/>
  <c r="I413" i="1"/>
  <c r="I70" i="1"/>
  <c r="I254" i="1"/>
  <c r="I71" i="1"/>
  <c r="I414" i="1"/>
  <c r="I72" i="1"/>
  <c r="I255" i="1"/>
  <c r="I256" i="1"/>
  <c r="I73" i="1"/>
  <c r="I257" i="1"/>
  <c r="I258" i="1"/>
  <c r="I74" i="1"/>
  <c r="I259" i="1"/>
  <c r="I75" i="1"/>
  <c r="I260" i="1"/>
  <c r="I76" i="1"/>
  <c r="I261" i="1"/>
  <c r="I77" i="1"/>
  <c r="I78" i="1"/>
  <c r="I262" i="1"/>
  <c r="I79" i="1"/>
  <c r="I415" i="1"/>
  <c r="I416" i="1"/>
  <c r="I80" i="1"/>
  <c r="I417" i="1"/>
  <c r="I81" i="1"/>
  <c r="I263" i="1"/>
  <c r="I82" i="1"/>
  <c r="I264" i="1"/>
  <c r="I83" i="1"/>
  <c r="I265" i="1"/>
  <c r="I418" i="1"/>
  <c r="I84" i="1"/>
  <c r="I266" i="1"/>
  <c r="I267" i="1"/>
  <c r="I419" i="1"/>
  <c r="I85" i="1"/>
  <c r="I268" i="1"/>
  <c r="I420" i="1"/>
  <c r="I86" i="1"/>
  <c r="I421" i="1"/>
  <c r="I87" i="1"/>
  <c r="I269" i="1"/>
  <c r="I88" i="1"/>
  <c r="I89" i="1"/>
  <c r="I270" i="1"/>
  <c r="I422" i="1"/>
  <c r="I90" i="1"/>
  <c r="I370" i="1"/>
  <c r="G348" i="1"/>
  <c r="G164" i="1"/>
  <c r="G350" i="1"/>
  <c r="G465" i="1"/>
  <c r="G466" i="1"/>
  <c r="G165" i="1"/>
  <c r="G166" i="1"/>
  <c r="G167" i="1"/>
  <c r="G168" i="1"/>
  <c r="G169" i="1"/>
  <c r="G351" i="1"/>
  <c r="G352" i="1"/>
  <c r="G353" i="1"/>
  <c r="G354" i="1"/>
  <c r="G355" i="1"/>
  <c r="G467" i="1"/>
  <c r="G468" i="1"/>
  <c r="G469" i="1"/>
  <c r="G170" i="1"/>
  <c r="G171" i="1"/>
  <c r="G172" i="1"/>
  <c r="G173" i="1"/>
  <c r="G174" i="1"/>
  <c r="G356" i="1"/>
  <c r="G357" i="1"/>
  <c r="G358" i="1"/>
  <c r="G359" i="1"/>
  <c r="G360" i="1"/>
  <c r="G470" i="1"/>
  <c r="G471" i="1"/>
  <c r="G472" i="1"/>
  <c r="G175" i="1"/>
  <c r="G176" i="1"/>
  <c r="G178" i="1"/>
  <c r="G361" i="1"/>
  <c r="G362" i="1"/>
  <c r="G363" i="1"/>
  <c r="G364" i="1"/>
  <c r="G365" i="1"/>
  <c r="G473" i="1"/>
  <c r="G474" i="1"/>
  <c r="G475" i="1"/>
  <c r="G476" i="1"/>
  <c r="G179" i="1"/>
  <c r="G180" i="1"/>
  <c r="G181" i="1"/>
  <c r="G182" i="1"/>
  <c r="G366" i="1"/>
  <c r="G367" i="1"/>
  <c r="G368" i="1"/>
  <c r="G477" i="1"/>
  <c r="G478" i="1"/>
  <c r="G183" i="1"/>
  <c r="G184" i="1"/>
  <c r="G369" i="1"/>
  <c r="G480" i="1"/>
  <c r="G481" i="1"/>
  <c r="G482"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91" i="1"/>
  <c r="G592" i="1"/>
  <c r="G593"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207" i="1"/>
  <c r="G396" i="1"/>
  <c r="G26" i="1"/>
  <c r="G208" i="1"/>
  <c r="G397" i="1"/>
  <c r="G27" i="1"/>
  <c r="G209" i="1"/>
  <c r="G398" i="1"/>
  <c r="G28" i="1"/>
  <c r="G210" i="1"/>
  <c r="G399" i="1"/>
  <c r="G211" i="1"/>
  <c r="G400" i="1"/>
  <c r="G29" i="1"/>
  <c r="G212" i="1"/>
  <c r="G401" i="1"/>
  <c r="G30" i="1"/>
  <c r="G213" i="1"/>
  <c r="G402" i="1"/>
  <c r="G31" i="1"/>
  <c r="G214" i="1"/>
  <c r="G32" i="1"/>
  <c r="G215" i="1"/>
  <c r="G403" i="1"/>
  <c r="G33" i="1"/>
  <c r="G216" i="1"/>
  <c r="G404" i="1"/>
  <c r="G34" i="1"/>
  <c r="G217" i="1"/>
  <c r="G405" i="1"/>
  <c r="G35" i="1"/>
  <c r="G218" i="1"/>
  <c r="G36" i="1"/>
  <c r="G219" i="1"/>
  <c r="G37" i="1"/>
  <c r="G220" i="1"/>
  <c r="G38" i="1"/>
  <c r="G221" i="1"/>
  <c r="G39" i="1"/>
  <c r="G222" i="1"/>
  <c r="G40" i="1"/>
  <c r="G223" i="1"/>
  <c r="G41" i="1"/>
  <c r="G224" i="1"/>
  <c r="G406" i="1"/>
  <c r="G42" i="1"/>
  <c r="G225" i="1"/>
  <c r="G43" i="1"/>
  <c r="G226" i="1"/>
  <c r="G44" i="1"/>
  <c r="G227" i="1"/>
  <c r="G45" i="1"/>
  <c r="G228" i="1"/>
  <c r="G46" i="1"/>
  <c r="G229" i="1"/>
  <c r="G47" i="1"/>
  <c r="G230" i="1"/>
  <c r="G48" i="1"/>
  <c r="G231" i="1"/>
  <c r="G49" i="1"/>
  <c r="G232" i="1"/>
  <c r="G50" i="1"/>
  <c r="G233" i="1"/>
  <c r="G51" i="1"/>
  <c r="G234" i="1"/>
  <c r="G52" i="1"/>
  <c r="G235" i="1"/>
  <c r="G53" i="1"/>
  <c r="G236" i="1"/>
  <c r="G237" i="1"/>
  <c r="G238" i="1"/>
  <c r="G54" i="1"/>
  <c r="G239" i="1"/>
  <c r="G55" i="1"/>
  <c r="G240" i="1"/>
  <c r="G56" i="1"/>
  <c r="G241" i="1"/>
  <c r="G57" i="1"/>
  <c r="G242" i="1"/>
  <c r="G58" i="1"/>
  <c r="G243" i="1"/>
  <c r="G59" i="1"/>
  <c r="G244" i="1"/>
  <c r="G60" i="1"/>
  <c r="G245" i="1"/>
  <c r="G61" i="1"/>
  <c r="G246" i="1"/>
  <c r="G62" i="1"/>
  <c r="G247" i="1"/>
  <c r="G63" i="1"/>
  <c r="G248" i="1"/>
  <c r="G407" i="1"/>
  <c r="G64" i="1"/>
  <c r="G408" i="1"/>
  <c r="G65" i="1"/>
  <c r="G249" i="1"/>
  <c r="G409" i="1"/>
  <c r="G66" i="1"/>
  <c r="G250" i="1"/>
  <c r="G410" i="1"/>
  <c r="G67" i="1"/>
  <c r="G251" i="1"/>
  <c r="G411" i="1"/>
  <c r="G68" i="1"/>
  <c r="G252" i="1"/>
  <c r="G412" i="1"/>
  <c r="G69" i="1"/>
  <c r="G253" i="1"/>
  <c r="G413" i="1"/>
  <c r="G70" i="1"/>
  <c r="G254" i="1"/>
  <c r="G71" i="1"/>
  <c r="G414" i="1"/>
  <c r="G72" i="1"/>
  <c r="G255" i="1"/>
  <c r="G256" i="1"/>
  <c r="G73" i="1"/>
  <c r="G257" i="1"/>
  <c r="G258" i="1"/>
  <c r="G74" i="1"/>
  <c r="G259" i="1"/>
  <c r="G75" i="1"/>
  <c r="G260" i="1"/>
  <c r="G76" i="1"/>
  <c r="G261" i="1"/>
  <c r="G77" i="1"/>
  <c r="G78" i="1"/>
  <c r="G262" i="1"/>
  <c r="G79" i="1"/>
  <c r="G415" i="1"/>
  <c r="G416" i="1"/>
  <c r="G80" i="1"/>
  <c r="G417" i="1"/>
  <c r="G81" i="1"/>
  <c r="G263" i="1"/>
  <c r="G82" i="1"/>
  <c r="G264" i="1"/>
  <c r="G83" i="1"/>
  <c r="G265" i="1"/>
  <c r="G418" i="1"/>
  <c r="G84" i="1"/>
  <c r="G266" i="1"/>
  <c r="G267" i="1"/>
  <c r="G419" i="1"/>
  <c r="G85" i="1"/>
  <c r="G268" i="1"/>
  <c r="G420" i="1"/>
  <c r="G86" i="1"/>
  <c r="G421" i="1"/>
  <c r="G87" i="1"/>
  <c r="G269" i="1"/>
  <c r="G88" i="1"/>
  <c r="G89" i="1"/>
  <c r="G270" i="1"/>
  <c r="G422" i="1"/>
  <c r="G90" i="1"/>
  <c r="G91" i="1"/>
  <c r="G271" i="1"/>
  <c r="G423" i="1"/>
  <c r="G92" i="1"/>
  <c r="G272" i="1"/>
  <c r="G424" i="1"/>
  <c r="G93" i="1"/>
  <c r="G273" i="1"/>
  <c r="G425" i="1"/>
  <c r="G94" i="1"/>
  <c r="G274" i="1"/>
  <c r="G426" i="1"/>
  <c r="G95" i="1"/>
  <c r="G427" i="1"/>
  <c r="G96" i="1"/>
  <c r="G275" i="1"/>
  <c r="G428" i="1"/>
  <c r="G97" i="1"/>
  <c r="G276" i="1"/>
  <c r="G429" i="1"/>
  <c r="G98" i="1"/>
  <c r="G277" i="1"/>
  <c r="G430" i="1"/>
  <c r="G99" i="1"/>
  <c r="G278" i="1"/>
  <c r="G431" i="1"/>
  <c r="G100" i="1"/>
  <c r="G279" i="1"/>
  <c r="G280" i="1"/>
  <c r="G432" i="1"/>
  <c r="G101" i="1"/>
  <c r="G281" i="1"/>
  <c r="G433" i="1"/>
  <c r="G102" i="1"/>
  <c r="G282" i="1"/>
  <c r="G434" i="1"/>
  <c r="G103" i="1"/>
  <c r="G104" i="1"/>
  <c r="G283" i="1"/>
  <c r="G435" i="1"/>
  <c r="G105" i="1"/>
  <c r="G284" i="1"/>
  <c r="G436" i="1"/>
  <c r="G106" i="1"/>
  <c r="G285" i="1"/>
  <c r="G107" i="1"/>
  <c r="G286" i="1"/>
  <c r="G108" i="1"/>
  <c r="G287" i="1"/>
  <c r="G109" i="1"/>
  <c r="G288" i="1"/>
  <c r="G110" i="1"/>
  <c r="G289" i="1"/>
  <c r="G290" i="1"/>
  <c r="G111" i="1"/>
  <c r="G291" i="1"/>
  <c r="G112" i="1"/>
  <c r="G292" i="1"/>
  <c r="G113" i="1"/>
  <c r="G293" i="1"/>
  <c r="G114" i="1"/>
  <c r="G294" i="1"/>
  <c r="G115" i="1"/>
  <c r="G295" i="1"/>
  <c r="G116" i="1"/>
  <c r="G296" i="1"/>
  <c r="G117" i="1"/>
  <c r="G297" i="1"/>
  <c r="G118" i="1"/>
  <c r="G298" i="1"/>
  <c r="G119" i="1"/>
  <c r="G299" i="1"/>
  <c r="G300" i="1"/>
  <c r="G120" i="1"/>
  <c r="G437" i="1"/>
  <c r="G301" i="1"/>
  <c r="G438" i="1"/>
  <c r="G302" i="1"/>
  <c r="G303" i="1"/>
  <c r="G439" i="1"/>
  <c r="G121" i="1"/>
  <c r="G304" i="1"/>
  <c r="G440" i="1"/>
  <c r="G305" i="1"/>
  <c r="G441" i="1"/>
  <c r="G122" i="1"/>
  <c r="G123" i="1"/>
  <c r="G124" i="1"/>
  <c r="G445" i="1"/>
  <c r="G446" i="1"/>
  <c r="G132" i="1"/>
  <c r="G133" i="1"/>
  <c r="G134" i="1"/>
  <c r="G135" i="1"/>
  <c r="G314" i="1"/>
  <c r="G315" i="1"/>
  <c r="G316" i="1"/>
  <c r="G317" i="1"/>
  <c r="G447" i="1"/>
  <c r="G136" i="1"/>
  <c r="G318" i="1"/>
  <c r="G137" i="1"/>
  <c r="G319" i="1"/>
  <c r="G138" i="1"/>
  <c r="G320" i="1"/>
  <c r="G321" i="1"/>
  <c r="G139" i="1"/>
  <c r="G322" i="1"/>
  <c r="G140" i="1"/>
  <c r="G323" i="1"/>
  <c r="G324" i="1"/>
  <c r="G448" i="1"/>
  <c r="G141" i="1"/>
  <c r="G325" i="1"/>
  <c r="G326" i="1"/>
  <c r="G142" i="1"/>
  <c r="G327" i="1"/>
  <c r="G449" i="1"/>
  <c r="G143" i="1"/>
  <c r="G328" i="1"/>
  <c r="G450" i="1"/>
  <c r="G451" i="1"/>
  <c r="G452" i="1"/>
  <c r="G144" i="1"/>
  <c r="G145" i="1"/>
  <c r="G146" i="1"/>
  <c r="G147" i="1"/>
  <c r="G148" i="1"/>
  <c r="G329" i="1"/>
  <c r="G330" i="1"/>
  <c r="G331" i="1"/>
  <c r="G332" i="1"/>
  <c r="G333" i="1"/>
  <c r="G453" i="1"/>
  <c r="G454" i="1"/>
  <c r="G455" i="1"/>
  <c r="G456" i="1"/>
  <c r="G149" i="1"/>
  <c r="G334" i="1"/>
  <c r="G150" i="1"/>
  <c r="G151" i="1"/>
  <c r="G152" i="1"/>
  <c r="G154" i="1"/>
  <c r="G155" i="1"/>
  <c r="G156" i="1"/>
  <c r="G157" i="1"/>
  <c r="G339" i="1"/>
  <c r="G340" i="1"/>
  <c r="G341" i="1"/>
  <c r="G342" i="1"/>
  <c r="G343" i="1"/>
  <c r="G461" i="1"/>
  <c r="G462" i="1"/>
  <c r="G463" i="1"/>
  <c r="G158" i="1"/>
  <c r="G159" i="1"/>
  <c r="G161" i="1"/>
  <c r="G344" i="1"/>
  <c r="G345" i="1"/>
  <c r="G346" i="1"/>
  <c r="G347" i="1"/>
  <c r="G162" i="1"/>
  <c r="G390" i="1"/>
  <c r="G21" i="1"/>
  <c r="G203" i="1"/>
  <c r="G391" i="1"/>
  <c r="G22" i="1"/>
  <c r="G204" i="1"/>
  <c r="G392" i="1"/>
  <c r="G23" i="1"/>
  <c r="G205" i="1"/>
  <c r="G393" i="1"/>
  <c r="G394" i="1"/>
  <c r="G24" i="1"/>
  <c r="G206" i="1"/>
  <c r="G395" i="1"/>
  <c r="G25" i="1"/>
  <c r="G2" i="1"/>
  <c r="G185" i="1"/>
  <c r="G371" i="1"/>
  <c r="G3" i="1"/>
  <c r="G186" i="1"/>
  <c r="G372" i="1"/>
  <c r="G4" i="1"/>
  <c r="G187" i="1"/>
  <c r="G373" i="1"/>
  <c r="G5" i="1"/>
  <c r="G188" i="1"/>
  <c r="G374" i="1"/>
  <c r="G6" i="1"/>
  <c r="G189" i="1"/>
  <c r="G375" i="1"/>
  <c r="G7" i="1"/>
  <c r="G190" i="1"/>
  <c r="G376" i="1"/>
  <c r="G8" i="1"/>
  <c r="G191" i="1"/>
  <c r="G377" i="1"/>
  <c r="G9" i="1"/>
  <c r="G192" i="1"/>
  <c r="G378" i="1"/>
  <c r="G10" i="1"/>
  <c r="G193" i="1"/>
  <c r="G379" i="1"/>
  <c r="G11" i="1"/>
  <c r="G194" i="1"/>
  <c r="G380" i="1"/>
  <c r="G12" i="1"/>
  <c r="G195" i="1"/>
  <c r="G381" i="1"/>
  <c r="G13" i="1"/>
  <c r="G382" i="1"/>
  <c r="G196" i="1"/>
  <c r="G383" i="1"/>
  <c r="G14" i="1"/>
  <c r="G197" i="1"/>
  <c r="G384" i="1"/>
  <c r="G15" i="1"/>
  <c r="G198" i="1"/>
  <c r="G385" i="1"/>
  <c r="G16" i="1"/>
  <c r="G17" i="1"/>
  <c r="G199" i="1"/>
  <c r="G386" i="1"/>
  <c r="G18" i="1"/>
  <c r="G200" i="1"/>
  <c r="G387" i="1"/>
  <c r="G19" i="1"/>
  <c r="G201" i="1"/>
  <c r="G388" i="1"/>
  <c r="G20" i="1"/>
  <c r="G202" i="1"/>
  <c r="G389" i="1"/>
  <c r="G370" i="1"/>
</calcChain>
</file>

<file path=xl/sharedStrings.xml><?xml version="1.0" encoding="utf-8"?>
<sst xmlns="http://schemas.openxmlformats.org/spreadsheetml/2006/main" count="4509" uniqueCount="652">
  <si>
    <t>Date</t>
  </si>
  <si>
    <t>Shift/Team</t>
  </si>
  <si>
    <t>Formula</t>
  </si>
  <si>
    <t>Line</t>
  </si>
  <si>
    <t>Scrap %</t>
  </si>
  <si>
    <t>T1</t>
  </si>
  <si>
    <t>T2</t>
  </si>
  <si>
    <t>T3</t>
  </si>
  <si>
    <t>T4</t>
  </si>
  <si>
    <t>Enrobing-Alpha</t>
  </si>
  <si>
    <t>Enrobing-Bravo</t>
  </si>
  <si>
    <t>Enrobing-Charlie</t>
  </si>
  <si>
    <t>Enrobing-Delta</t>
  </si>
  <si>
    <t>Enrobing-Echo</t>
  </si>
  <si>
    <t>Sig 5</t>
  </si>
  <si>
    <t>All other packaging</t>
  </si>
  <si>
    <t>Formula Description</t>
  </si>
  <si>
    <t>WIP.DCP FLIPZ  DARK CHOC PRETZEL</t>
  </si>
  <si>
    <t>WIP.BCP FLIPZ BIRTHDAY CAKE PRETZEL</t>
  </si>
  <si>
    <t>916.BF FLIPZ 25 LB BULK MILK CHOC</t>
  </si>
  <si>
    <t>TURTLES MILK CHOC ORIG MINI</t>
  </si>
  <si>
    <t>TURTLES MILK CHOC PEC BITE SZ</t>
  </si>
  <si>
    <t>TURTLES MILK CHOC ORIGINAL</t>
  </si>
  <si>
    <t>WIP.MSM FLIPZ MILK CHOC SUPER MINI</t>
  </si>
  <si>
    <t>3S</t>
  </si>
  <si>
    <t>1S</t>
  </si>
  <si>
    <t>2S</t>
  </si>
  <si>
    <t>Commentary</t>
  </si>
  <si>
    <t>Tails on turtles and underweights from shift 3 startup</t>
  </si>
  <si>
    <t>Defects from deformed product and chopped in sigs knives</t>
  </si>
  <si>
    <t>Defects and crushed candy on Sig 1 and 2</t>
  </si>
  <si>
    <t>Tails on turtles</t>
  </si>
  <si>
    <t>Defects - melting caramel and getting long and odd shaped candy</t>
  </si>
  <si>
    <t>Defects</t>
  </si>
  <si>
    <t>Defects, enrober ran out of chocolate</t>
  </si>
  <si>
    <t>Defects and nut debris</t>
  </si>
  <si>
    <t>Caramel moisture/dosing pump fault in kitchen</t>
  </si>
  <si>
    <t>Shared between Alpha and Bravo</t>
  </si>
  <si>
    <t>Enrobing issues (tails)</t>
  </si>
  <si>
    <t>Tails and clusters on Alpha</t>
  </si>
  <si>
    <t>Nuts are very small and are falling from wire mesh belt as they approach enrober</t>
  </si>
  <si>
    <t>Estop pulled</t>
  </si>
  <si>
    <t>Alpha:  Cleaned nozzles for KGM, shut down for build up in drum and on pushers and KGM, hand feeding bulk and rework. Nuts are very small and are falling from wire mesh belt as they approach enrober</t>
  </si>
  <si>
    <t>Alpha:  Sig 2 had lots of snakes. Charlie:  Small nuts falling out between transitions, also going through enrober and catching in the curtain</t>
  </si>
  <si>
    <t>Defects, nut patties on Alpha</t>
  </si>
  <si>
    <t>Scrap Calc:  Scrap/Enrobed LB</t>
  </si>
  <si>
    <t>Total Enrobed LB</t>
  </si>
  <si>
    <t>Enrobed LB</t>
  </si>
  <si>
    <t>Scrapped LB</t>
  </si>
  <si>
    <t>Scrap Calc:  Scrap/Total Enrobed LB</t>
  </si>
  <si>
    <t>Month</t>
  </si>
  <si>
    <t>January</t>
  </si>
  <si>
    <t>February</t>
  </si>
  <si>
    <t>Row Labels</t>
  </si>
  <si>
    <t>Grand Total</t>
  </si>
  <si>
    <t>Big Flats Scrap Summary</t>
  </si>
  <si>
    <t>*Beginning 2/1/2020, we began including LBS scrapped in total LBS enrobed</t>
  </si>
  <si>
    <t>Sum of Total Enrobed LB</t>
  </si>
  <si>
    <t>Sum of Enrobed LB</t>
  </si>
  <si>
    <t>Sum of Scrapped LB</t>
  </si>
  <si>
    <t xml:space="preserve">Sum of Scrap </t>
  </si>
  <si>
    <t>Sum of Scrap January ONLY</t>
  </si>
  <si>
    <t>Total Scrap</t>
  </si>
  <si>
    <t>Warehouse Scrap</t>
  </si>
  <si>
    <t xml:space="preserve"> </t>
  </si>
  <si>
    <t>Helper</t>
  </si>
  <si>
    <t>43832 - 3S</t>
  </si>
  <si>
    <t>43832 - 1S</t>
  </si>
  <si>
    <t>43832 - 2S</t>
  </si>
  <si>
    <t>43833 - 3S</t>
  </si>
  <si>
    <t>43833 - 1S</t>
  </si>
  <si>
    <t>43833 - 2S</t>
  </si>
  <si>
    <t>43836 - 3S</t>
  </si>
  <si>
    <t>43836 - 1S</t>
  </si>
  <si>
    <t>43836 - 2S</t>
  </si>
  <si>
    <t>43837 - 3S</t>
  </si>
  <si>
    <t>43837 - 1S</t>
  </si>
  <si>
    <t>43837 - 2S</t>
  </si>
  <si>
    <t>43838 - 3S</t>
  </si>
  <si>
    <t>43838 - 1S</t>
  </si>
  <si>
    <t>43838 - 2S</t>
  </si>
  <si>
    <t>43839 - 3S</t>
  </si>
  <si>
    <t>43839 - 1S</t>
  </si>
  <si>
    <t>43839 - 2S</t>
  </si>
  <si>
    <t>43840 - 3S</t>
  </si>
  <si>
    <t>43840 - 1S</t>
  </si>
  <si>
    <t>43840 - 2S</t>
  </si>
  <si>
    <t>43843 - 3S</t>
  </si>
  <si>
    <t>43843 - 1S</t>
  </si>
  <si>
    <t>43843 - 2S</t>
  </si>
  <si>
    <t>43844 - 3S</t>
  </si>
  <si>
    <t>43844 - 1S</t>
  </si>
  <si>
    <t>43844 - 2S</t>
  </si>
  <si>
    <t>43845 - 3S</t>
  </si>
  <si>
    <t>43845 - 1S</t>
  </si>
  <si>
    <t>43845 - 2S</t>
  </si>
  <si>
    <t>43846 - 3S</t>
  </si>
  <si>
    <t>43846 - 1S</t>
  </si>
  <si>
    <t>43846 - 2S</t>
  </si>
  <si>
    <t>43847 - 3S</t>
  </si>
  <si>
    <t>43847 - 1S</t>
  </si>
  <si>
    <t>43851 - 3S</t>
  </si>
  <si>
    <t>43851 - 2S</t>
  </si>
  <si>
    <t>43852 - 3S</t>
  </si>
  <si>
    <t>43852 - 1S</t>
  </si>
  <si>
    <t>43852 - 2S</t>
  </si>
  <si>
    <t>43853 - 3S</t>
  </si>
  <si>
    <t>43853 - 1S</t>
  </si>
  <si>
    <t>43853 - 2S</t>
  </si>
  <si>
    <t>43854 - 3S</t>
  </si>
  <si>
    <t>43854 - 1S</t>
  </si>
  <si>
    <t>43857 - 1S</t>
  </si>
  <si>
    <t>43857 - 2S</t>
  </si>
  <si>
    <t>43858 - 3S</t>
  </si>
  <si>
    <t>43858 - 1S</t>
  </si>
  <si>
    <t>43858 - 2S</t>
  </si>
  <si>
    <t>43859 - 3S</t>
  </si>
  <si>
    <t>43859 - 1S</t>
  </si>
  <si>
    <t>43859 - 2S</t>
  </si>
  <si>
    <t>43860 - 3S</t>
  </si>
  <si>
    <t>43860 - 1S</t>
  </si>
  <si>
    <t>43860 - 2S</t>
  </si>
  <si>
    <t>43861 - 3S</t>
  </si>
  <si>
    <t>43847 - 2S</t>
  </si>
  <si>
    <t>43854 - 2S</t>
  </si>
  <si>
    <t>43861 - 1S</t>
  </si>
  <si>
    <t>43861 - 2S</t>
  </si>
  <si>
    <t>43834 - 1S</t>
  </si>
  <si>
    <t>43834 - 2S</t>
  </si>
  <si>
    <t>43835 - 1S</t>
  </si>
  <si>
    <t>43835 - 2S</t>
  </si>
  <si>
    <t>43841 - 1S</t>
  </si>
  <si>
    <t>43841 - 2S</t>
  </si>
  <si>
    <t>43842 - 1S</t>
  </si>
  <si>
    <t>43842 - 2S</t>
  </si>
  <si>
    <t>43848 - 1S</t>
  </si>
  <si>
    <t>43848 - 2S</t>
  </si>
  <si>
    <t>43849 - 1S</t>
  </si>
  <si>
    <t>43849 - 2S</t>
  </si>
  <si>
    <t>43850 - 2S</t>
  </si>
  <si>
    <t>43855 - 1S</t>
  </si>
  <si>
    <t>43855 - 2S</t>
  </si>
  <si>
    <t>43856 - 1S</t>
  </si>
  <si>
    <t>43856 - 2S</t>
  </si>
  <si>
    <t>43864 - 1S</t>
  </si>
  <si>
    <t>43864 - 2S</t>
  </si>
  <si>
    <t>43865 - 3S</t>
  </si>
  <si>
    <t>43865 - 1S</t>
  </si>
  <si>
    <t>43865 - 2S</t>
  </si>
  <si>
    <t>43866 - 3S</t>
  </si>
  <si>
    <t>43866 - 1S</t>
  </si>
  <si>
    <t>43866 - 2S</t>
  </si>
  <si>
    <t>43867 - 3S</t>
  </si>
  <si>
    <t>43867 - 1S</t>
  </si>
  <si>
    <t>43867 - 2S</t>
  </si>
  <si>
    <t>43868 - 3S</t>
  </si>
  <si>
    <t>43868 - 1S</t>
  </si>
  <si>
    <t>43871 - 3S</t>
  </si>
  <si>
    <t>43871 - 1S</t>
  </si>
  <si>
    <t>43871 - 2S</t>
  </si>
  <si>
    <t>43872 - 3S</t>
  </si>
  <si>
    <t>43872 - 1S</t>
  </si>
  <si>
    <t>43872 - 2S</t>
  </si>
  <si>
    <t>43873 - 3S</t>
  </si>
  <si>
    <t>43873 - 1S</t>
  </si>
  <si>
    <t>43873 - 2S</t>
  </si>
  <si>
    <t>43874 - 3S</t>
  </si>
  <si>
    <t>43874 - 1S</t>
  </si>
  <si>
    <t>43874 - 2S</t>
  </si>
  <si>
    <t>43875 - 3S</t>
  </si>
  <si>
    <t>43875 - 1S</t>
  </si>
  <si>
    <t>43875 - 2S</t>
  </si>
  <si>
    <t>43862 - 1S</t>
  </si>
  <si>
    <t>43862 - 2S</t>
  </si>
  <si>
    <t>43863 - 1S</t>
  </si>
  <si>
    <t>43863 - 2S</t>
  </si>
  <si>
    <t>43868 - 2S</t>
  </si>
  <si>
    <t>43869 - 1S</t>
  </si>
  <si>
    <t>43869 - 2S</t>
  </si>
  <si>
    <t>43870 - 1S</t>
  </si>
  <si>
    <t>43870 - 2S</t>
  </si>
  <si>
    <t>43876 - 1S</t>
  </si>
  <si>
    <t>43876 - 2S</t>
  </si>
  <si>
    <t>43877 - 1S</t>
  </si>
  <si>
    <t>43877 - 2S</t>
  </si>
  <si>
    <t>43878 - 1S</t>
  </si>
  <si>
    <t>Reconciling Difference</t>
  </si>
  <si>
    <t xml:space="preserve"> 1S</t>
  </si>
  <si>
    <t xml:space="preserve"> 2S</t>
  </si>
  <si>
    <t xml:space="preserve"> 3S</t>
  </si>
  <si>
    <t>43835 - 3S</t>
  </si>
  <si>
    <t>43857 - 3S</t>
  </si>
  <si>
    <t>43879 - 1S</t>
  </si>
  <si>
    <t>43879 - 2S</t>
  </si>
  <si>
    <t>43880 - 3S</t>
  </si>
  <si>
    <t>43881 - 3S</t>
  </si>
  <si>
    <t>43881 - 1S</t>
  </si>
  <si>
    <t>43881 - 2S</t>
  </si>
  <si>
    <t>43880 - 1S</t>
  </si>
  <si>
    <t>43880 - 2S</t>
  </si>
  <si>
    <t>Scrap $</t>
  </si>
  <si>
    <t>$/LB</t>
  </si>
  <si>
    <t>KS MILK CHOC MACADAMIA</t>
  </si>
  <si>
    <t>TURTLES MC SEA SALT PECAN</t>
  </si>
  <si>
    <t>Jan'20
Price/LB</t>
  </si>
  <si>
    <t>Feb'20
Price/LB</t>
  </si>
  <si>
    <t>Mar'20
Price/LB</t>
  </si>
  <si>
    <t>Apr'20
Price/LB</t>
  </si>
  <si>
    <t>Jun'20
Price/LB</t>
  </si>
  <si>
    <t>Jul'20
Price/LB</t>
  </si>
  <si>
    <t>Handfed WIP</t>
  </si>
  <si>
    <t>Had to run caramel out due to high moisture from issues in kitchen (caramel was running off patties causing build up at spooler). Alpha and bravo combined.</t>
  </si>
  <si>
    <t>43882 - 1S</t>
  </si>
  <si>
    <t>43882 - 2S</t>
  </si>
  <si>
    <t>43882 - 3S</t>
  </si>
  <si>
    <t>43883 - 1S</t>
  </si>
  <si>
    <t>43883 - 2S</t>
  </si>
  <si>
    <t>43884 - 1S</t>
  </si>
  <si>
    <t>43884 - 2S</t>
  </si>
  <si>
    <t>43885 - 1S</t>
  </si>
  <si>
    <t>43885 - 2S</t>
  </si>
  <si>
    <t>43885 - 3S</t>
  </si>
  <si>
    <t>Aug'20
Price/LB</t>
  </si>
  <si>
    <t>Sep'20
Price/LB</t>
  </si>
  <si>
    <t>Oct'20
Price/LB</t>
  </si>
  <si>
    <t>Nov'20
Price/LB</t>
  </si>
  <si>
    <t>Dec'20
Price/LB</t>
  </si>
  <si>
    <t>Scrap % Goal</t>
  </si>
  <si>
    <t>Sum of Scrap $</t>
  </si>
  <si>
    <t>What is the target for the difference between TP and WHSE scrap?</t>
  </si>
  <si>
    <t>Began breaking out Alpha and Bravo Enrobing on Warehouse Scrap Log 2/25/2020 1S. E-stop hit on Bravo due to belt tracking issue.</t>
  </si>
  <si>
    <t>43886 - 1S</t>
  </si>
  <si>
    <t>43886 - 2S</t>
  </si>
  <si>
    <t>43886 - 3S</t>
  </si>
  <si>
    <t>43887 - 1S</t>
  </si>
  <si>
    <t>43887 - 2S</t>
  </si>
  <si>
    <t>43887 - 3S</t>
  </si>
  <si>
    <t>43888 - 1S</t>
  </si>
  <si>
    <t>43888 - 3S</t>
  </si>
  <si>
    <t>43888 - 2S</t>
  </si>
  <si>
    <t>43889 - 3S</t>
  </si>
  <si>
    <t>January Information (Scrap LB is the same)</t>
  </si>
  <si>
    <t>Dig out + chocolate leaking from pump</t>
  </si>
  <si>
    <t>Chocolate leaking from pump</t>
  </si>
  <si>
    <t>160 LB on sigs (blowoffs &amp; chocolate)</t>
  </si>
  <si>
    <t>Pretzel grinding metal detection scrap</t>
  </si>
  <si>
    <t>901 FLIPZ 25 LB BULK FAT FREE MINI</t>
  </si>
  <si>
    <t>March</t>
  </si>
  <si>
    <t>43889 - 1S</t>
  </si>
  <si>
    <t>43889 - 2S</t>
  </si>
  <si>
    <t>43892 - 3S</t>
  </si>
  <si>
    <t>43890 - 1S</t>
  </si>
  <si>
    <t>43890 - 2S</t>
  </si>
  <si>
    <t>43891 - 1S</t>
  </si>
  <si>
    <t>43891 - 2S</t>
  </si>
  <si>
    <t>Q1</t>
  </si>
  <si>
    <t>Q2</t>
  </si>
  <si>
    <t>Q3</t>
  </si>
  <si>
    <t>Q4</t>
  </si>
  <si>
    <t>43891 - 3S</t>
  </si>
  <si>
    <t>43892 - 1S</t>
  </si>
  <si>
    <t>43892 - 2S</t>
  </si>
  <si>
    <t>43893 - 3S</t>
  </si>
  <si>
    <t>Enrobing issues (patties were too big and heavy)</t>
  </si>
  <si>
    <t xml:space="preserve">Chillers had to be reset </t>
  </si>
  <si>
    <t>Feeding plaqued WIP onto line</t>
  </si>
  <si>
    <t>43893 - 1S</t>
  </si>
  <si>
    <t>43893 - 2S</t>
  </si>
  <si>
    <t>43894 - 3S</t>
  </si>
  <si>
    <t>Product in cooling to tunnels had to be scrapped due to chillers going down</t>
  </si>
  <si>
    <t>43894 - 1S</t>
  </si>
  <si>
    <t>43894 - 2S</t>
  </si>
  <si>
    <t>43895 - 3S</t>
  </si>
  <si>
    <t>Issues w/ baring  in check weigher from Sig 1</t>
  </si>
  <si>
    <t>Short run time and changeover to 4pc</t>
  </si>
  <si>
    <t>Issues w/ sigs, candy not running through machine</t>
  </si>
  <si>
    <t>43895 - 1S</t>
  </si>
  <si>
    <t>43895 - 2S</t>
  </si>
  <si>
    <t>43896 - 3S</t>
  </si>
  <si>
    <t>Jan</t>
  </si>
  <si>
    <t>Feb</t>
  </si>
  <si>
    <t>Mar</t>
  </si>
  <si>
    <t>1st shift</t>
  </si>
  <si>
    <t xml:space="preserve">2nd shift </t>
  </si>
  <si>
    <t>3rd shift</t>
  </si>
  <si>
    <t>43896 - 1S</t>
  </si>
  <si>
    <t>43896 - 2S</t>
  </si>
  <si>
    <t>43897 - 3S</t>
  </si>
  <si>
    <t>43899 - 1S</t>
  </si>
  <si>
    <t>43899 - 2S</t>
  </si>
  <si>
    <t>43899 - 3S</t>
  </si>
  <si>
    <t>43900 - 1S</t>
  </si>
  <si>
    <t>43900 - 2S</t>
  </si>
  <si>
    <t>43900 - 3S</t>
  </si>
  <si>
    <t>43901 - 3S</t>
  </si>
  <si>
    <t>march</t>
  </si>
  <si>
    <t>43901 - 1S</t>
  </si>
  <si>
    <t>43901 - 2S</t>
  </si>
  <si>
    <t>43902 - 1S</t>
  </si>
  <si>
    <t>43902 - 2S</t>
  </si>
  <si>
    <t>43902 - 3S</t>
  </si>
  <si>
    <t>43903 - 1S</t>
  </si>
  <si>
    <t>43903 - 2S</t>
  </si>
  <si>
    <t>43903 - 3S</t>
  </si>
  <si>
    <t>43904 - 1S</t>
  </si>
  <si>
    <t>43904 - 2S</t>
  </si>
  <si>
    <t>43905 - 1S</t>
  </si>
  <si>
    <t>43905 - 2S</t>
  </si>
  <si>
    <t>43906 - 1S</t>
  </si>
  <si>
    <t>43906 - 2S</t>
  </si>
  <si>
    <t>43907 - 1S</t>
  </si>
  <si>
    <t>43907 - 2S</t>
  </si>
  <si>
    <t>43907 - 3S</t>
  </si>
  <si>
    <t>43908 - 1S</t>
  </si>
  <si>
    <t>43908 - 2S</t>
  </si>
  <si>
    <t>43908 - 3S</t>
  </si>
  <si>
    <t>43909 - 1S</t>
  </si>
  <si>
    <t>43909 - 2S</t>
  </si>
  <si>
    <t>43909 - 3S</t>
  </si>
  <si>
    <t>43910 - 1S</t>
  </si>
  <si>
    <t>43910 - 2S</t>
  </si>
  <si>
    <t>43910 - 3S</t>
  </si>
  <si>
    <t>43911 - 1S</t>
  </si>
  <si>
    <t>43911 - 2S</t>
  </si>
  <si>
    <t>43911 - 3S</t>
  </si>
  <si>
    <t>43912 - 1S</t>
  </si>
  <si>
    <t>43912 - 2S</t>
  </si>
  <si>
    <t>43913 - 1S</t>
  </si>
  <si>
    <t>43913 - 2S</t>
  </si>
  <si>
    <t>43913 - 3S</t>
  </si>
  <si>
    <t>43914 - 1S</t>
  </si>
  <si>
    <t>43914 - 2S</t>
  </si>
  <si>
    <t>43914 - 3S</t>
  </si>
  <si>
    <t>43915 - 1S</t>
  </si>
  <si>
    <t>43915 - 2S</t>
  </si>
  <si>
    <t>43915 - 3S</t>
  </si>
  <si>
    <t>43916 - 1S</t>
  </si>
  <si>
    <t>43916 - 2S</t>
  </si>
  <si>
    <t>43916 - 3S</t>
  </si>
  <si>
    <t>43917 - 1S</t>
  </si>
  <si>
    <t>43917 - 3S</t>
  </si>
  <si>
    <t>43918 - 1S</t>
  </si>
  <si>
    <t>43918 - 2S</t>
  </si>
  <si>
    <t>43918 - 3S</t>
  </si>
  <si>
    <t>43919 - 2S</t>
  </si>
  <si>
    <t>43920 - 1S</t>
  </si>
  <si>
    <t>43920 - 2S</t>
  </si>
  <si>
    <t>43920 - 3S</t>
  </si>
  <si>
    <t>43921 - 1S</t>
  </si>
  <si>
    <t>43921 - 2S</t>
  </si>
  <si>
    <t>43921 - 3S</t>
  </si>
  <si>
    <t>43922 - 1S</t>
  </si>
  <si>
    <t>43922 - 2S</t>
  </si>
  <si>
    <t>43922 - 3S</t>
  </si>
  <si>
    <t>43923 - 1S</t>
  </si>
  <si>
    <t>43923 - 2S</t>
  </si>
  <si>
    <t>43923 - 3S</t>
  </si>
  <si>
    <t>43924 - 1S</t>
  </si>
  <si>
    <t>43924 - 2S</t>
  </si>
  <si>
    <t>43924 - 3S</t>
  </si>
  <si>
    <t>43925 - 1S</t>
  </si>
  <si>
    <t>43925 - 2S</t>
  </si>
  <si>
    <t>43926 - 1S</t>
  </si>
  <si>
    <t>43926 - 2S</t>
  </si>
  <si>
    <t>43927 - 1S</t>
  </si>
  <si>
    <t>43927 - 2S</t>
  </si>
  <si>
    <t>43927 - 3S</t>
  </si>
  <si>
    <t>43928 - 1S</t>
  </si>
  <si>
    <t>43928 - 2S</t>
  </si>
  <si>
    <t>43928 - 3S</t>
  </si>
  <si>
    <t>43929 - 1S</t>
  </si>
  <si>
    <t>43929 - 2S</t>
  </si>
  <si>
    <t>43929 - 3S</t>
  </si>
  <si>
    <t>43930 - 1S</t>
  </si>
  <si>
    <t>43930 - 2S</t>
  </si>
  <si>
    <t>43930 - 3S</t>
  </si>
  <si>
    <t>43931 - 1S</t>
  </si>
  <si>
    <t>43931 - 3S</t>
  </si>
  <si>
    <t>43932 - 2S</t>
  </si>
  <si>
    <t>43933 - 3S</t>
  </si>
  <si>
    <t>43934 - 1S</t>
  </si>
  <si>
    <t>43934 - 2S</t>
  </si>
  <si>
    <t>43934 - 3S</t>
  </si>
  <si>
    <t>43935 - 1S</t>
  </si>
  <si>
    <t>43935 - 2S</t>
  </si>
  <si>
    <t>43935 - 3S</t>
  </si>
  <si>
    <t>43936 - 1S</t>
  </si>
  <si>
    <t>43936 - 2S</t>
  </si>
  <si>
    <t>43936 - 3S</t>
  </si>
  <si>
    <t>43937 - 1S</t>
  </si>
  <si>
    <t>43937 - 2S</t>
  </si>
  <si>
    <t>43937 - 3S</t>
  </si>
  <si>
    <t>43938 - 1S</t>
  </si>
  <si>
    <t>43938 - 2S</t>
  </si>
  <si>
    <t>43938 - 3S</t>
  </si>
  <si>
    <t>43939 - 1S</t>
  </si>
  <si>
    <t>43939 - 2S</t>
  </si>
  <si>
    <t>43940 - 1S</t>
  </si>
  <si>
    <t>43940 - 2S</t>
  </si>
  <si>
    <t>43941 - 1S</t>
  </si>
  <si>
    <t>43941 - 2S</t>
  </si>
  <si>
    <t>43941 - 3S</t>
  </si>
  <si>
    <t>43942 - 1S</t>
  </si>
  <si>
    <t>43942 - 2S</t>
  </si>
  <si>
    <t>43942 - 3S</t>
  </si>
  <si>
    <t>43943 - 1S</t>
  </si>
  <si>
    <t>43943 - 2S</t>
  </si>
  <si>
    <t>43943 - 3S</t>
  </si>
  <si>
    <t>R&amp;D Trial</t>
  </si>
  <si>
    <t>R&amp;D</t>
  </si>
  <si>
    <t>R&amp;D trial</t>
  </si>
  <si>
    <t>R&amp;D Trial - 449 lb</t>
  </si>
  <si>
    <t>43944 - 1S</t>
  </si>
  <si>
    <t>43944 - 3S</t>
  </si>
  <si>
    <t xml:space="preserve">w/o trial </t>
  </si>
  <si>
    <t>w/o R&amp;D trial</t>
  </si>
  <si>
    <t>43945 - 1S</t>
  </si>
  <si>
    <t>43945 - 2S</t>
  </si>
  <si>
    <t>43945 - 3S</t>
  </si>
  <si>
    <t xml:space="preserve">Removed clean </t>
  </si>
  <si>
    <t>43946 - 1S</t>
  </si>
  <si>
    <t>43946 - 2S</t>
  </si>
  <si>
    <t>43946 - 3S</t>
  </si>
  <si>
    <t>43947 - 1S</t>
  </si>
  <si>
    <t>43947 - 3S</t>
  </si>
  <si>
    <t>WIP.DALM.BITE</t>
  </si>
  <si>
    <t>461 for R&amp;D 4/27</t>
  </si>
  <si>
    <t>43948 - 1S</t>
  </si>
  <si>
    <t>43948 - 2S</t>
  </si>
  <si>
    <t>43948 - 3S</t>
  </si>
  <si>
    <t>43949 - 1S</t>
  </si>
  <si>
    <t>43949 - 2S</t>
  </si>
  <si>
    <t>43949 - 3S</t>
  </si>
  <si>
    <t>43950 - 1S</t>
  </si>
  <si>
    <t>43950 - 2S</t>
  </si>
  <si>
    <t>May</t>
  </si>
  <si>
    <t>43951 - 1S</t>
  </si>
  <si>
    <t>43951 - 2S</t>
  </si>
  <si>
    <t>43952 - 1S</t>
  </si>
  <si>
    <t>43952 - 3S</t>
  </si>
  <si>
    <t>43953 - 1S</t>
  </si>
  <si>
    <t>43954 - 2S</t>
  </si>
  <si>
    <t>43955 - 1S</t>
  </si>
  <si>
    <t>43955 - 2S</t>
  </si>
  <si>
    <t>43955 - 3S</t>
  </si>
  <si>
    <t>43956 - 1S</t>
  </si>
  <si>
    <t>43956 - 2S</t>
  </si>
  <si>
    <t>43956 - 3S</t>
  </si>
  <si>
    <t>43957 - 1S</t>
  </si>
  <si>
    <t>43957 - 2S</t>
  </si>
  <si>
    <t>43957 - 3S</t>
  </si>
  <si>
    <t>43958 - 1S</t>
  </si>
  <si>
    <t>43958 - 2S</t>
  </si>
  <si>
    <t>43958 - 3S</t>
  </si>
  <si>
    <t>43959 - 1S</t>
  </si>
  <si>
    <t>43959 - 2S</t>
  </si>
  <si>
    <t>43959 - 3S</t>
  </si>
  <si>
    <t>43960 - 1S</t>
  </si>
  <si>
    <t>43960 - 3S</t>
  </si>
  <si>
    <t>43961 - 3S</t>
  </si>
  <si>
    <t>43962 - 1S</t>
  </si>
  <si>
    <t>43962 - 2S</t>
  </si>
  <si>
    <t>43962 - 3S</t>
  </si>
  <si>
    <t>43963 - 1S</t>
  </si>
  <si>
    <t>43963 - 2S</t>
  </si>
  <si>
    <t>43963 - 3S</t>
  </si>
  <si>
    <t>43964 - 1S</t>
  </si>
  <si>
    <t>43964 - 2S</t>
  </si>
  <si>
    <t>43964 - 3S</t>
  </si>
  <si>
    <t>43965 - 1S</t>
  </si>
  <si>
    <t>43965 - 2S</t>
  </si>
  <si>
    <t>43965 - 3S</t>
  </si>
  <si>
    <t>43966 - 1S</t>
  </si>
  <si>
    <t>43966 - 2S</t>
  </si>
  <si>
    <t>43966 - 3S</t>
  </si>
  <si>
    <t>43967 - 2S</t>
  </si>
  <si>
    <t>43968 - 1S</t>
  </si>
  <si>
    <t>43969 - 1S</t>
  </si>
  <si>
    <t>43969 - 2S</t>
  </si>
  <si>
    <t>43969 - 3S</t>
  </si>
  <si>
    <t>43970 - 1S</t>
  </si>
  <si>
    <t>43970 - 2S</t>
  </si>
  <si>
    <t>43970 - 3S</t>
  </si>
  <si>
    <t>43971 - 1S</t>
  </si>
  <si>
    <t>43971 - 2S</t>
  </si>
  <si>
    <t>43971 - 3S</t>
  </si>
  <si>
    <t>43972 - 1S</t>
  </si>
  <si>
    <t>43972 - 2S</t>
  </si>
  <si>
    <t>43972 - 3S</t>
  </si>
  <si>
    <t>43973 - 1S</t>
  </si>
  <si>
    <t>43973 - 2S</t>
  </si>
  <si>
    <t>43973 - 3S</t>
  </si>
  <si>
    <t>43974 - 1S</t>
  </si>
  <si>
    <t>43974 - 2S</t>
  </si>
  <si>
    <t>43974 - 3S</t>
  </si>
  <si>
    <t>43975 - 1S</t>
  </si>
  <si>
    <t>43975 - 2S</t>
  </si>
  <si>
    <t>43976 - 1S</t>
  </si>
  <si>
    <t>43976 - 2S</t>
  </si>
  <si>
    <t>43976 - 3S</t>
  </si>
  <si>
    <t>43977 - 1S</t>
  </si>
  <si>
    <t>43977 - 2S</t>
  </si>
  <si>
    <t>43977 - 3S</t>
  </si>
  <si>
    <t>43978 - 1S</t>
  </si>
  <si>
    <t>43978 - 2S</t>
  </si>
  <si>
    <t>43978 - 3S</t>
  </si>
  <si>
    <t>43979 - 1S</t>
  </si>
  <si>
    <t>43979 - 2S</t>
  </si>
  <si>
    <t>43979 - 3S</t>
  </si>
  <si>
    <t>43980 - 1S</t>
  </si>
  <si>
    <t>43980 - 3S</t>
  </si>
  <si>
    <t>43982 - 1S</t>
  </si>
  <si>
    <t>43982 - 2S</t>
  </si>
  <si>
    <t>June</t>
  </si>
  <si>
    <t>43983 - 1S</t>
  </si>
  <si>
    <t>43983 - 2S</t>
  </si>
  <si>
    <t>43984 - 1S</t>
  </si>
  <si>
    <t>43984 - 2S</t>
  </si>
  <si>
    <t>43984 - 3S</t>
  </si>
  <si>
    <t>43985 - 1S</t>
  </si>
  <si>
    <t>43985 - 2S</t>
  </si>
  <si>
    <t>43985 - 3S</t>
  </si>
  <si>
    <t>WIP.DALM</t>
  </si>
  <si>
    <t>43986 - 1S</t>
  </si>
  <si>
    <t>43986 - 2S</t>
  </si>
  <si>
    <t>43986 - 3S</t>
  </si>
  <si>
    <t>WF Coated Pretzels</t>
  </si>
  <si>
    <t>43987 - 1S</t>
  </si>
  <si>
    <t>43987 - 2S</t>
  </si>
  <si>
    <t>43987 - 3S</t>
  </si>
  <si>
    <t>43988 - 1S</t>
  </si>
  <si>
    <t>43988 - 2S</t>
  </si>
  <si>
    <t>43988 - 3S</t>
  </si>
  <si>
    <t>43989 - 1S</t>
  </si>
  <si>
    <t>43989 - 2S</t>
  </si>
  <si>
    <t>43990 - 1S</t>
  </si>
  <si>
    <t>43990 - 2S</t>
  </si>
  <si>
    <t>43990 - 3S</t>
  </si>
  <si>
    <t>43991 - 1S</t>
  </si>
  <si>
    <t>43991 - 2S</t>
  </si>
  <si>
    <t>43991 - 3S</t>
  </si>
  <si>
    <t>43992 - 1S</t>
  </si>
  <si>
    <t>43992 - 2S</t>
  </si>
  <si>
    <t>43992 - 3S</t>
  </si>
  <si>
    <t>43993 - 1S</t>
  </si>
  <si>
    <t>43993 - 2S</t>
  </si>
  <si>
    <t>43993 - 3S</t>
  </si>
  <si>
    <t>43989 - 3S</t>
  </si>
  <si>
    <t>43994 - 1S</t>
  </si>
  <si>
    <t>43994 - 2S</t>
  </si>
  <si>
    <t>43994 - 3S</t>
  </si>
  <si>
    <t>43995 - 1S</t>
  </si>
  <si>
    <t>43995 - 2S</t>
  </si>
  <si>
    <t>43996 - 1S</t>
  </si>
  <si>
    <t>43996 - 2S</t>
  </si>
  <si>
    <t>3T</t>
  </si>
  <si>
    <t>4T</t>
  </si>
  <si>
    <t>43997 - T3</t>
  </si>
  <si>
    <t>43997 - T4</t>
  </si>
  <si>
    <t>43998 - T3</t>
  </si>
  <si>
    <t>43998 - T4</t>
  </si>
  <si>
    <t>1T</t>
  </si>
  <si>
    <t>2T</t>
  </si>
  <si>
    <t>43999 - T1</t>
  </si>
  <si>
    <t>43999 - T2</t>
  </si>
  <si>
    <t>44000 - T1</t>
  </si>
  <si>
    <t>44000 - T2</t>
  </si>
  <si>
    <t>JUne</t>
  </si>
  <si>
    <t>(blank)</t>
  </si>
  <si>
    <t xml:space="preserve"> - </t>
  </si>
  <si>
    <t>43952 - 2S</t>
  </si>
  <si>
    <t>43953 - 3S</t>
  </si>
  <si>
    <t>44001 - T3</t>
  </si>
  <si>
    <t>44001 - T4</t>
  </si>
  <si>
    <t>44002 - T3</t>
  </si>
  <si>
    <t>44002 - T4</t>
  </si>
  <si>
    <t>44003 - T3</t>
  </si>
  <si>
    <t>44003 - T4</t>
  </si>
  <si>
    <t>44004 - T1</t>
  </si>
  <si>
    <t>44004 - T2</t>
  </si>
  <si>
    <t>44005 - T1</t>
  </si>
  <si>
    <t>44005 - T2</t>
  </si>
  <si>
    <t>44006 - T3</t>
  </si>
  <si>
    <t>44006 - T4</t>
  </si>
  <si>
    <t>44007 - T3</t>
  </si>
  <si>
    <t>44007 - T4</t>
  </si>
  <si>
    <t>44008 - T1</t>
  </si>
  <si>
    <t>44008 - T2</t>
  </si>
  <si>
    <t>44009 - T1</t>
  </si>
  <si>
    <t>44009 - T2</t>
  </si>
  <si>
    <t>44010 - T1</t>
  </si>
  <si>
    <t>44010 - T2</t>
  </si>
  <si>
    <t>44011 - T3</t>
  </si>
  <si>
    <t>44011 - T4</t>
  </si>
  <si>
    <t>44012 - T3</t>
  </si>
  <si>
    <t>44012 - T4</t>
  </si>
  <si>
    <t>44013 - T1</t>
  </si>
  <si>
    <t>44013 - T2</t>
  </si>
  <si>
    <t>44014 - T1</t>
  </si>
  <si>
    <t>44014 - T2</t>
  </si>
  <si>
    <t>44017 - T1</t>
  </si>
  <si>
    <t>44017 - T2</t>
  </si>
  <si>
    <t>44018 - T1</t>
  </si>
  <si>
    <t>44018 - T2</t>
  </si>
  <si>
    <t>44019 - T1</t>
  </si>
  <si>
    <t>44019 - T2</t>
  </si>
  <si>
    <t>44020 - T3</t>
  </si>
  <si>
    <t>44020 - T4</t>
  </si>
  <si>
    <t>44021 - T3</t>
  </si>
  <si>
    <t>44021 - T4</t>
  </si>
  <si>
    <t>44022 - T1</t>
  </si>
  <si>
    <t>44022 - T2</t>
  </si>
  <si>
    <t>44023 - T1</t>
  </si>
  <si>
    <t>44023 - T2</t>
  </si>
  <si>
    <t>44024 - T1</t>
  </si>
  <si>
    <t>44024 - T2</t>
  </si>
  <si>
    <t>44025 - T3</t>
  </si>
  <si>
    <t>44025 - T4</t>
  </si>
  <si>
    <t>44026 - T3</t>
  </si>
  <si>
    <t>44026 - T4</t>
  </si>
  <si>
    <t>44027 - T1</t>
  </si>
  <si>
    <t>44027 - T2</t>
  </si>
  <si>
    <t>44028 - T1</t>
  </si>
  <si>
    <t>44028 - T2</t>
  </si>
  <si>
    <t>44029 - T3</t>
  </si>
  <si>
    <t>44029 - T4</t>
  </si>
  <si>
    <t>44030 - T3</t>
  </si>
  <si>
    <t>44030 - T4</t>
  </si>
  <si>
    <t>44031 - T3</t>
  </si>
  <si>
    <t>44031 - T4</t>
  </si>
  <si>
    <t>44032 - T1</t>
  </si>
  <si>
    <t>44032 - T2</t>
  </si>
  <si>
    <t>44033 - T1</t>
  </si>
  <si>
    <t>44033 - T2</t>
  </si>
  <si>
    <t>44034 - T3</t>
  </si>
  <si>
    <t>44034 - T4</t>
  </si>
  <si>
    <t>44035 - T3</t>
  </si>
  <si>
    <t>44035 - T4</t>
  </si>
  <si>
    <t>44036 - T1</t>
  </si>
  <si>
    <t>44036 - T2</t>
  </si>
  <si>
    <t>44037 - T1</t>
  </si>
  <si>
    <t>44037 - T2</t>
  </si>
  <si>
    <t>44038 - T1</t>
  </si>
  <si>
    <t>44038 - T2</t>
  </si>
  <si>
    <t>44039 - T3</t>
  </si>
  <si>
    <t>44039 - T4</t>
  </si>
  <si>
    <t>Average of Formula</t>
  </si>
  <si>
    <t>Scrap (Lbs.)</t>
  </si>
  <si>
    <t>Scrap Percentage</t>
  </si>
  <si>
    <t>Yield</t>
  </si>
  <si>
    <t>SKU</t>
  </si>
  <si>
    <t>Scrap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</si>
</sst>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0"/>
      <color theme="1"/>
      <name val="Calibri"/>
      <family val="2"/>
      <scheme val="minor"/>
    </font>
    <font>
      <b/>
      <sz val="11"/>
      <color rgb="FFFF0000"/>
      <name val="Calibri"/>
      <family val="2"/>
      <scheme val="minor"/>
    </font>
    <font>
      <sz val="10"/>
      <color theme="1"/>
      <name val="Calibri"/>
      <family val="2"/>
      <scheme val="minor"/>
    </font>
    <font>
      <sz val="10"/>
      <name val="Calibri"/>
      <family val="2"/>
      <scheme val="minor"/>
    </font>
    <font>
      <sz val="8"/>
      <name val="Calibri"/>
      <family val="2"/>
      <scheme val="minor"/>
    </font>
    <font>
      <sz val="12"/>
      <color theme="1"/>
      <name val="Times New Roman"/>
      <family val="1"/>
    </font>
  </fonts>
  <fills count="11">
    <fill>
      <patternFill patternType="none"/>
    </fill>
    <fill>
      <patternFill patternType="gray125"/>
    </fill>
    <fill>
      <patternFill patternType="solid">
        <fgColor theme="0" tint="-0.249977111117893"/>
        <bgColor indexed="64"/>
      </patternFill>
    </fill>
    <fill>
      <patternFill patternType="solid">
        <fgColor theme="7" tint="0.39997558519241921"/>
        <bgColor indexed="64"/>
      </patternFill>
    </fill>
    <fill>
      <patternFill patternType="solid">
        <fgColor rgb="FFFFFF99"/>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8" tint="0.39997558519241921"/>
        <bgColor indexed="64"/>
      </patternFill>
    </fill>
  </fills>
  <borders count="2">
    <border>
      <left/>
      <right/>
      <top/>
      <bottom/>
      <diagonal/>
    </border>
    <border>
      <left/>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5">
    <xf numFmtId="0" fontId="0" fillId="0" borderId="0" xfId="0"/>
    <xf numFmtId="14" fontId="0" fillId="0" borderId="0" xfId="0" applyNumberFormat="1" applyAlignment="1">
      <alignment horizontal="center"/>
    </xf>
    <xf numFmtId="0" fontId="0" fillId="0" borderId="0" xfId="0" applyAlignment="1">
      <alignment horizontal="center"/>
    </xf>
    <xf numFmtId="9" fontId="0" fillId="0" borderId="0" xfId="1" applyFont="1" applyAlignment="1">
      <alignment horizontal="center"/>
    </xf>
    <xf numFmtId="0" fontId="0" fillId="2" borderId="0" xfId="0" applyFill="1" applyAlignment="1">
      <alignment horizontal="center"/>
    </xf>
    <xf numFmtId="10" fontId="0" fillId="2" borderId="0" xfId="1" applyNumberFormat="1" applyFont="1" applyFill="1" applyAlignment="1">
      <alignment horizontal="center"/>
    </xf>
    <xf numFmtId="37" fontId="0" fillId="0" borderId="0" xfId="0" applyNumberFormat="1" applyAlignment="1">
      <alignment horizontal="center"/>
    </xf>
    <xf numFmtId="37" fontId="0" fillId="2" borderId="0" xfId="0" applyNumberFormat="1" applyFill="1" applyAlignment="1">
      <alignment horizontal="center"/>
    </xf>
    <xf numFmtId="0" fontId="0" fillId="3" borderId="0" xfId="0" applyFill="1"/>
    <xf numFmtId="0" fontId="0" fillId="2" borderId="0" xfId="0" applyFill="1"/>
    <xf numFmtId="0" fontId="0" fillId="3" borderId="0" xfId="0" applyFill="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0" fontId="0" fillId="0" borderId="0" xfId="0" applyNumberFormat="1" applyAlignment="1">
      <alignment horizontal="center"/>
    </xf>
    <xf numFmtId="0" fontId="0" fillId="2" borderId="0" xfId="0" applyNumberFormat="1" applyFill="1" applyAlignment="1">
      <alignment horizontal="center"/>
    </xf>
    <xf numFmtId="0" fontId="0" fillId="0" borderId="0" xfId="0" applyAlignment="1">
      <alignment horizontal="center" wrapText="1"/>
    </xf>
    <xf numFmtId="37" fontId="0" fillId="0" borderId="0" xfId="0" applyNumberFormat="1"/>
    <xf numFmtId="0" fontId="0" fillId="0" borderId="0" xfId="0" applyFill="1"/>
    <xf numFmtId="37" fontId="0" fillId="0" borderId="0" xfId="0" applyNumberFormat="1" applyFill="1" applyAlignment="1">
      <alignment horizontal="center"/>
    </xf>
    <xf numFmtId="0" fontId="2" fillId="0" borderId="0" xfId="0" applyFont="1" applyAlignment="1">
      <alignment horizontal="center"/>
    </xf>
    <xf numFmtId="37" fontId="2" fillId="0" borderId="0" xfId="0" applyNumberFormat="1" applyFont="1" applyAlignment="1">
      <alignment horizontal="center"/>
    </xf>
    <xf numFmtId="14" fontId="0" fillId="0" borderId="0" xfId="0" applyNumberFormat="1" applyFill="1"/>
    <xf numFmtId="14" fontId="2" fillId="0" borderId="0" xfId="0" applyNumberFormat="1" applyFont="1" applyAlignment="1">
      <alignment horizontal="center"/>
    </xf>
    <xf numFmtId="44" fontId="0" fillId="0" borderId="0" xfId="2" applyFont="1" applyAlignment="1">
      <alignment horizontal="center"/>
    </xf>
    <xf numFmtId="44" fontId="0" fillId="2" borderId="0" xfId="2" applyFont="1" applyFill="1" applyAlignment="1">
      <alignment horizontal="center"/>
    </xf>
    <xf numFmtId="44" fontId="0" fillId="0" borderId="0" xfId="2" applyFont="1"/>
    <xf numFmtId="44" fontId="0" fillId="0" borderId="0" xfId="0" applyNumberFormat="1"/>
    <xf numFmtId="44" fontId="0" fillId="0" borderId="0" xfId="0" applyNumberFormat="1" applyAlignment="1">
      <alignment horizontal="center"/>
    </xf>
    <xf numFmtId="0" fontId="4" fillId="0" borderId="0" xfId="0" applyFont="1"/>
    <xf numFmtId="14" fontId="0" fillId="4" borderId="0" xfId="0" applyNumberFormat="1" applyFill="1" applyAlignment="1">
      <alignment horizontal="center"/>
    </xf>
    <xf numFmtId="0" fontId="0" fillId="4" borderId="0" xfId="0" applyFill="1" applyAlignment="1">
      <alignment horizontal="center"/>
    </xf>
    <xf numFmtId="37" fontId="0" fillId="4" borderId="0" xfId="0" applyNumberFormat="1" applyFill="1" applyAlignment="1">
      <alignment horizontal="center"/>
    </xf>
    <xf numFmtId="37" fontId="2" fillId="4" borderId="0" xfId="0" applyNumberFormat="1" applyFont="1" applyFill="1" applyAlignment="1">
      <alignment horizontal="center"/>
    </xf>
    <xf numFmtId="0" fontId="0" fillId="0" borderId="0" xfId="0" pivotButton="1" applyAlignment="1">
      <alignment horizontal="center"/>
    </xf>
    <xf numFmtId="10" fontId="2" fillId="5" borderId="1" xfId="0" applyNumberFormat="1" applyFont="1" applyFill="1" applyBorder="1" applyAlignment="1">
      <alignment horizontal="center"/>
    </xf>
    <xf numFmtId="10" fontId="0" fillId="2" borderId="0" xfId="0" applyNumberFormat="1" applyFill="1" applyAlignment="1">
      <alignment horizontal="center"/>
    </xf>
    <xf numFmtId="10" fontId="0" fillId="0" borderId="0" xfId="1" applyNumberFormat="1" applyFont="1"/>
    <xf numFmtId="37" fontId="0" fillId="2" borderId="0" xfId="0" applyNumberFormat="1" applyFill="1"/>
    <xf numFmtId="42" fontId="0" fillId="0" borderId="0" xfId="2" applyNumberFormat="1" applyFont="1" applyAlignment="1">
      <alignment horizontal="center"/>
    </xf>
    <xf numFmtId="10" fontId="0" fillId="0" borderId="0" xfId="1" applyNumberFormat="1" applyFont="1" applyAlignment="1">
      <alignment horizontal="center"/>
    </xf>
    <xf numFmtId="37" fontId="0" fillId="0" borderId="0" xfId="0" applyNumberFormat="1" applyAlignment="1">
      <alignment horizontal="center"/>
    </xf>
    <xf numFmtId="37" fontId="0" fillId="0" borderId="0" xfId="0" applyNumberFormat="1" applyAlignment="1">
      <alignment horizontal="center"/>
    </xf>
    <xf numFmtId="0" fontId="2" fillId="0" borderId="0" xfId="0" applyFont="1"/>
    <xf numFmtId="37" fontId="0" fillId="0" borderId="0" xfId="0" applyNumberFormat="1" applyAlignment="1">
      <alignment horizontal="center"/>
    </xf>
    <xf numFmtId="0" fontId="0" fillId="0" borderId="0" xfId="0" applyFill="1" applyAlignment="1">
      <alignment horizontal="center"/>
    </xf>
    <xf numFmtId="10" fontId="0" fillId="0" borderId="0" xfId="0" applyNumberFormat="1" applyFill="1" applyAlignment="1">
      <alignment horizontal="center"/>
    </xf>
    <xf numFmtId="0" fontId="0" fillId="0" borderId="0" xfId="0" applyFill="1" applyAlignment="1">
      <alignment horizontal="left"/>
    </xf>
    <xf numFmtId="37" fontId="0" fillId="6" borderId="0" xfId="0" applyNumberFormat="1" applyFill="1" applyAlignment="1">
      <alignment horizontal="center"/>
    </xf>
    <xf numFmtId="10" fontId="0" fillId="0" borderId="0" xfId="1" applyNumberFormat="1" applyFont="1" applyFill="1" applyAlignment="1">
      <alignment horizontal="center"/>
    </xf>
    <xf numFmtId="37" fontId="0" fillId="2" borderId="0" xfId="0" applyNumberFormat="1" applyFill="1" applyAlignment="1">
      <alignment horizontal="center"/>
    </xf>
    <xf numFmtId="0" fontId="5" fillId="0" borderId="0" xfId="0" applyFont="1" applyAlignment="1">
      <alignment horizontal="center" wrapText="1"/>
    </xf>
    <xf numFmtId="0" fontId="5" fillId="0" borderId="0" xfId="0" applyFont="1" applyAlignment="1">
      <alignment wrapText="1"/>
    </xf>
    <xf numFmtId="0" fontId="6" fillId="0" borderId="0" xfId="0" applyFont="1" applyAlignment="1">
      <alignment wrapText="1"/>
    </xf>
    <xf numFmtId="37" fontId="0" fillId="7" borderId="0" xfId="0" applyNumberFormat="1" applyFill="1" applyAlignment="1">
      <alignment horizontal="center"/>
    </xf>
    <xf numFmtId="10" fontId="0" fillId="7" borderId="0" xfId="0" applyNumberFormat="1" applyFill="1" applyAlignment="1">
      <alignment horizontal="center"/>
    </xf>
    <xf numFmtId="0" fontId="0" fillId="7" borderId="0" xfId="0" applyFill="1" applyAlignment="1">
      <alignment horizontal="left"/>
    </xf>
    <xf numFmtId="37" fontId="0" fillId="8" borderId="0" xfId="0" applyNumberFormat="1" applyFill="1" applyAlignment="1">
      <alignment horizontal="center"/>
    </xf>
    <xf numFmtId="10" fontId="0" fillId="8" borderId="0" xfId="0" applyNumberFormat="1" applyFill="1" applyAlignment="1">
      <alignment horizontal="center"/>
    </xf>
    <xf numFmtId="0" fontId="0" fillId="8" borderId="0" xfId="0" applyFill="1" applyAlignment="1">
      <alignment horizontal="left"/>
    </xf>
    <xf numFmtId="37" fontId="0" fillId="2" borderId="0" xfId="0" applyNumberFormat="1" applyFill="1" applyAlignment="1">
      <alignment horizontal="center"/>
    </xf>
    <xf numFmtId="10" fontId="0" fillId="0" borderId="0" xfId="0" applyNumberFormat="1"/>
    <xf numFmtId="37" fontId="0" fillId="2" borderId="0" xfId="0" applyNumberFormat="1" applyFill="1" applyAlignment="1">
      <alignment horizontal="center"/>
    </xf>
    <xf numFmtId="0" fontId="0" fillId="9" borderId="0" xfId="0" applyFill="1" applyAlignment="1">
      <alignment horizontal="left"/>
    </xf>
    <xf numFmtId="37" fontId="0" fillId="9" borderId="0" xfId="0" applyNumberFormat="1" applyFill="1" applyAlignment="1">
      <alignment horizontal="center"/>
    </xf>
    <xf numFmtId="10" fontId="0" fillId="9" borderId="0" xfId="0" applyNumberFormat="1" applyFill="1" applyAlignment="1">
      <alignment horizontal="center"/>
    </xf>
    <xf numFmtId="0" fontId="0" fillId="7" borderId="0" xfId="0" applyFill="1" applyAlignment="1">
      <alignment horizontal="center"/>
    </xf>
    <xf numFmtId="0" fontId="0" fillId="10" borderId="0" xfId="0" applyFill="1" applyAlignment="1">
      <alignment horizontal="left"/>
    </xf>
    <xf numFmtId="37" fontId="0" fillId="10" borderId="0" xfId="0" applyNumberFormat="1" applyFill="1" applyAlignment="1">
      <alignment horizontal="center"/>
    </xf>
    <xf numFmtId="10" fontId="0" fillId="10" borderId="0" xfId="0" applyNumberFormat="1" applyFill="1" applyAlignment="1">
      <alignment horizontal="center"/>
    </xf>
    <xf numFmtId="14" fontId="0" fillId="10" borderId="0" xfId="0" applyNumberFormat="1" applyFill="1" applyAlignment="1">
      <alignment horizontal="center"/>
    </xf>
    <xf numFmtId="0" fontId="0" fillId="10" borderId="0" xfId="0"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37" fontId="0" fillId="2" borderId="0" xfId="0" applyNumberFormat="1" applyFill="1" applyAlignment="1">
      <alignment horizontal="center"/>
    </xf>
    <xf numFmtId="0" fontId="2" fillId="0" borderId="0" xfId="0" applyFont="1" applyAlignment="1">
      <alignment horizontal="center"/>
    </xf>
    <xf numFmtId="37" fontId="0" fillId="2" borderId="0" xfId="0" applyNumberFormat="1" applyFill="1" applyAlignment="1">
      <alignment horizontal="center"/>
    </xf>
    <xf numFmtId="14" fontId="0" fillId="0" borderId="0" xfId="0" applyNumberFormat="1" applyAlignment="1">
      <alignment horizontal="left"/>
    </xf>
    <xf numFmtId="0" fontId="0" fillId="0" borderId="0" xfId="0" applyNumberFormat="1"/>
    <xf numFmtId="14" fontId="8" fillId="0" borderId="0" xfId="0" applyNumberFormat="1" applyFont="1" applyAlignment="1">
      <alignment horizontal="left"/>
    </xf>
    <xf numFmtId="37" fontId="8" fillId="0" borderId="0" xfId="0" applyNumberFormat="1" applyFont="1" applyAlignment="1">
      <alignment horizontal="center"/>
    </xf>
    <xf numFmtId="10" fontId="8" fillId="0" borderId="0" xfId="0" applyNumberFormat="1" applyFont="1" applyAlignment="1">
      <alignment horizontal="center"/>
    </xf>
    <xf numFmtId="37" fontId="8" fillId="2" borderId="0" xfId="0" applyNumberFormat="1" applyFont="1" applyFill="1" applyAlignment="1">
      <alignment horizontal="center"/>
    </xf>
    <xf numFmtId="0" fontId="8" fillId="0" borderId="0" xfId="0" applyNumberFormat="1" applyFont="1"/>
    <xf numFmtId="164" fontId="8" fillId="0" borderId="0" xfId="0" applyNumberFormat="1" applyFont="1"/>
    <xf numFmtId="0" fontId="8" fillId="0" borderId="0" xfId="0" applyFont="1" applyFill="1" applyAlignment="1">
      <alignment horizontal="center"/>
    </xf>
    <xf numFmtId="0" fontId="3" fillId="0" borderId="0" xfId="0" applyFont="1" applyAlignment="1">
      <alignment horizontal="center" wrapText="1"/>
    </xf>
    <xf numFmtId="0" fontId="2" fillId="0" borderId="0" xfId="0" applyFont="1" applyAlignment="1">
      <alignment horizontal="center"/>
    </xf>
    <xf numFmtId="37" fontId="0" fillId="2" borderId="0" xfId="0" applyNumberFormat="1" applyFill="1" applyAlignment="1">
      <alignment horizontal="center"/>
    </xf>
    <xf numFmtId="44" fontId="8" fillId="0" borderId="0" xfId="2" applyFont="1"/>
  </cellXfs>
  <cellStyles count="3">
    <cellStyle name="Currency" xfId="2" builtinId="4"/>
    <cellStyle name="Normal" xfId="0" builtinId="0"/>
    <cellStyle name="Percent" xfId="1" builtinId="5"/>
  </cellStyles>
  <dxfs count="18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bgColor theme="0" tint="-0.249977111117893"/>
        </patternFill>
      </fill>
    </dxf>
    <dxf>
      <fill>
        <patternFill patternType="solid">
          <bgColor theme="0" tint="-0.249977111117893"/>
        </patternFill>
      </fill>
    </dxf>
    <dxf>
      <alignment horizontal="center"/>
    </dxf>
    <dxf>
      <alignment horizontal="center"/>
    </dxf>
    <dxf>
      <numFmt numFmtId="5" formatCode="#,##0_);\(#,##0\)"/>
    </dxf>
    <dxf>
      <numFmt numFmtId="5" formatCode="#,##0_);\(#,##0\)"/>
    </dxf>
    <dxf>
      <alignment horizontal="center"/>
    </dxf>
    <dxf>
      <alignment horizontal="center"/>
    </dxf>
    <dxf>
      <numFmt numFmtId="14" formatCode="0.00%"/>
    </dxf>
    <dxf>
      <numFmt numFmtId="14" formatCode="0.00%"/>
    </dxf>
    <dxf>
      <alignment horizontal="center"/>
    </dxf>
    <dxf>
      <alignment horizontal="center"/>
    </dxf>
    <dxf>
      <numFmt numFmtId="5" formatCode="#,##0_);\(#,##0\)"/>
    </dxf>
    <dxf>
      <numFmt numFmtId="5" formatCode="#,##0_);\(#,##0\)"/>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FC000"/>
        </patternFill>
      </fill>
    </dxf>
    <dxf>
      <fill>
        <patternFill>
          <bgColor rgb="FFFFC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9" tint="0.59999389629810485"/>
        </patternFill>
      </fill>
    </dxf>
    <dxf>
      <fill>
        <patternFill>
          <bgColor theme="9"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0" tint="-0.249977111117893"/>
        </patternFill>
      </fill>
    </dxf>
    <dxf>
      <fill>
        <patternFill patternType="solid">
          <bgColor theme="0" tint="-0.249977111117893"/>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alignment horizontal="center"/>
    </dxf>
    <dxf>
      <alignment horizontal="center"/>
    </dxf>
    <dxf>
      <numFmt numFmtId="14" formatCode="0.00%"/>
    </dxf>
    <dxf>
      <numFmt numFmtId="14" formatCode="0.00%"/>
    </dxf>
    <dxf>
      <numFmt numFmtId="14" formatCode="0.00%"/>
    </dxf>
    <dxf>
      <numFmt numFmtId="14" formatCode="0.00%"/>
    </dxf>
    <dxf>
      <alignment horizontal="center"/>
    </dxf>
    <dxf>
      <alignment horizontal="center"/>
    </dxf>
    <dxf>
      <numFmt numFmtId="5" formatCode="#,##0_);\(#,##0\)"/>
    </dxf>
    <dxf>
      <numFmt numFmtId="5" formatCode="#,##0_);\(#,##0\)"/>
    </dxf>
    <dxf>
      <fill>
        <patternFill patternType="solid">
          <bgColor theme="0" tint="-0.249977111117893"/>
        </patternFill>
      </fill>
    </dxf>
    <dxf>
      <fill>
        <patternFill patternType="solid">
          <bgColor theme="0" tint="-0.249977111117893"/>
        </patternFill>
      </fill>
    </dxf>
    <dxf>
      <fill>
        <patternFill>
          <bgColor theme="0" tint="-0.249977111117893"/>
        </patternFill>
      </fill>
    </dxf>
    <dxf>
      <fill>
        <patternFill>
          <bgColor theme="0" tint="-0.249977111117893"/>
        </patternFill>
      </fill>
    </dxf>
    <dxf>
      <fill>
        <patternFill patternType="solid">
          <bgColor theme="5" tint="0.59999389629810485"/>
        </patternFill>
      </fill>
    </dxf>
    <dxf>
      <fill>
        <patternFill patternType="solid">
          <bgColor theme="5" tint="0.59999389629810485"/>
        </patternFill>
      </fill>
    </dxf>
    <dxf>
      <numFmt numFmtId="34" formatCode="_(&quot;$&quot;* #,##0.00_);_(&quot;$&quot;* \(#,##0.00\);_(&quot;$&quot;* &quot;-&quot;??_);_(@_)"/>
    </dxf>
    <dxf>
      <numFmt numFmtId="34" formatCode="_(&quot;$&quot;* #,##0.00_);_(&quot;$&quot;* \(#,##0.00\);_(&quot;$&quot;* &quot;-&quot;??_);_(@_)"/>
    </dxf>
    <dxf>
      <numFmt numFmtId="5" formatCode="#,##0_);\(#,##0\)"/>
    </dxf>
    <dxf>
      <numFmt numFmtId="5" formatCode="#,##0_);\(#,##0\)"/>
    </dxf>
    <dxf>
      <alignment horizontal="center"/>
    </dxf>
    <dxf>
      <alignment horizontal="center"/>
    </dxf>
    <dxf>
      <numFmt numFmtId="14" formatCode="0.00%"/>
    </dxf>
    <dxf>
      <numFmt numFmtId="14" formatCode="0.00%"/>
    </dxf>
  </dxfs>
  <tableStyles count="0" defaultTableStyle="TableStyleMedium2" defaultPivotStyle="PivotStyleLight16"/>
  <colors>
    <mruColors>
      <color rgb="FF9C0006"/>
      <color rgb="FFFFFF99"/>
      <color rgb="FF006100"/>
      <color rgb="FFC6EFCE"/>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Alpha scrap by shift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Sheet1!$A$2</c:f>
              <c:strCache>
                <c:ptCount val="1"/>
                <c:pt idx="0">
                  <c:v>1st shift</c:v>
                </c:pt>
              </c:strCache>
            </c:strRef>
          </c:tx>
          <c:spPr>
            <a:solidFill>
              <a:schemeClr val="accent1"/>
            </a:solidFill>
            <a:ln>
              <a:noFill/>
            </a:ln>
            <a:effectLst/>
          </c:spPr>
          <c:invertIfNegative val="0"/>
          <c:cat>
            <c:strRef>
              <c:f>Sheet1!$B$1:$D$1</c:f>
              <c:strCache>
                <c:ptCount val="3"/>
                <c:pt idx="0">
                  <c:v>Jan</c:v>
                </c:pt>
                <c:pt idx="1">
                  <c:v>Feb</c:v>
                </c:pt>
                <c:pt idx="2">
                  <c:v>Mar</c:v>
                </c:pt>
              </c:strCache>
            </c:strRef>
          </c:cat>
          <c:val>
            <c:numRef>
              <c:f>Sheet1!$B$2:$D$2</c:f>
              <c:numCache>
                <c:formatCode>General</c:formatCode>
                <c:ptCount val="3"/>
                <c:pt idx="0">
                  <c:v>4.79</c:v>
                </c:pt>
                <c:pt idx="1">
                  <c:v>3.13</c:v>
                </c:pt>
                <c:pt idx="2">
                  <c:v>4.3</c:v>
                </c:pt>
              </c:numCache>
            </c:numRef>
          </c:val>
          <c:extLst>
            <c:ext xmlns:c16="http://schemas.microsoft.com/office/drawing/2014/chart" uri="{C3380CC4-5D6E-409C-BE32-E72D297353CC}">
              <c16:uniqueId val="{00000000-D6BA-4A8C-BBBC-8511707DEA4E}"/>
            </c:ext>
          </c:extLst>
        </c:ser>
        <c:ser>
          <c:idx val="1"/>
          <c:order val="1"/>
          <c:tx>
            <c:strRef>
              <c:f>Sheet1!$A$3</c:f>
              <c:strCache>
                <c:ptCount val="1"/>
                <c:pt idx="0">
                  <c:v>2nd shift </c:v>
                </c:pt>
              </c:strCache>
            </c:strRef>
          </c:tx>
          <c:spPr>
            <a:solidFill>
              <a:schemeClr val="accent2"/>
            </a:solidFill>
            <a:ln>
              <a:noFill/>
            </a:ln>
            <a:effectLst/>
          </c:spPr>
          <c:invertIfNegative val="0"/>
          <c:cat>
            <c:strRef>
              <c:f>Sheet1!$B$1:$D$1</c:f>
              <c:strCache>
                <c:ptCount val="3"/>
                <c:pt idx="0">
                  <c:v>Jan</c:v>
                </c:pt>
                <c:pt idx="1">
                  <c:v>Feb</c:v>
                </c:pt>
                <c:pt idx="2">
                  <c:v>Mar</c:v>
                </c:pt>
              </c:strCache>
            </c:strRef>
          </c:cat>
          <c:val>
            <c:numRef>
              <c:f>Sheet1!$B$3:$D$3</c:f>
              <c:numCache>
                <c:formatCode>General</c:formatCode>
                <c:ptCount val="3"/>
                <c:pt idx="0">
                  <c:v>7.05</c:v>
                </c:pt>
                <c:pt idx="1">
                  <c:v>3.77</c:v>
                </c:pt>
                <c:pt idx="2">
                  <c:v>7.83</c:v>
                </c:pt>
              </c:numCache>
            </c:numRef>
          </c:val>
          <c:extLst>
            <c:ext xmlns:c16="http://schemas.microsoft.com/office/drawing/2014/chart" uri="{C3380CC4-5D6E-409C-BE32-E72D297353CC}">
              <c16:uniqueId val="{00000001-D6BA-4A8C-BBBC-8511707DEA4E}"/>
            </c:ext>
          </c:extLst>
        </c:ser>
        <c:ser>
          <c:idx val="2"/>
          <c:order val="2"/>
          <c:tx>
            <c:strRef>
              <c:f>Sheet1!$A$4</c:f>
              <c:strCache>
                <c:ptCount val="1"/>
                <c:pt idx="0">
                  <c:v>3rd shift</c:v>
                </c:pt>
              </c:strCache>
            </c:strRef>
          </c:tx>
          <c:spPr>
            <a:solidFill>
              <a:schemeClr val="accent3"/>
            </a:solidFill>
            <a:ln>
              <a:noFill/>
            </a:ln>
            <a:effectLst/>
          </c:spPr>
          <c:invertIfNegative val="0"/>
          <c:cat>
            <c:strRef>
              <c:f>Sheet1!$B$1:$D$1</c:f>
              <c:strCache>
                <c:ptCount val="3"/>
                <c:pt idx="0">
                  <c:v>Jan</c:v>
                </c:pt>
                <c:pt idx="1">
                  <c:v>Feb</c:v>
                </c:pt>
                <c:pt idx="2">
                  <c:v>Mar</c:v>
                </c:pt>
              </c:strCache>
            </c:strRef>
          </c:cat>
          <c:val>
            <c:numRef>
              <c:f>Sheet1!$B$4:$D$4</c:f>
              <c:numCache>
                <c:formatCode>General</c:formatCode>
                <c:ptCount val="3"/>
                <c:pt idx="0">
                  <c:v>6.43</c:v>
                </c:pt>
                <c:pt idx="1">
                  <c:v>3.16</c:v>
                </c:pt>
                <c:pt idx="2">
                  <c:v>5.05</c:v>
                </c:pt>
              </c:numCache>
            </c:numRef>
          </c:val>
          <c:extLst>
            <c:ext xmlns:c16="http://schemas.microsoft.com/office/drawing/2014/chart" uri="{C3380CC4-5D6E-409C-BE32-E72D297353CC}">
              <c16:uniqueId val="{00000002-D6BA-4A8C-BBBC-8511707DEA4E}"/>
            </c:ext>
          </c:extLst>
        </c:ser>
        <c:dLbls>
          <c:showLegendKey val="0"/>
          <c:showVal val="0"/>
          <c:showCatName val="0"/>
          <c:showSerName val="0"/>
          <c:showPercent val="0"/>
          <c:showBubbleSize val="0"/>
        </c:dLbls>
        <c:gapWidth val="219"/>
        <c:overlap val="-27"/>
        <c:axId val="1159693536"/>
        <c:axId val="1339334752"/>
      </c:barChart>
      <c:catAx>
        <c:axId val="115969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334752"/>
        <c:crosses val="autoZero"/>
        <c:auto val="1"/>
        <c:lblAlgn val="ctr"/>
        <c:lblOffset val="100"/>
        <c:noMultiLvlLbl val="0"/>
      </c:catAx>
      <c:valAx>
        <c:axId val="133933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693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704851</xdr:colOff>
      <xdr:row>0</xdr:row>
      <xdr:rowOff>9525</xdr:rowOff>
    </xdr:from>
    <xdr:to>
      <xdr:col>9</xdr:col>
      <xdr:colOff>171451</xdr:colOff>
      <xdr:row>2</xdr:row>
      <xdr:rowOff>152400</xdr:rowOff>
    </xdr:to>
    <xdr:sp macro="" textlink="">
      <xdr:nvSpPr>
        <xdr:cNvPr id="2" name="TextBox 1">
          <a:extLst>
            <a:ext uri="{FF2B5EF4-FFF2-40B4-BE49-F238E27FC236}">
              <a16:creationId xmlns:a16="http://schemas.microsoft.com/office/drawing/2014/main" id="{841630B5-F2E2-4B17-A45A-1F7504E95F58}"/>
            </a:ext>
          </a:extLst>
        </xdr:cNvPr>
        <xdr:cNvSpPr txBox="1"/>
      </xdr:nvSpPr>
      <xdr:spPr>
        <a:xfrm>
          <a:off x="9753601" y="9525"/>
          <a:ext cx="17526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i="0">
              <a:solidFill>
                <a:srgbClr val="FF0000"/>
              </a:solidFill>
            </a:rPr>
            <a:t>Began breaking out Alpha and Bravo Enrobing on Warehouse Scrap Log 2/25/2020 1S.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533400</xdr:colOff>
      <xdr:row>10</xdr:row>
      <xdr:rowOff>166687</xdr:rowOff>
    </xdr:from>
    <xdr:to>
      <xdr:col>18</xdr:col>
      <xdr:colOff>228600</xdr:colOff>
      <xdr:row>25</xdr:row>
      <xdr:rowOff>52387</xdr:rowOff>
    </xdr:to>
    <xdr:graphicFrame macro="">
      <xdr:nvGraphicFramePr>
        <xdr:cNvPr id="4" name="Chart 3">
          <a:extLst>
            <a:ext uri="{FF2B5EF4-FFF2-40B4-BE49-F238E27FC236}">
              <a16:creationId xmlns:a16="http://schemas.microsoft.com/office/drawing/2014/main" id="{F6CF3CD5-58E1-46BF-86D1-FC9DD6DE7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0.05625</cdr:x>
      <cdr:y>0.58854</cdr:y>
    </cdr:from>
    <cdr:to>
      <cdr:x>0.98125</cdr:x>
      <cdr:y>0.58854</cdr:y>
    </cdr:to>
    <cdr:cxnSp macro="">
      <cdr:nvCxnSpPr>
        <cdr:cNvPr id="3" name="Straight Connector 2">
          <a:extLst xmlns:a="http://schemas.openxmlformats.org/drawingml/2006/main">
            <a:ext uri="{FF2B5EF4-FFF2-40B4-BE49-F238E27FC236}">
              <a16:creationId xmlns:a16="http://schemas.microsoft.com/office/drawing/2014/main" id="{D51BB78B-38EB-4881-96ED-C6123F2FDD08}"/>
            </a:ext>
          </a:extLst>
        </cdr:cNvPr>
        <cdr:cNvCxnSpPr/>
      </cdr:nvCxnSpPr>
      <cdr:spPr>
        <a:xfrm xmlns:a="http://schemas.openxmlformats.org/drawingml/2006/main">
          <a:off x="257175" y="1614488"/>
          <a:ext cx="4229100" cy="0"/>
        </a:xfrm>
        <a:prstGeom xmlns:a="http://schemas.openxmlformats.org/drawingml/2006/main" prst="line">
          <a:avLst/>
        </a:prstGeom>
        <a:ln xmlns:a="http://schemas.openxmlformats.org/drawingml/2006/main" w="38100">
          <a:solidFill>
            <a:srgbClr val="9C0006"/>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sey Brown" refreshedDate="44040.344629282408" createdVersion="6" refreshedVersion="6" minRefreshableVersion="3" recordCount="1626" xr:uid="{3600D1C9-0B23-40E3-AE75-DCC9BE92967F}">
  <cacheSource type="worksheet">
    <worksheetSource ref="A1:N1048576" sheet="Scrap Tracking"/>
  </cacheSource>
  <cacheFields count="16">
    <cacheField name="Month" numFmtId="0">
      <sharedItems containsBlank="1" count="10">
        <s v="January"/>
        <s v="February"/>
        <s v="March"/>
        <s v="April"/>
        <s v="May"/>
        <m/>
        <s v="June"/>
        <s v="July"/>
        <s v="March " u="1"/>
        <s v=" " u="1"/>
      </sharedItems>
    </cacheField>
    <cacheField name="Date" numFmtId="14">
      <sharedItems containsNonDate="0" containsDate="1" containsString="0" containsBlank="1" minDate="2020-01-02T00:00:00" maxDate="2020-07-28T00:00:00" count="206">
        <d v="2020-01-02T00:00:00"/>
        <d v="2020-01-03T00:00:00"/>
        <d v="2020-01-06T00:00:00"/>
        <d v="2020-01-07T00:00:00"/>
        <d v="2020-01-08T00:00:00"/>
        <d v="2020-01-09T00:00:00"/>
        <d v="2020-01-10T00:00:00"/>
        <d v="2020-01-13T00:00:00"/>
        <d v="2020-01-14T00:00:00"/>
        <d v="2020-01-15T00:00:00"/>
        <d v="2020-01-16T00:00:00"/>
        <d v="2020-01-17T00:00:00"/>
        <d v="2020-01-22T00:00:00"/>
        <d v="2020-01-23T00:00:00"/>
        <d v="2020-01-24T00:00:00"/>
        <d v="2020-01-27T00:00:00"/>
        <d v="2020-01-28T00:00:00"/>
        <d v="2020-01-29T00:00:00"/>
        <d v="2020-01-30T00:00:00"/>
        <d v="2020-01-31T00:00:00"/>
        <d v="2020-01-04T00:00:00"/>
        <d v="2020-01-05T00:00:00"/>
        <d v="2020-01-11T00:00:00"/>
        <d v="2020-01-12T00:00:00"/>
        <d v="2020-01-18T00:00:00"/>
        <d v="2020-01-19T00:00:00"/>
        <d v="2020-01-25T00:00:00"/>
        <d v="2020-01-26T00:00:00"/>
        <d v="2020-02-03T00:00:00"/>
        <d v="2020-02-04T00:00:00"/>
        <d v="2020-02-05T00:00:00"/>
        <d v="2020-02-06T00:00:00"/>
        <d v="2020-02-07T00:00:00"/>
        <d v="2020-02-10T00:00:00"/>
        <d v="2020-02-11T00:00:00"/>
        <d v="2020-02-12T00:00:00"/>
        <d v="2020-02-13T00:00:00"/>
        <d v="2020-02-14T00:00:00"/>
        <d v="2020-02-01T00:00:00"/>
        <d v="2020-02-02T00:00:00"/>
        <d v="2020-02-08T00:00:00"/>
        <d v="2020-02-09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1-21T00:00:00"/>
        <d v="2020-01-20T00:00:00"/>
        <d v="2020-03-07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7T00:00:00"/>
        <d v="2020-04-26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m/>
        <d v="2020-05-30T00:00:00" u="1"/>
      </sharedItems>
    </cacheField>
    <cacheField name="Shift/Team" numFmtId="0">
      <sharedItems containsBlank="1" count="9">
        <s v="1S"/>
        <s v="2S"/>
        <s v="3S"/>
        <s v="T3"/>
        <s v="T4"/>
        <s v="T1"/>
        <s v="T2"/>
        <m/>
        <s v="Overall" u="1"/>
      </sharedItems>
    </cacheField>
    <cacheField name="Helper" numFmtId="0">
      <sharedItems containsBlank="1" count="528">
        <s v="43832 - 1S"/>
        <s v="43833 - 1S"/>
        <s v="43836 - 1S"/>
        <s v="43837 - 1S"/>
        <s v="43838 - 1S"/>
        <s v="43839 - 1S"/>
        <s v="43840 - 1S"/>
        <s v="43843 - 1S"/>
        <s v="43844 - 1S"/>
        <s v="43845 - 1S"/>
        <s v="43846 - 1S"/>
        <s v="43847 - 1S"/>
        <s v="43852 - 1S"/>
        <s v="43853 - 1S"/>
        <s v="43854 - 1S"/>
        <s v="43857 - 1S"/>
        <s v="43858 - 1S"/>
        <s v="43859 - 1S"/>
        <s v="43860 - 1S"/>
        <s v="43861 - 1S"/>
        <s v="43834 - 1S"/>
        <s v="43835 - 1S"/>
        <s v="43841 - 1S"/>
        <s v="43842 - 1S"/>
        <s v="43848 - 1S"/>
        <s v="43849 - 1S"/>
        <s v="43855 - 1S"/>
        <s v="43856 - 1S"/>
        <s v="43864 - 1S"/>
        <s v="43865 - 1S"/>
        <s v="43866 - 1S"/>
        <s v="43867 - 1S"/>
        <s v="43868 - 1S"/>
        <s v="43871 - 1S"/>
        <s v="43872 - 1S"/>
        <s v="43873 - 1S"/>
        <s v="43874 - 1S"/>
        <s v="43875 - 1S"/>
        <s v="43862 - 1S"/>
        <s v="43863 - 1S"/>
        <s v="43869 - 1S"/>
        <s v="43870 - 1S"/>
        <s v="43876 - 1S"/>
        <s v="43877 - 1S"/>
        <s v="43878 - 1S"/>
        <s v="43879 - 1S"/>
        <s v="43880 - 1S"/>
        <s v="43881 - 1S"/>
        <s v="43882 - 1S"/>
        <s v="43883 - 1S"/>
        <s v="43884 - 1S"/>
        <s v="43885 - 1S"/>
        <s v="43886 - 1S"/>
        <s v="43887 - 1S"/>
        <s v="43888 - 1S"/>
        <s v="43889 - 1S"/>
        <s v="43890 - 1S"/>
        <s v="43891 - 1S"/>
        <s v="43892 - 1S"/>
        <s v="43893 - 1S"/>
        <s v="43894 - 1S"/>
        <s v="43895 - 1S"/>
        <s v="43896 - 1S"/>
        <s v="43832 - 2S"/>
        <s v="43833 - 2S"/>
        <s v="43836 - 2S"/>
        <s v="43837 - 2S"/>
        <s v="43838 - 2S"/>
        <s v="43839 - 2S"/>
        <s v="43840 - 2S"/>
        <s v="43843 - 2S"/>
        <s v="43844 - 2S"/>
        <s v="43845 - 2S"/>
        <s v="43846 - 2S"/>
        <s v="43851 - 2S"/>
        <s v="43852 - 2S"/>
        <s v="43853 - 2S"/>
        <s v="43857 - 2S"/>
        <s v="43858 - 2S"/>
        <s v="43859 - 2S"/>
        <s v="43860 - 2S"/>
        <s v="43847 - 2S"/>
        <s v="43854 - 2S"/>
        <s v="43861 - 2S"/>
        <s v="43834 - 2S"/>
        <s v="43835 - 2S"/>
        <s v="43841 - 2S"/>
        <s v="43842 - 2S"/>
        <s v="43848 - 2S"/>
        <s v="43849 - 2S"/>
        <s v="43850 - 2S"/>
        <s v="43855 - 2S"/>
        <s v="43856 - 2S"/>
        <s v="43864 - 2S"/>
        <s v="43865 - 2S"/>
        <s v="43866 - 2S"/>
        <s v="43867 - 2S"/>
        <s v="43871 - 2S"/>
        <s v="43872 - 2S"/>
        <s v="43873 - 2S"/>
        <s v="43874 - 2S"/>
        <s v="43875 - 2S"/>
        <s v="43862 - 2S"/>
        <s v="43863 - 2S"/>
        <s v="43868 - 2S"/>
        <s v="43869 - 2S"/>
        <s v="43870 - 2S"/>
        <s v="43876 - 2S"/>
        <s v="43877 - 2S"/>
        <s v="43879 - 2S"/>
        <s v="43880 - 2S"/>
        <s v="43881 - 2S"/>
        <s v="43882 - 2S"/>
        <s v="43883 - 2S"/>
        <s v="43884 - 2S"/>
        <s v="43885 - 2S"/>
        <s v="43886 - 2S"/>
        <s v="43887 - 2S"/>
        <s v="43888 - 2S"/>
        <s v="43889 - 2S"/>
        <s v="43890 - 2S"/>
        <s v="43891 - 2S"/>
        <s v="43892 - 2S"/>
        <s v="43893 - 2S"/>
        <s v="43894 - 2S"/>
        <s v="43895 - 2S"/>
        <s v="43896 - 2S"/>
        <s v="43832 - 3S"/>
        <s v="43833 - 3S"/>
        <s v="43836 - 3S"/>
        <s v="43837 - 3S"/>
        <s v="43838 - 3S"/>
        <s v="43839 - 3S"/>
        <s v="43840 - 3S"/>
        <s v="43843 - 3S"/>
        <s v="43844 - 3S"/>
        <s v="43845 - 3S"/>
        <s v="43846 - 3S"/>
        <s v="43847 - 3S"/>
        <s v="43851 - 3S"/>
        <s v="43852 - 3S"/>
        <s v="43853 - 3S"/>
        <s v="43854 - 3S"/>
        <s v="43858 - 3S"/>
        <s v="43859 - 3S"/>
        <s v="43860 - 3S"/>
        <s v="43861 - 3S"/>
        <s v="43835 - 3S"/>
        <s v="43857 - 3S"/>
        <s v="43865 - 3S"/>
        <s v="43866 - 3S"/>
        <s v="43867 - 3S"/>
        <s v="43868 - 3S"/>
        <s v="43871 - 3S"/>
        <s v="43872 - 3S"/>
        <s v="43873 - 3S"/>
        <s v="43874 - 3S"/>
        <s v="43875 - 3S"/>
        <s v="43880 - 3S"/>
        <s v="43881 - 3S"/>
        <s v="43882 - 3S"/>
        <s v="43885 - 3S"/>
        <s v="43886 - 3S"/>
        <s v="43887 - 3S"/>
        <s v="43888 - 3S"/>
        <s v="43889 - 3S"/>
        <s v="43891 - 3S"/>
        <s v="43892 - 3S"/>
        <s v="43893 - 3S"/>
        <s v="43894 - 3S"/>
        <s v="43895 - 3S"/>
        <s v="43896 - 3S"/>
        <s v="43897 - 3S"/>
        <s v="43899 - 3S"/>
        <s v="43899 - 1S"/>
        <s v="43899 - 2S"/>
        <s v="43900 - 3S"/>
        <s v="43900 - 1S"/>
        <s v="43900 - 2S"/>
        <s v="43901 - 3S"/>
        <s v="43901 - 1S"/>
        <s v="43901 - 2S"/>
        <s v="43902 - 3S"/>
        <s v="43902 - 1S"/>
        <s v="43902 - 2S"/>
        <s v="43903 - 3S"/>
        <s v="43903 - 1S"/>
        <s v="43903 - 2S"/>
        <s v="43904 - 1S"/>
        <s v="43904 - 2S"/>
        <s v="43905 - 1S"/>
        <s v="43905 - 2S"/>
        <s v="43906 - 1S"/>
        <s v="43906 - 2S"/>
        <s v="43907 - 3S"/>
        <s v="43907 - 1S"/>
        <s v="43907 - 2S"/>
        <s v="43908 - 3S"/>
        <s v="43908 - 1S"/>
        <s v="43908 - 2S"/>
        <s v="43909 - 3S"/>
        <s v="43909 - 1S"/>
        <s v="43909 - 2S"/>
        <s v="43910 - 3S"/>
        <s v="43910 - 1S"/>
        <s v="43910 - 2S"/>
        <s v="43911 - 1S"/>
        <s v="43911 - 2S"/>
        <s v="43911 - 3S"/>
        <s v="43912 - 1S"/>
        <s v="43912 - 2S"/>
        <s v="43913 - 3S"/>
        <s v="43913 - 1S"/>
        <s v="43913 - 2S"/>
        <s v="43914 - 3S"/>
        <s v="43914 - 1S"/>
        <s v="43914 - 2S"/>
        <s v="43915 - 3S"/>
        <s v="43915 - 1S"/>
        <s v="43915 - 2S"/>
        <s v="43916 - 3S"/>
        <s v="43916 - 1S"/>
        <s v="43916 - 2S"/>
        <s v="43917 - 3S"/>
        <s v="43917 - 1S"/>
        <s v="43918 - 1S"/>
        <s v="43918 - 2S"/>
        <s v="43918 - 3S"/>
        <s v="43919 - 2S"/>
        <s v="43920 - 3S"/>
        <s v="43920 - 1S"/>
        <s v="43920 - 2S"/>
        <s v="43921 - 3S"/>
        <s v="43921 - 1S"/>
        <s v="43921 - 2S"/>
        <s v="43922 - 1S"/>
        <s v="43922 - 2S"/>
        <s v="43922 - 3S"/>
        <s v="43923 - 1S"/>
        <s v="43923 - 2S"/>
        <s v="43923 - 3S"/>
        <s v="43924 - 1S"/>
        <s v="43924 - 2S"/>
        <s v="43924 - 3S"/>
        <s v="43925 - 1S"/>
        <s v="43925 - 2S"/>
        <s v="43926 - 2S"/>
        <s v="43926 - 1S"/>
        <s v="43927 - 3S"/>
        <s v="43927 - 1S"/>
        <s v="43927 - 2S"/>
        <s v="43928 - 3S"/>
        <s v="43928 - 1S"/>
        <s v="43928 - 2S"/>
        <s v="43929 - 3S"/>
        <s v="43929 - 1S"/>
        <s v="43929 - 2S"/>
        <s v="43930 - 3S"/>
        <s v="43930 - 1S"/>
        <s v="43930 - 2S"/>
        <s v="43931 - 3S"/>
        <s v="43931 - 1S"/>
        <s v="43932 - 2S"/>
        <s v="43933 - 3S"/>
        <s v="43934 - 3S"/>
        <s v="43934 - 1S"/>
        <s v="43934 - 2S"/>
        <s v="43935 - 3S"/>
        <s v="43935 - 1S"/>
        <s v="43935 - 2S"/>
        <s v="43936 - 3S"/>
        <s v="43936 - 1S"/>
        <s v="43936 - 2S"/>
        <s v="43937 - 3S"/>
        <s v="43937 - 1S"/>
        <s v="43937 - 2S"/>
        <s v="43938 - 3S"/>
        <s v="43938 - 1S"/>
        <s v="43938 - 2S"/>
        <s v="43939 - 2S"/>
        <s v="43939 - 1S"/>
        <s v="43940 - 2S"/>
        <s v="43940 - 1S"/>
        <s v="43941 - 2S"/>
        <s v="43941 - 3S"/>
        <s v="43941 - 1S"/>
        <s v="43942 - 3S"/>
        <s v="43942 - 1S"/>
        <s v="43942 - 2S"/>
        <s v="43943 - 3S"/>
        <s v="43943 - 1S"/>
        <s v="43943 - 2S"/>
        <s v="43944 - 3S"/>
        <s v="43944 - 1S"/>
        <s v="43945 - 3S"/>
        <s v="43945 - 1S"/>
        <s v="43945 - 2S"/>
        <s v="43946 - 1S"/>
        <s v="43946 - 2S"/>
        <s v="43946 - 3S"/>
        <s v="43948 - 3S"/>
        <s v="43947 - 1S"/>
        <s v="43947 - 3S"/>
        <s v="43948 - 1S"/>
        <s v="43948 - 2S"/>
        <s v="43949 - 3S"/>
        <s v="43949 - 1S"/>
        <s v="43949 - 2S"/>
        <s v="43950 - 2S"/>
        <s v="43950 - 1S"/>
        <s v="43951 - 1S"/>
        <s v="43951 - 2S"/>
        <s v="43952 - 3S"/>
        <s v="43952 - 1S"/>
        <s v="43952 - 2S"/>
        <s v="43953 - 3S"/>
        <s v="43953 - 1S"/>
        <s v="43954 - 2S"/>
        <s v="43955 - 3S"/>
        <s v="43955 - 1S"/>
        <s v="43955 - 2S"/>
        <s v="43956 - 3S"/>
        <s v="43956 - 1S"/>
        <s v="43956 - 2S"/>
        <s v="43957 - 3S"/>
        <s v="43957 - 2S"/>
        <s v="43957 - 1S"/>
        <s v="43958 - 3S"/>
        <s v="43958 - 1S"/>
        <s v="43958 - 2S"/>
        <s v="43959 - 3S"/>
        <s v="43959 - 1S"/>
        <s v="43959 - 2S"/>
        <s v="43960 - 3S"/>
        <s v="43960 - 1S"/>
        <s v="43961 - 3S"/>
        <s v="43962 - 3S"/>
        <s v="43962 - 1S"/>
        <s v="43962 - 2S"/>
        <s v="43963 - 3S"/>
        <s v="43963 - 1S"/>
        <s v="43963 - 2S"/>
        <s v="43964 - 3S"/>
        <s v="43964 - 1S"/>
        <s v="43964 - 2S"/>
        <s v="43965 - 3S"/>
        <s v="43965 - 1S"/>
        <s v="43965 - 2S"/>
        <s v="43966 - 3S"/>
        <s v="43966 - 1S"/>
        <s v="43966 - 2S"/>
        <s v="43967 - 2S"/>
        <s v="43968 - 1S"/>
        <s v="43969 - 3S"/>
        <s v="43969 - 1S"/>
        <s v="43969 - 2S"/>
        <s v="43970 - 3S"/>
        <s v="43970 - 1S"/>
        <s v="43970 - 2S"/>
        <s v="43971 - 3S"/>
        <s v="43971 - 1S"/>
        <s v="43971 - 2S"/>
        <s v="43972 - 3S"/>
        <s v="43972 - 1S"/>
        <s v="43972 - 2S"/>
        <s v="43973 - 3S"/>
        <s v="43973 - 1S"/>
        <s v="43973 - 2S"/>
        <s v="43974 - 1S"/>
        <s v="43974 - 2S"/>
        <s v="43974 - 3S"/>
        <s v="43975 - 1S"/>
        <s v="43975 - 2S"/>
        <s v="43976 - 3S"/>
        <s v="43976 - 1S"/>
        <s v="43976 - 2S"/>
        <s v="43977 - 3S"/>
        <s v="43977 - 1S"/>
        <s v="43977 - 2S"/>
        <s v="43978 - 3S"/>
        <s v="43978 - 1S"/>
        <s v="43978 - 2S"/>
        <s v="43979 - 3S"/>
        <s v="43979 - 1S"/>
        <s v="43979 - 2S"/>
        <s v="43980 - 3S"/>
        <s v="43980 - 1S"/>
        <s v="43982 - 2S"/>
        <s v="43982 - 1S"/>
        <s v="43983 - 1S"/>
        <s v="43983 - 2S"/>
        <s v="43984 - 3S"/>
        <s v="43984 - 1S"/>
        <s v="43984 - 2S"/>
        <s v="43985 - 3S"/>
        <s v="43985 - 1S"/>
        <s v="43985 - 2S"/>
        <s v="43986 - 3S"/>
        <s v="43986 - 1S"/>
        <s v="43986 - 2S"/>
        <s v="43987 - 3S"/>
        <s v="43987 - 1S"/>
        <s v="43987 - 2S"/>
        <s v="43988 - 3S"/>
        <s v="43988 - 1S"/>
        <s v="43988 - 2S"/>
        <s v="43989 - 3S"/>
        <s v="43989 - 1S"/>
        <s v="43989 - 2S"/>
        <s v="43990 - 3S"/>
        <s v="43990 - 1S"/>
        <s v="43990 - 2S"/>
        <s v="43991 - 3S"/>
        <s v="43991 - 1S"/>
        <s v="43991 - 2S"/>
        <s v="43992 - 3S"/>
        <s v="43992 - 1S"/>
        <s v="43992 - 2S"/>
        <s v="43993 - 3S"/>
        <s v="43993 - 1S"/>
        <s v="43993 - 2S"/>
        <s v="43994 - 3S"/>
        <s v="43994 - 1S"/>
        <s v="43994 - 2S"/>
        <s v="43995 - 1S"/>
        <s v="43995 - 2S"/>
        <s v="43996 - 1S"/>
        <s v="43996 - 2S"/>
        <s v="43997 - T3"/>
        <s v="43997 - T4"/>
        <s v="43998 - T3"/>
        <s v="43998 - T4"/>
        <s v="43999 - T1"/>
        <s v="43999 - T2"/>
        <s v="44000 - T1"/>
        <s v="44000 - T2"/>
        <s v="44001 - T3"/>
        <s v="44001 - T4"/>
        <s v="44002 - T3"/>
        <s v="44002 - T4"/>
        <s v="44003 - T3"/>
        <s v="44003 - T4"/>
        <s v="44004 - T1"/>
        <s v="44004 - T2"/>
        <s v="44005 - T1"/>
        <s v="44005 - T2"/>
        <s v="44006 - T3"/>
        <s v="44006 - T4"/>
        <s v="44007 - T3"/>
        <s v="44007 - T4"/>
        <s v="44008 - T1"/>
        <s v="44008 - T2"/>
        <s v="44009 - T1"/>
        <s v="44009 - T2"/>
        <s v="44010 - T1"/>
        <s v="44010 - T2"/>
        <s v="44011 - T3"/>
        <s v="44011 - T4"/>
        <s v="44012 - T3"/>
        <s v="44012 - T4"/>
        <s v="44013 - T1"/>
        <s v="44013 - T2"/>
        <s v="44014 - T1"/>
        <s v="44014 - T2"/>
        <s v="44017 - T1"/>
        <s v="44017 - T2"/>
        <s v="44018 - T1"/>
        <s v="44018 - T2"/>
        <s v="44019 - T1"/>
        <s v="44019 - T2"/>
        <s v="44020 - T3"/>
        <s v="44020 - T4"/>
        <s v="44021 - T3"/>
        <s v="44021 - T4"/>
        <s v="44022 - T1"/>
        <s v="44022 - T2"/>
        <s v="44023 - T1"/>
        <s v="44023 - T2"/>
        <s v="44024 - T1"/>
        <s v="44024 - T2"/>
        <s v="44025 - T3"/>
        <s v="44025 - T4"/>
        <s v="44026 - T3"/>
        <s v="44026 - T4"/>
        <s v="44027 - T1"/>
        <s v="44027 - T2"/>
        <s v="44028 - T1"/>
        <s v="44028 - T2"/>
        <s v="44029 - T3"/>
        <s v="44029 - T4"/>
        <s v="44030 - T3"/>
        <s v="44030 - T4"/>
        <s v="44031 - T3"/>
        <s v="44031 - T4"/>
        <s v="44032 - T1"/>
        <s v="44032 - T2"/>
        <s v="44033 - T1"/>
        <s v="44033 - T2"/>
        <s v="44034 - T3"/>
        <s v="44034 - T4"/>
        <s v="44035 - T3"/>
        <s v="44035 - T4"/>
        <s v="44036 - T1"/>
        <s v="44036 - T2"/>
        <s v="44037 - T1"/>
        <s v="44037 - T2"/>
        <s v="44038 - T1"/>
        <s v="44038 - T2"/>
        <s v="44039 - T3"/>
        <s v="44039 - T4"/>
        <s v=" - "/>
        <m/>
        <s v="  - " u="1"/>
        <s v="43932 - 1S" u="1"/>
        <s v="43906 - 3S" u="1"/>
        <s v="43850 - 1S" u="1"/>
        <s v="43925 - 3S" u="1"/>
        <s v="43950 - 3S" u="1"/>
        <s v="43919 - 3S" u="1"/>
        <s v="43981 - 1S" u="1"/>
        <s v="43968 - 2S" u="1"/>
        <s v="43890 - 3S" u="1"/>
        <s v="43975 - 3S" u="1"/>
        <s v="43968 - 3S" u="1"/>
        <s v="43997 - 1S" u="1"/>
        <s v="43997 - 2S" u="1"/>
        <s v="43996 - 3S" u="1"/>
        <s v="  - 3S" u="1"/>
      </sharedItems>
    </cacheField>
    <cacheField name="Line" numFmtId="0">
      <sharedItems containsBlank="1" count="8">
        <s v="Enrobing-Alpha"/>
        <s v="Enrobing-Bravo"/>
        <s v="Enrobing-Charlie"/>
        <s v="Enrobing-Delta"/>
        <s v="Enrobing-Echo"/>
        <s v="All other packaging"/>
        <s v="R&amp;D"/>
        <m/>
      </sharedItems>
    </cacheField>
    <cacheField name="Formula" numFmtId="0">
      <sharedItems containsBlank="1" containsMixedTypes="1" containsNumber="1" containsInteger="1" minValue="8000022" maxValue="8000413" count="15">
        <n v="8000038"/>
        <n v="8000035"/>
        <n v="8000039"/>
        <n v="8000034"/>
        <n v="8000055"/>
        <m/>
        <n v="8000046"/>
        <n v="8000022"/>
        <n v="8000031"/>
        <n v="8000040"/>
        <n v="8000054"/>
        <s v="R&amp;D trial"/>
        <n v="8000402"/>
        <n v="8000413"/>
        <n v="8000048"/>
      </sharedItems>
    </cacheField>
    <cacheField name="Formula Description" numFmtId="0">
      <sharedItems containsBlank="1" count="16">
        <s v="TURTLES MILK CHOC PEC BITE SZ"/>
        <s v="TURTLES MILK CHOC ORIGINAL"/>
        <s v="TURTLES MILK CHOC ORIG MINI"/>
        <s v="KS MILK CHOC MACADAMIA"/>
        <s v="916.BF FLIPZ 25 LB BULK MILK CHOC"/>
        <s v="N/A"/>
        <s v="TURTLES MC SEA SALT PECAN"/>
        <s v="WIP.BCP FLIPZ BIRTHDAY CAKE PRETZEL"/>
        <s v="WIP.DCP FLIPZ  DARK CHOC PRETZEL"/>
        <s v="WIP.MSM FLIPZ MILK CHOC SUPER MINI"/>
        <s v="901 FLIPZ 25 LB BULK FAT FREE MINI"/>
        <s v="R&amp;D Trial"/>
        <s v="WIP.DALM.BITE"/>
        <m/>
        <s v="WIP.DALM"/>
        <s v="WF Coated Pretzels"/>
      </sharedItems>
    </cacheField>
    <cacheField name="$/LB" numFmtId="44">
      <sharedItems containsString="0" containsBlank="1" containsNumber="1" minValue="0" maxValue="3.8943099999999999"/>
    </cacheField>
    <cacheField name="Total Enrobed LB" numFmtId="37">
      <sharedItems containsString="0" containsBlank="1" containsNumber="1" minValue="0" maxValue="25535"/>
    </cacheField>
    <cacheField name="Enrobed LB" numFmtId="37">
      <sharedItems containsString="0" containsBlank="1" containsNumber="1" minValue="0" maxValue="24960"/>
    </cacheField>
    <cacheField name="Scrapped LB" numFmtId="37">
      <sharedItems containsString="0" containsBlank="1" containsNumber="1" minValue="0" maxValue="1901"/>
    </cacheField>
    <cacheField name="Scrap %" numFmtId="0">
      <sharedItems containsString="0" containsBlank="1" containsNumber="1" minValue="0" maxValue="1"/>
    </cacheField>
    <cacheField name="Scrap $" numFmtId="44">
      <sharedItems containsString="0" containsBlank="1" containsNumber="1" minValue="0" maxValue="3634.29378"/>
    </cacheField>
    <cacheField name="Commentary" numFmtId="0">
      <sharedItems containsBlank="1"/>
    </cacheField>
    <cacheField name="Scrap " numFmtId="0" formula="IFERROR(('Scrapped LB'/'Total Enrobed LB'),100%)" databaseField="0"/>
    <cacheField name="Scrap January ONLY" numFmtId="0" formula="IFERROR(('Scrapped LB'/'Enrobed LB'),10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6">
  <r>
    <x v="0"/>
    <x v="0"/>
    <x v="0"/>
    <x v="0"/>
    <x v="0"/>
    <x v="0"/>
    <x v="0"/>
    <n v="1.9453399999999998"/>
    <n v="2839.2"/>
    <n v="2839.2"/>
    <n v="689"/>
    <n v="0.2426739926739927"/>
    <n v="1340.33926"/>
    <s v="Tails on turtles and underweights from shift 3 startup"/>
  </r>
  <r>
    <x v="0"/>
    <x v="1"/>
    <x v="0"/>
    <x v="1"/>
    <x v="0"/>
    <x v="0"/>
    <x v="0"/>
    <n v="1.9453399999999998"/>
    <n v="5110.5600000000004"/>
    <n v="5110.5600000000004"/>
    <n v="408"/>
    <n v="7.9834695219310595E-2"/>
    <n v="793.69871999999998"/>
    <s v="Defects and crushed candy on Sig 1 and 2"/>
  </r>
  <r>
    <x v="0"/>
    <x v="2"/>
    <x v="0"/>
    <x v="2"/>
    <x v="0"/>
    <x v="1"/>
    <x v="1"/>
    <n v="1.89697"/>
    <n v="11302.4"/>
    <n v="11302.4"/>
    <n v="321"/>
    <n v="2.8401047565118912E-2"/>
    <n v="608.92737"/>
    <m/>
  </r>
  <r>
    <x v="0"/>
    <x v="3"/>
    <x v="0"/>
    <x v="3"/>
    <x v="0"/>
    <x v="1"/>
    <x v="1"/>
    <n v="1.89697"/>
    <n v="11302.4"/>
    <n v="11302.4"/>
    <n v="181"/>
    <n v="1.6014297848244621E-2"/>
    <n v="343.35156999999998"/>
    <m/>
  </r>
  <r>
    <x v="0"/>
    <x v="4"/>
    <x v="0"/>
    <x v="4"/>
    <x v="0"/>
    <x v="1"/>
    <x v="1"/>
    <n v="1.89697"/>
    <n v="9789.6"/>
    <n v="9789.6"/>
    <n v="274"/>
    <n v="2.7988886164909698E-2"/>
    <n v="519.76977999999997"/>
    <m/>
  </r>
  <r>
    <x v="0"/>
    <x v="5"/>
    <x v="0"/>
    <x v="5"/>
    <x v="0"/>
    <x v="1"/>
    <x v="1"/>
    <n v="1.89697"/>
    <n v="9789.6"/>
    <n v="9789.6"/>
    <n v="211"/>
    <n v="2.1553485331372066E-2"/>
    <n v="400.26067"/>
    <m/>
  </r>
  <r>
    <x v="0"/>
    <x v="6"/>
    <x v="0"/>
    <x v="6"/>
    <x v="0"/>
    <x v="1"/>
    <x v="1"/>
    <n v="1.89697"/>
    <n v="10589.6"/>
    <n v="10589.6"/>
    <n v="350"/>
    <n v="3.3051295610787942E-2"/>
    <n v="663.93950000000007"/>
    <m/>
  </r>
  <r>
    <x v="0"/>
    <x v="7"/>
    <x v="0"/>
    <x v="7"/>
    <x v="0"/>
    <x v="1"/>
    <x v="1"/>
    <n v="1.89697"/>
    <n v="9266.4"/>
    <n v="9266.4"/>
    <n v="265"/>
    <n v="2.8597945264611933E-2"/>
    <n v="502.69704999999999"/>
    <m/>
  </r>
  <r>
    <x v="0"/>
    <x v="8"/>
    <x v="0"/>
    <x v="8"/>
    <x v="0"/>
    <x v="1"/>
    <x v="1"/>
    <n v="1.89697"/>
    <n v="6415.2"/>
    <n v="6415.2"/>
    <n v="413"/>
    <n v="6.437835141538846E-2"/>
    <n v="783.44861000000003"/>
    <s v="Defects - melting caramel and getting long and odd shaped candy"/>
  </r>
  <r>
    <x v="0"/>
    <x v="9"/>
    <x v="0"/>
    <x v="9"/>
    <x v="0"/>
    <x v="1"/>
    <x v="1"/>
    <n v="1.89697"/>
    <n v="7128"/>
    <n v="7128"/>
    <n v="434"/>
    <n v="6.0886644219977554E-2"/>
    <n v="823.28498000000002"/>
    <s v="Defects and nut debris"/>
  </r>
  <r>
    <x v="0"/>
    <x v="10"/>
    <x v="0"/>
    <x v="10"/>
    <x v="0"/>
    <x v="1"/>
    <x v="1"/>
    <n v="1.89697"/>
    <n v="6415.2"/>
    <n v="6415.2"/>
    <n v="501"/>
    <n v="7.809577254021699E-2"/>
    <n v="950.38197000000002"/>
    <m/>
  </r>
  <r>
    <x v="0"/>
    <x v="11"/>
    <x v="0"/>
    <x v="11"/>
    <x v="0"/>
    <x v="1"/>
    <x v="1"/>
    <n v="1.89697"/>
    <n v="1425.6"/>
    <n v="1425.6"/>
    <n v="358"/>
    <n v="0.25112233445566778"/>
    <n v="679.11526000000003"/>
    <m/>
  </r>
  <r>
    <x v="0"/>
    <x v="12"/>
    <x v="0"/>
    <x v="12"/>
    <x v="0"/>
    <x v="0"/>
    <x v="0"/>
    <n v="1.9453399999999998"/>
    <n v="6246.24"/>
    <n v="6246.24"/>
    <n v="498"/>
    <n v="7.9727964343348959E-2"/>
    <n v="968.77931999999987"/>
    <m/>
  </r>
  <r>
    <x v="0"/>
    <x v="13"/>
    <x v="0"/>
    <x v="13"/>
    <x v="0"/>
    <x v="0"/>
    <x v="0"/>
    <n v="1.9453399999999998"/>
    <n v="730.11"/>
    <n v="730.11"/>
    <n v="171"/>
    <n v="0.23421128323129392"/>
    <n v="332.65313999999995"/>
    <m/>
  </r>
  <r>
    <x v="0"/>
    <x v="14"/>
    <x v="0"/>
    <x v="14"/>
    <x v="0"/>
    <x v="0"/>
    <x v="0"/>
    <n v="1.9453399999999998"/>
    <n v="1703.52"/>
    <n v="1703.52"/>
    <n v="120"/>
    <n v="7.0442378134685832E-2"/>
    <n v="233.44079999999997"/>
    <m/>
  </r>
  <r>
    <x v="0"/>
    <x v="15"/>
    <x v="0"/>
    <x v="15"/>
    <x v="0"/>
    <x v="0"/>
    <x v="0"/>
    <n v="1.9453399999999998"/>
    <n v="5040"/>
    <n v="5040"/>
    <n v="67"/>
    <n v="1.3293650793650793E-2"/>
    <n v="130.33777999999998"/>
    <m/>
  </r>
  <r>
    <x v="0"/>
    <x v="16"/>
    <x v="0"/>
    <x v="16"/>
    <x v="0"/>
    <x v="0"/>
    <x v="0"/>
    <n v="1.9453399999999998"/>
    <n v="7200"/>
    <n v="7200"/>
    <n v="257"/>
    <n v="3.5694444444444445E-2"/>
    <n v="499.95237999999995"/>
    <m/>
  </r>
  <r>
    <x v="0"/>
    <x v="17"/>
    <x v="0"/>
    <x v="17"/>
    <x v="0"/>
    <x v="0"/>
    <x v="0"/>
    <n v="1.9453399999999998"/>
    <n v="6480"/>
    <n v="6480"/>
    <n v="303"/>
    <n v="4.6759259259259257E-2"/>
    <n v="589.43801999999994"/>
    <m/>
  </r>
  <r>
    <x v="0"/>
    <x v="18"/>
    <x v="0"/>
    <x v="18"/>
    <x v="0"/>
    <x v="0"/>
    <x v="0"/>
    <n v="1.9453399999999998"/>
    <n v="7200"/>
    <n v="7200"/>
    <n v="215"/>
    <n v="2.9861111111111113E-2"/>
    <n v="418.24809999999997"/>
    <m/>
  </r>
  <r>
    <x v="0"/>
    <x v="9"/>
    <x v="0"/>
    <x v="9"/>
    <x v="1"/>
    <x v="2"/>
    <x v="2"/>
    <n v="2.0602900000000002"/>
    <n v="4800"/>
    <n v="4800"/>
    <n v="0"/>
    <n v="0"/>
    <n v="0"/>
    <m/>
  </r>
  <r>
    <x v="0"/>
    <x v="10"/>
    <x v="0"/>
    <x v="10"/>
    <x v="1"/>
    <x v="2"/>
    <x v="2"/>
    <n v="2.0602900000000002"/>
    <n v="9600"/>
    <n v="9600"/>
    <n v="0"/>
    <n v="0"/>
    <n v="0"/>
    <m/>
  </r>
  <r>
    <x v="0"/>
    <x v="11"/>
    <x v="0"/>
    <x v="11"/>
    <x v="1"/>
    <x v="2"/>
    <x v="2"/>
    <n v="2.0602900000000002"/>
    <n v="8640"/>
    <n v="8640"/>
    <n v="37"/>
    <n v="4.2824074074074075E-3"/>
    <n v="76.230730000000008"/>
    <m/>
  </r>
  <r>
    <x v="0"/>
    <x v="12"/>
    <x v="0"/>
    <x v="12"/>
    <x v="1"/>
    <x v="2"/>
    <x v="2"/>
    <n v="2.0602900000000002"/>
    <n v="8640"/>
    <n v="8640"/>
    <n v="251"/>
    <n v="2.9050925925925924E-2"/>
    <n v="517.13279"/>
    <m/>
  </r>
  <r>
    <x v="0"/>
    <x v="13"/>
    <x v="0"/>
    <x v="13"/>
    <x v="1"/>
    <x v="2"/>
    <x v="2"/>
    <n v="2.0602900000000002"/>
    <n v="7680"/>
    <n v="7680"/>
    <n v="173"/>
    <n v="2.2526041666666666E-2"/>
    <n v="356.43017000000003"/>
    <m/>
  </r>
  <r>
    <x v="0"/>
    <x v="8"/>
    <x v="0"/>
    <x v="8"/>
    <x v="2"/>
    <x v="3"/>
    <x v="3"/>
    <n v="3.8560100000000004"/>
    <n v="6400"/>
    <n v="6400"/>
    <n v="68"/>
    <n v="1.0625000000000001E-2"/>
    <n v="262.20868000000002"/>
    <m/>
  </r>
  <r>
    <x v="0"/>
    <x v="9"/>
    <x v="0"/>
    <x v="9"/>
    <x v="2"/>
    <x v="3"/>
    <x v="3"/>
    <n v="3.8560100000000004"/>
    <n v="8000"/>
    <n v="8000"/>
    <n v="101"/>
    <n v="1.2625000000000001E-2"/>
    <n v="389.45701000000003"/>
    <m/>
  </r>
  <r>
    <x v="0"/>
    <x v="10"/>
    <x v="0"/>
    <x v="10"/>
    <x v="2"/>
    <x v="3"/>
    <x v="3"/>
    <n v="3.8560100000000004"/>
    <n v="8000"/>
    <n v="8000"/>
    <n v="66"/>
    <n v="8.2500000000000004E-3"/>
    <n v="254.49666000000002"/>
    <m/>
  </r>
  <r>
    <x v="0"/>
    <x v="12"/>
    <x v="0"/>
    <x v="12"/>
    <x v="2"/>
    <x v="3"/>
    <x v="3"/>
    <n v="3.8560100000000004"/>
    <n v="8000"/>
    <n v="8000"/>
    <n v="77"/>
    <n v="9.6249999999999999E-3"/>
    <n v="296.91277000000002"/>
    <m/>
  </r>
  <r>
    <x v="0"/>
    <x v="13"/>
    <x v="0"/>
    <x v="13"/>
    <x v="2"/>
    <x v="3"/>
    <x v="3"/>
    <n v="3.8560100000000004"/>
    <n v="5600"/>
    <n v="5600"/>
    <n v="274"/>
    <n v="4.8928571428571425E-2"/>
    <n v="1056.54674"/>
    <m/>
  </r>
  <r>
    <x v="0"/>
    <x v="14"/>
    <x v="0"/>
    <x v="14"/>
    <x v="2"/>
    <x v="3"/>
    <x v="3"/>
    <n v="3.8560100000000004"/>
    <n v="4800"/>
    <n v="4800"/>
    <n v="112"/>
    <n v="2.3333333333333334E-2"/>
    <n v="431.87312000000003"/>
    <m/>
  </r>
  <r>
    <x v="0"/>
    <x v="16"/>
    <x v="0"/>
    <x v="16"/>
    <x v="2"/>
    <x v="3"/>
    <x v="3"/>
    <n v="3.8560100000000004"/>
    <n v="3200"/>
    <n v="3200"/>
    <n v="67"/>
    <n v="2.0937500000000001E-2"/>
    <n v="258.35267000000005"/>
    <m/>
  </r>
  <r>
    <x v="0"/>
    <x v="17"/>
    <x v="0"/>
    <x v="17"/>
    <x v="2"/>
    <x v="3"/>
    <x v="3"/>
    <n v="3.8560100000000004"/>
    <n v="8000"/>
    <n v="8000"/>
    <n v="210"/>
    <n v="2.6249999999999999E-2"/>
    <n v="809.76210000000003"/>
    <m/>
  </r>
  <r>
    <x v="0"/>
    <x v="18"/>
    <x v="0"/>
    <x v="18"/>
    <x v="2"/>
    <x v="3"/>
    <x v="3"/>
    <n v="3.8560100000000004"/>
    <n v="8000"/>
    <n v="8000"/>
    <n v="272"/>
    <n v="3.4000000000000002E-2"/>
    <n v="1048.8347200000001"/>
    <s v="Nuts are very small and are falling from wire mesh belt as they approach enrober"/>
  </r>
  <r>
    <x v="0"/>
    <x v="19"/>
    <x v="0"/>
    <x v="19"/>
    <x v="2"/>
    <x v="3"/>
    <x v="3"/>
    <n v="3.8560100000000004"/>
    <n v="7200"/>
    <n v="7200"/>
    <n v="20"/>
    <n v="2.7777777777777779E-3"/>
    <n v="77.120200000000011"/>
    <m/>
  </r>
  <r>
    <x v="0"/>
    <x v="0"/>
    <x v="0"/>
    <x v="0"/>
    <x v="3"/>
    <x v="4"/>
    <x v="4"/>
    <n v="1.1520708"/>
    <n v="7000"/>
    <n v="7000"/>
    <n v="12"/>
    <n v="1.7142857142857142E-3"/>
    <n v="13.8248496"/>
    <m/>
  </r>
  <r>
    <x v="0"/>
    <x v="1"/>
    <x v="0"/>
    <x v="1"/>
    <x v="3"/>
    <x v="4"/>
    <x v="4"/>
    <n v="1.1520708"/>
    <n v="5000"/>
    <n v="5000"/>
    <n v="2"/>
    <n v="4.0000000000000002E-4"/>
    <n v="2.3041415999999999"/>
    <m/>
  </r>
  <r>
    <x v="0"/>
    <x v="20"/>
    <x v="0"/>
    <x v="20"/>
    <x v="3"/>
    <x v="4"/>
    <x v="4"/>
    <n v="1.1520708"/>
    <n v="10000"/>
    <n v="10000"/>
    <n v="23"/>
    <n v="2.3E-3"/>
    <n v="26.4976284"/>
    <m/>
  </r>
  <r>
    <x v="0"/>
    <x v="21"/>
    <x v="0"/>
    <x v="21"/>
    <x v="3"/>
    <x v="4"/>
    <x v="4"/>
    <n v="1.1520708"/>
    <n v="9000"/>
    <n v="9000"/>
    <n v="14"/>
    <n v="1.5555555555555555E-3"/>
    <n v="16.128991199999998"/>
    <m/>
  </r>
  <r>
    <x v="0"/>
    <x v="2"/>
    <x v="0"/>
    <x v="2"/>
    <x v="3"/>
    <x v="4"/>
    <x v="4"/>
    <n v="1.1520708"/>
    <n v="10000"/>
    <n v="10000"/>
    <n v="0"/>
    <n v="0"/>
    <n v="0"/>
    <m/>
  </r>
  <r>
    <x v="0"/>
    <x v="3"/>
    <x v="0"/>
    <x v="3"/>
    <x v="3"/>
    <x v="4"/>
    <x v="4"/>
    <n v="1.1520708"/>
    <n v="9000"/>
    <n v="9000"/>
    <n v="9"/>
    <n v="1E-3"/>
    <n v="10.3686372"/>
    <m/>
  </r>
  <r>
    <x v="0"/>
    <x v="4"/>
    <x v="0"/>
    <x v="4"/>
    <x v="3"/>
    <x v="4"/>
    <x v="4"/>
    <n v="1.1520708"/>
    <n v="2000"/>
    <n v="2000"/>
    <n v="138"/>
    <n v="6.9000000000000006E-2"/>
    <n v="158.98577040000001"/>
    <m/>
  </r>
  <r>
    <x v="0"/>
    <x v="5"/>
    <x v="0"/>
    <x v="5"/>
    <x v="3"/>
    <x v="4"/>
    <x v="4"/>
    <n v="1.1520708"/>
    <n v="8000"/>
    <n v="8000"/>
    <n v="216"/>
    <n v="2.7E-2"/>
    <n v="248.84729279999999"/>
    <m/>
  </r>
  <r>
    <x v="0"/>
    <x v="6"/>
    <x v="0"/>
    <x v="6"/>
    <x v="3"/>
    <x v="4"/>
    <x v="4"/>
    <n v="1.1520708"/>
    <n v="9000"/>
    <n v="9000"/>
    <n v="42"/>
    <n v="4.6666666666666671E-3"/>
    <n v="48.386973599999997"/>
    <m/>
  </r>
  <r>
    <x v="0"/>
    <x v="22"/>
    <x v="0"/>
    <x v="22"/>
    <x v="3"/>
    <x v="4"/>
    <x v="4"/>
    <n v="1.1520708"/>
    <n v="9000"/>
    <n v="9000"/>
    <n v="20"/>
    <n v="2.2222222222222222E-3"/>
    <n v="23.041415999999998"/>
    <m/>
  </r>
  <r>
    <x v="0"/>
    <x v="23"/>
    <x v="0"/>
    <x v="23"/>
    <x v="3"/>
    <x v="4"/>
    <x v="4"/>
    <n v="1.1520708"/>
    <n v="10000"/>
    <n v="10000"/>
    <n v="0"/>
    <n v="0"/>
    <n v="0"/>
    <m/>
  </r>
  <r>
    <x v="0"/>
    <x v="7"/>
    <x v="0"/>
    <x v="7"/>
    <x v="3"/>
    <x v="4"/>
    <x v="4"/>
    <n v="1.1520708"/>
    <n v="5000"/>
    <n v="5000"/>
    <n v="129"/>
    <n v="2.58E-2"/>
    <n v="148.61713319999998"/>
    <m/>
  </r>
  <r>
    <x v="0"/>
    <x v="8"/>
    <x v="0"/>
    <x v="8"/>
    <x v="3"/>
    <x v="4"/>
    <x v="4"/>
    <n v="1.1520708"/>
    <n v="4000"/>
    <n v="4000"/>
    <n v="72"/>
    <n v="1.7999999999999999E-2"/>
    <n v="82.949097600000002"/>
    <m/>
  </r>
  <r>
    <x v="0"/>
    <x v="9"/>
    <x v="0"/>
    <x v="9"/>
    <x v="3"/>
    <x v="4"/>
    <x v="4"/>
    <n v="1.1520708"/>
    <n v="7000"/>
    <n v="7000"/>
    <n v="37"/>
    <n v="5.2857142857142859E-3"/>
    <n v="42.626619599999998"/>
    <m/>
  </r>
  <r>
    <x v="0"/>
    <x v="10"/>
    <x v="0"/>
    <x v="10"/>
    <x v="3"/>
    <x v="4"/>
    <x v="4"/>
    <n v="1.1520708"/>
    <n v="9000"/>
    <n v="9000"/>
    <n v="27"/>
    <n v="3.0000000000000001E-3"/>
    <n v="31.105911599999999"/>
    <m/>
  </r>
  <r>
    <x v="0"/>
    <x v="11"/>
    <x v="0"/>
    <x v="11"/>
    <x v="3"/>
    <x v="4"/>
    <x v="4"/>
    <n v="1.1520708"/>
    <n v="5000"/>
    <n v="5000"/>
    <n v="3"/>
    <n v="5.9999999999999995E-4"/>
    <n v="3.4562124000000001"/>
    <m/>
  </r>
  <r>
    <x v="0"/>
    <x v="24"/>
    <x v="0"/>
    <x v="24"/>
    <x v="3"/>
    <x v="4"/>
    <x v="4"/>
    <n v="1.1520708"/>
    <n v="10000"/>
    <n v="10000"/>
    <n v="31"/>
    <n v="3.0999999999999999E-3"/>
    <n v="35.714194800000001"/>
    <m/>
  </r>
  <r>
    <x v="0"/>
    <x v="25"/>
    <x v="0"/>
    <x v="25"/>
    <x v="3"/>
    <x v="4"/>
    <x v="4"/>
    <n v="1.1520708"/>
    <n v="8000"/>
    <n v="8000"/>
    <n v="18"/>
    <n v="2.2499999999999998E-3"/>
    <n v="20.7372744"/>
    <m/>
  </r>
  <r>
    <x v="0"/>
    <x v="12"/>
    <x v="0"/>
    <x v="12"/>
    <x v="3"/>
    <x v="4"/>
    <x v="4"/>
    <n v="1.1520708"/>
    <n v="8000"/>
    <n v="8000"/>
    <n v="7"/>
    <n v="8.7500000000000002E-4"/>
    <n v="8.064495599999999"/>
    <m/>
  </r>
  <r>
    <x v="0"/>
    <x v="13"/>
    <x v="0"/>
    <x v="13"/>
    <x v="3"/>
    <x v="4"/>
    <x v="4"/>
    <n v="1.1520708"/>
    <n v="8000"/>
    <n v="8000"/>
    <n v="17"/>
    <n v="2.1250000000000002E-3"/>
    <n v="19.5852036"/>
    <m/>
  </r>
  <r>
    <x v="0"/>
    <x v="14"/>
    <x v="0"/>
    <x v="14"/>
    <x v="3"/>
    <x v="4"/>
    <x v="4"/>
    <n v="1.1520708"/>
    <n v="9000"/>
    <n v="9000"/>
    <n v="22"/>
    <n v="2.4444444444444444E-3"/>
    <n v="25.345557599999999"/>
    <m/>
  </r>
  <r>
    <x v="0"/>
    <x v="26"/>
    <x v="0"/>
    <x v="26"/>
    <x v="3"/>
    <x v="4"/>
    <x v="4"/>
    <n v="1.1520708"/>
    <n v="8000"/>
    <n v="8000"/>
    <n v="81"/>
    <n v="1.0125E-2"/>
    <n v="93.317734799999997"/>
    <m/>
  </r>
  <r>
    <x v="0"/>
    <x v="27"/>
    <x v="0"/>
    <x v="27"/>
    <x v="3"/>
    <x v="4"/>
    <x v="4"/>
    <n v="1.1520708"/>
    <n v="4000"/>
    <n v="4000"/>
    <n v="1"/>
    <n v="2.5000000000000001E-4"/>
    <n v="1.1520708"/>
    <m/>
  </r>
  <r>
    <x v="0"/>
    <x v="15"/>
    <x v="0"/>
    <x v="15"/>
    <x v="3"/>
    <x v="4"/>
    <x v="4"/>
    <n v="1.1520708"/>
    <n v="8000"/>
    <n v="8000"/>
    <n v="21"/>
    <n v="2.6250000000000002E-3"/>
    <n v="24.193486799999999"/>
    <m/>
  </r>
  <r>
    <x v="0"/>
    <x v="16"/>
    <x v="0"/>
    <x v="16"/>
    <x v="3"/>
    <x v="4"/>
    <x v="4"/>
    <n v="1.1520708"/>
    <n v="4000"/>
    <n v="4000"/>
    <n v="30"/>
    <n v="7.4999999999999997E-3"/>
    <n v="34.562123999999997"/>
    <m/>
  </r>
  <r>
    <x v="0"/>
    <x v="17"/>
    <x v="0"/>
    <x v="17"/>
    <x v="3"/>
    <x v="4"/>
    <x v="4"/>
    <n v="1.1520708"/>
    <n v="10000"/>
    <n v="10000"/>
    <n v="8"/>
    <n v="8.0000000000000004E-4"/>
    <n v="9.2165663999999996"/>
    <m/>
  </r>
  <r>
    <x v="0"/>
    <x v="18"/>
    <x v="0"/>
    <x v="18"/>
    <x v="3"/>
    <x v="4"/>
    <x v="4"/>
    <n v="1.1520708"/>
    <n v="9000"/>
    <n v="9000"/>
    <n v="12"/>
    <n v="1.3333333333333333E-3"/>
    <n v="13.8248496"/>
    <m/>
  </r>
  <r>
    <x v="0"/>
    <x v="0"/>
    <x v="0"/>
    <x v="0"/>
    <x v="4"/>
    <x v="4"/>
    <x v="4"/>
    <n v="1.1520708"/>
    <n v="575"/>
    <n v="575"/>
    <n v="8"/>
    <n v="1.391304347826087E-2"/>
    <n v="9.2165663999999996"/>
    <m/>
  </r>
  <r>
    <x v="0"/>
    <x v="1"/>
    <x v="0"/>
    <x v="1"/>
    <x v="4"/>
    <x v="4"/>
    <x v="4"/>
    <n v="1.1520708"/>
    <n v="3000"/>
    <n v="3000"/>
    <n v="0"/>
    <n v="0"/>
    <n v="0"/>
    <m/>
  </r>
  <r>
    <x v="0"/>
    <x v="2"/>
    <x v="0"/>
    <x v="2"/>
    <x v="4"/>
    <x v="4"/>
    <x v="4"/>
    <n v="1.1520708"/>
    <n v="3000"/>
    <n v="3000"/>
    <n v="119"/>
    <n v="3.966666666666667E-2"/>
    <n v="137.0964252"/>
    <m/>
  </r>
  <r>
    <x v="0"/>
    <x v="3"/>
    <x v="0"/>
    <x v="3"/>
    <x v="4"/>
    <x v="4"/>
    <x v="4"/>
    <n v="1.1520708"/>
    <n v="2000"/>
    <n v="2000"/>
    <n v="25"/>
    <n v="1.2500000000000001E-2"/>
    <n v="28.801769999999998"/>
    <m/>
  </r>
  <r>
    <x v="0"/>
    <x v="4"/>
    <x v="0"/>
    <x v="4"/>
    <x v="4"/>
    <x v="4"/>
    <x v="4"/>
    <n v="1.1520708"/>
    <n v="2000"/>
    <n v="2000"/>
    <n v="5"/>
    <n v="2.5000000000000001E-3"/>
    <n v="5.7603539999999995"/>
    <m/>
  </r>
  <r>
    <x v="0"/>
    <x v="5"/>
    <x v="0"/>
    <x v="5"/>
    <x v="4"/>
    <x v="4"/>
    <x v="4"/>
    <n v="1.1520708"/>
    <n v="2000"/>
    <n v="2000"/>
    <n v="15"/>
    <n v="7.4999999999999997E-3"/>
    <n v="17.281061999999999"/>
    <m/>
  </r>
  <r>
    <x v="0"/>
    <x v="6"/>
    <x v="0"/>
    <x v="6"/>
    <x v="4"/>
    <x v="4"/>
    <x v="4"/>
    <n v="1.1520708"/>
    <n v="1000"/>
    <n v="1000"/>
    <n v="15"/>
    <n v="1.4999999999999999E-2"/>
    <n v="17.281061999999999"/>
    <m/>
  </r>
  <r>
    <x v="0"/>
    <x v="7"/>
    <x v="0"/>
    <x v="7"/>
    <x v="4"/>
    <x v="4"/>
    <x v="4"/>
    <n v="1.1520708"/>
    <n v="2000"/>
    <n v="2000"/>
    <n v="0"/>
    <n v="0"/>
    <n v="0"/>
    <m/>
  </r>
  <r>
    <x v="0"/>
    <x v="8"/>
    <x v="0"/>
    <x v="8"/>
    <x v="4"/>
    <x v="4"/>
    <x v="4"/>
    <n v="1.1520708"/>
    <n v="0"/>
    <n v="0"/>
    <n v="110"/>
    <n v="1"/>
    <n v="126.72778799999999"/>
    <m/>
  </r>
  <r>
    <x v="0"/>
    <x v="9"/>
    <x v="0"/>
    <x v="9"/>
    <x v="4"/>
    <x v="4"/>
    <x v="4"/>
    <n v="1.1520708"/>
    <n v="2000"/>
    <n v="2000"/>
    <n v="7"/>
    <n v="3.5000000000000001E-3"/>
    <n v="8.064495599999999"/>
    <m/>
  </r>
  <r>
    <x v="0"/>
    <x v="11"/>
    <x v="0"/>
    <x v="11"/>
    <x v="4"/>
    <x v="4"/>
    <x v="4"/>
    <n v="1.1520708"/>
    <n v="1000"/>
    <n v="1000"/>
    <n v="7"/>
    <n v="7.0000000000000001E-3"/>
    <n v="8.064495599999999"/>
    <m/>
  </r>
  <r>
    <x v="0"/>
    <x v="12"/>
    <x v="0"/>
    <x v="12"/>
    <x v="4"/>
    <x v="4"/>
    <x v="4"/>
    <n v="1.1520708"/>
    <n v="2000"/>
    <n v="2000"/>
    <n v="75"/>
    <n v="3.7499999999999999E-2"/>
    <n v="86.40531"/>
    <m/>
  </r>
  <r>
    <x v="0"/>
    <x v="13"/>
    <x v="0"/>
    <x v="13"/>
    <x v="4"/>
    <x v="4"/>
    <x v="4"/>
    <n v="1.1520708"/>
    <n v="1000"/>
    <n v="1000"/>
    <n v="14"/>
    <n v="1.4E-2"/>
    <n v="16.128991199999998"/>
    <m/>
  </r>
  <r>
    <x v="0"/>
    <x v="15"/>
    <x v="0"/>
    <x v="15"/>
    <x v="4"/>
    <x v="4"/>
    <x v="4"/>
    <n v="1.1520708"/>
    <n v="1000"/>
    <n v="1000"/>
    <n v="4"/>
    <n v="4.0000000000000001E-3"/>
    <n v="4.6082831999999998"/>
    <m/>
  </r>
  <r>
    <x v="0"/>
    <x v="16"/>
    <x v="0"/>
    <x v="16"/>
    <x v="4"/>
    <x v="4"/>
    <x v="4"/>
    <n v="1.1520708"/>
    <n v="0"/>
    <n v="0"/>
    <n v="5"/>
    <n v="1"/>
    <n v="5.7603539999999995"/>
    <m/>
  </r>
  <r>
    <x v="0"/>
    <x v="17"/>
    <x v="0"/>
    <x v="17"/>
    <x v="4"/>
    <x v="4"/>
    <x v="4"/>
    <n v="1.1520708"/>
    <n v="1000"/>
    <n v="1000"/>
    <n v="9"/>
    <n v="8.9999999999999993E-3"/>
    <n v="10.3686372"/>
    <m/>
  </r>
  <r>
    <x v="0"/>
    <x v="18"/>
    <x v="0"/>
    <x v="18"/>
    <x v="4"/>
    <x v="4"/>
    <x v="4"/>
    <n v="1.1520708"/>
    <n v="2000"/>
    <n v="2000"/>
    <n v="22"/>
    <n v="1.0999999999999999E-2"/>
    <n v="25.345557599999999"/>
    <m/>
  </r>
  <r>
    <x v="0"/>
    <x v="2"/>
    <x v="0"/>
    <x v="2"/>
    <x v="5"/>
    <x v="5"/>
    <x v="5"/>
    <n v="0"/>
    <n v="0"/>
    <n v="0"/>
    <n v="20"/>
    <n v="1"/>
    <n v="0"/>
    <m/>
  </r>
  <r>
    <x v="0"/>
    <x v="6"/>
    <x v="0"/>
    <x v="6"/>
    <x v="5"/>
    <x v="5"/>
    <x v="5"/>
    <n v="0"/>
    <n v="0"/>
    <n v="0"/>
    <n v="5"/>
    <n v="1"/>
    <n v="0"/>
    <m/>
  </r>
  <r>
    <x v="0"/>
    <x v="7"/>
    <x v="0"/>
    <x v="7"/>
    <x v="5"/>
    <x v="5"/>
    <x v="5"/>
    <n v="0"/>
    <n v="0"/>
    <n v="0"/>
    <n v="31"/>
    <n v="1"/>
    <n v="0"/>
    <m/>
  </r>
  <r>
    <x v="0"/>
    <x v="8"/>
    <x v="0"/>
    <x v="8"/>
    <x v="5"/>
    <x v="5"/>
    <x v="5"/>
    <n v="0"/>
    <n v="0"/>
    <n v="0"/>
    <n v="102"/>
    <n v="1"/>
    <n v="0"/>
    <m/>
  </r>
  <r>
    <x v="0"/>
    <x v="10"/>
    <x v="0"/>
    <x v="10"/>
    <x v="5"/>
    <x v="5"/>
    <x v="5"/>
    <n v="0"/>
    <n v="0"/>
    <n v="0"/>
    <n v="10"/>
    <n v="1"/>
    <n v="0"/>
    <m/>
  </r>
  <r>
    <x v="0"/>
    <x v="13"/>
    <x v="0"/>
    <x v="13"/>
    <x v="5"/>
    <x v="5"/>
    <x v="5"/>
    <n v="0"/>
    <n v="0"/>
    <n v="0"/>
    <n v="20"/>
    <n v="1"/>
    <n v="0"/>
    <m/>
  </r>
  <r>
    <x v="0"/>
    <x v="14"/>
    <x v="0"/>
    <x v="14"/>
    <x v="5"/>
    <x v="5"/>
    <x v="5"/>
    <n v="0"/>
    <n v="0"/>
    <n v="0"/>
    <n v="25"/>
    <n v="1"/>
    <n v="0"/>
    <m/>
  </r>
  <r>
    <x v="0"/>
    <x v="15"/>
    <x v="0"/>
    <x v="15"/>
    <x v="5"/>
    <x v="5"/>
    <x v="5"/>
    <n v="0"/>
    <n v="0"/>
    <n v="0"/>
    <n v="25"/>
    <n v="1"/>
    <n v="0"/>
    <m/>
  </r>
  <r>
    <x v="0"/>
    <x v="16"/>
    <x v="0"/>
    <x v="16"/>
    <x v="5"/>
    <x v="5"/>
    <x v="5"/>
    <n v="0"/>
    <n v="0"/>
    <n v="0"/>
    <n v="80"/>
    <n v="1"/>
    <n v="0"/>
    <m/>
  </r>
  <r>
    <x v="0"/>
    <x v="17"/>
    <x v="0"/>
    <x v="17"/>
    <x v="5"/>
    <x v="5"/>
    <x v="5"/>
    <n v="0"/>
    <n v="0"/>
    <n v="0"/>
    <n v="25"/>
    <n v="1"/>
    <n v="0"/>
    <m/>
  </r>
  <r>
    <x v="0"/>
    <x v="18"/>
    <x v="0"/>
    <x v="18"/>
    <x v="5"/>
    <x v="5"/>
    <x v="5"/>
    <n v="0"/>
    <n v="0"/>
    <n v="0"/>
    <n v="25"/>
    <n v="1"/>
    <n v="0"/>
    <m/>
  </r>
  <r>
    <x v="1"/>
    <x v="28"/>
    <x v="0"/>
    <x v="28"/>
    <x v="0"/>
    <x v="1"/>
    <x v="1"/>
    <n v="1.91178"/>
    <n v="3566"/>
    <n v="3281"/>
    <n v="285"/>
    <n v="8.686376104846083E-2"/>
    <n v="544.85730000000001"/>
    <m/>
  </r>
  <r>
    <x v="1"/>
    <x v="29"/>
    <x v="0"/>
    <x v="29"/>
    <x v="0"/>
    <x v="1"/>
    <x v="1"/>
    <n v="1.91178"/>
    <n v="831"/>
    <n v="817"/>
    <n v="14"/>
    <n v="1.7135862913096694E-2"/>
    <n v="26.76492"/>
    <m/>
  </r>
  <r>
    <x v="1"/>
    <x v="30"/>
    <x v="0"/>
    <x v="30"/>
    <x v="0"/>
    <x v="1"/>
    <x v="1"/>
    <n v="1.91178"/>
    <n v="12122"/>
    <n v="11910"/>
    <n v="212"/>
    <n v="1.7800167926112512E-2"/>
    <n v="405.29736000000003"/>
    <m/>
  </r>
  <r>
    <x v="1"/>
    <x v="31"/>
    <x v="0"/>
    <x v="31"/>
    <x v="0"/>
    <x v="1"/>
    <x v="1"/>
    <n v="1.91178"/>
    <n v="5188"/>
    <n v="5065"/>
    <n v="123"/>
    <n v="2.428430404738401E-2"/>
    <n v="235.14894000000001"/>
    <m/>
  </r>
  <r>
    <x v="1"/>
    <x v="32"/>
    <x v="0"/>
    <x v="32"/>
    <x v="0"/>
    <x v="1"/>
    <x v="1"/>
    <n v="1.91178"/>
    <n v="7429"/>
    <n v="7128"/>
    <n v="301"/>
    <n v="4.2227833894500563E-2"/>
    <n v="575.44578000000001"/>
    <m/>
  </r>
  <r>
    <x v="1"/>
    <x v="33"/>
    <x v="0"/>
    <x v="33"/>
    <x v="0"/>
    <x v="6"/>
    <x v="6"/>
    <n v="1.9184100000000002"/>
    <n v="5919"/>
    <n v="5702"/>
    <n v="217"/>
    <n v="3.8056822167660473E-2"/>
    <n v="416.29497000000003"/>
    <m/>
  </r>
  <r>
    <x v="1"/>
    <x v="34"/>
    <x v="0"/>
    <x v="34"/>
    <x v="0"/>
    <x v="6"/>
    <x v="6"/>
    <n v="1.9184100000000002"/>
    <n v="7290"/>
    <n v="7128"/>
    <n v="162"/>
    <n v="2.2727272727272728E-2"/>
    <n v="310.78242"/>
    <m/>
  </r>
  <r>
    <x v="1"/>
    <x v="35"/>
    <x v="0"/>
    <x v="35"/>
    <x v="0"/>
    <x v="1"/>
    <x v="1"/>
    <n v="1.91178"/>
    <n v="2711"/>
    <n v="2644"/>
    <n v="67"/>
    <n v="2.5340393343419063E-2"/>
    <n v="128.08926"/>
    <m/>
  </r>
  <r>
    <x v="1"/>
    <x v="36"/>
    <x v="0"/>
    <x v="36"/>
    <x v="0"/>
    <x v="1"/>
    <x v="1"/>
    <n v="1.91178"/>
    <n v="5808"/>
    <n v="5647"/>
    <n v="161"/>
    <n v="2.8510713653267222E-2"/>
    <n v="307.79658000000001"/>
    <m/>
  </r>
  <r>
    <x v="1"/>
    <x v="37"/>
    <x v="0"/>
    <x v="37"/>
    <x v="0"/>
    <x v="1"/>
    <x v="1"/>
    <n v="1.91178"/>
    <n v="7472"/>
    <n v="7167"/>
    <n v="305"/>
    <n v="4.2556160178596342E-2"/>
    <n v="583.09289999999999"/>
    <m/>
  </r>
  <r>
    <x v="1"/>
    <x v="30"/>
    <x v="0"/>
    <x v="30"/>
    <x v="2"/>
    <x v="3"/>
    <x v="3"/>
    <n v="3.8943099999999999"/>
    <n v="8977"/>
    <n v="8800"/>
    <n v="177"/>
    <n v="2.0113636363636365E-2"/>
    <n v="689.29286999999999"/>
    <m/>
  </r>
  <r>
    <x v="1"/>
    <x v="31"/>
    <x v="0"/>
    <x v="31"/>
    <x v="2"/>
    <x v="3"/>
    <x v="3"/>
    <n v="3.8943099999999999"/>
    <n v="8176"/>
    <n v="8000"/>
    <n v="176"/>
    <n v="2.1999999999999999E-2"/>
    <n v="685.39855999999997"/>
    <m/>
  </r>
  <r>
    <x v="1"/>
    <x v="32"/>
    <x v="0"/>
    <x v="32"/>
    <x v="2"/>
    <x v="3"/>
    <x v="3"/>
    <n v="3.8943099999999999"/>
    <n v="3345"/>
    <n v="3200"/>
    <n v="145"/>
    <n v="4.5312499999999999E-2"/>
    <n v="564.67494999999997"/>
    <m/>
  </r>
  <r>
    <x v="1"/>
    <x v="34"/>
    <x v="0"/>
    <x v="34"/>
    <x v="2"/>
    <x v="3"/>
    <x v="3"/>
    <n v="3.8943099999999999"/>
    <n v="8073"/>
    <n v="8000"/>
    <n v="73"/>
    <n v="9.1249999999999994E-3"/>
    <n v="284.28462999999999"/>
    <m/>
  </r>
  <r>
    <x v="1"/>
    <x v="35"/>
    <x v="0"/>
    <x v="35"/>
    <x v="2"/>
    <x v="3"/>
    <x v="3"/>
    <n v="3.8943099999999999"/>
    <n v="8932"/>
    <n v="8800"/>
    <n v="132"/>
    <n v="1.4999999999999999E-2"/>
    <n v="514.04891999999995"/>
    <m/>
  </r>
  <r>
    <x v="1"/>
    <x v="38"/>
    <x v="0"/>
    <x v="38"/>
    <x v="3"/>
    <x v="7"/>
    <x v="7"/>
    <n v="1.5820799999999999"/>
    <n v="700"/>
    <n v="625"/>
    <n v="75"/>
    <n v="0.12"/>
    <n v="118.65599999999999"/>
    <m/>
  </r>
  <r>
    <x v="1"/>
    <x v="39"/>
    <x v="0"/>
    <x v="39"/>
    <x v="3"/>
    <x v="7"/>
    <x v="7"/>
    <n v="1.5820799999999999"/>
    <n v="10010"/>
    <n v="10000"/>
    <n v="10"/>
    <n v="1E-3"/>
    <n v="15.820799999999998"/>
    <m/>
  </r>
  <r>
    <x v="1"/>
    <x v="28"/>
    <x v="0"/>
    <x v="28"/>
    <x v="3"/>
    <x v="7"/>
    <x v="7"/>
    <n v="1.5820799999999999"/>
    <n v="10000"/>
    <n v="10000"/>
    <n v="0"/>
    <n v="0"/>
    <n v="0"/>
    <m/>
  </r>
  <r>
    <x v="1"/>
    <x v="30"/>
    <x v="0"/>
    <x v="30"/>
    <x v="3"/>
    <x v="4"/>
    <x v="4"/>
    <n v="1.9508160000000001"/>
    <n v="4090"/>
    <n v="4000"/>
    <n v="90"/>
    <n v="2.2499999999999999E-2"/>
    <n v="175.57344000000001"/>
    <m/>
  </r>
  <r>
    <x v="1"/>
    <x v="31"/>
    <x v="0"/>
    <x v="31"/>
    <x v="3"/>
    <x v="4"/>
    <x v="4"/>
    <n v="1.9508160000000001"/>
    <n v="10007"/>
    <n v="10000"/>
    <n v="7"/>
    <n v="6.9999999999999999E-4"/>
    <n v="13.655712000000001"/>
    <m/>
  </r>
  <r>
    <x v="1"/>
    <x v="40"/>
    <x v="0"/>
    <x v="40"/>
    <x v="3"/>
    <x v="4"/>
    <x v="4"/>
    <n v="1.9508160000000001"/>
    <n v="10004"/>
    <n v="10000"/>
    <n v="4"/>
    <n v="4.0000000000000002E-4"/>
    <n v="7.8032640000000004"/>
    <m/>
  </r>
  <r>
    <x v="1"/>
    <x v="41"/>
    <x v="0"/>
    <x v="41"/>
    <x v="3"/>
    <x v="4"/>
    <x v="4"/>
    <n v="1.9508160000000001"/>
    <n v="8008"/>
    <n v="8000"/>
    <n v="8"/>
    <n v="1E-3"/>
    <n v="15.606528000000001"/>
    <m/>
  </r>
  <r>
    <x v="1"/>
    <x v="33"/>
    <x v="0"/>
    <x v="33"/>
    <x v="3"/>
    <x v="4"/>
    <x v="4"/>
    <n v="1.9508160000000001"/>
    <n v="8003"/>
    <n v="8000"/>
    <n v="3"/>
    <n v="3.7500000000000001E-4"/>
    <n v="5.8524480000000008"/>
    <m/>
  </r>
  <r>
    <x v="1"/>
    <x v="34"/>
    <x v="0"/>
    <x v="34"/>
    <x v="3"/>
    <x v="4"/>
    <x v="4"/>
    <n v="1.9508160000000001"/>
    <n v="1002"/>
    <n v="1000"/>
    <n v="2"/>
    <n v="2E-3"/>
    <n v="3.9016320000000002"/>
    <m/>
  </r>
  <r>
    <x v="1"/>
    <x v="35"/>
    <x v="0"/>
    <x v="35"/>
    <x v="3"/>
    <x v="4"/>
    <x v="4"/>
    <n v="1.9508160000000001"/>
    <n v="6130"/>
    <n v="6000"/>
    <n v="130"/>
    <n v="2.1666666666666667E-2"/>
    <n v="253.60608000000002"/>
    <m/>
  </r>
  <r>
    <x v="1"/>
    <x v="36"/>
    <x v="0"/>
    <x v="36"/>
    <x v="3"/>
    <x v="4"/>
    <x v="4"/>
    <n v="1.9508160000000001"/>
    <n v="9000"/>
    <n v="9000"/>
    <n v="0"/>
    <n v="0"/>
    <n v="0"/>
    <m/>
  </r>
  <r>
    <x v="1"/>
    <x v="37"/>
    <x v="0"/>
    <x v="37"/>
    <x v="3"/>
    <x v="4"/>
    <x v="4"/>
    <n v="1.9508160000000001"/>
    <n v="7017"/>
    <n v="7000"/>
    <n v="17"/>
    <n v="2.4285714285714284E-3"/>
    <n v="33.163872000000005"/>
    <m/>
  </r>
  <r>
    <x v="1"/>
    <x v="42"/>
    <x v="0"/>
    <x v="42"/>
    <x v="3"/>
    <x v="4"/>
    <x v="4"/>
    <n v="1.9508160000000001"/>
    <n v="7032"/>
    <n v="7000"/>
    <n v="32"/>
    <n v="4.5714285714285718E-3"/>
    <n v="62.426112000000003"/>
    <m/>
  </r>
  <r>
    <x v="1"/>
    <x v="43"/>
    <x v="0"/>
    <x v="43"/>
    <x v="3"/>
    <x v="4"/>
    <x v="4"/>
    <n v="1.9508160000000001"/>
    <n v="10050"/>
    <n v="10000"/>
    <n v="50"/>
    <n v="5.0000000000000001E-3"/>
    <n v="97.540800000000004"/>
    <m/>
  </r>
  <r>
    <x v="1"/>
    <x v="29"/>
    <x v="0"/>
    <x v="29"/>
    <x v="5"/>
    <x v="5"/>
    <x v="5"/>
    <n v="0"/>
    <n v="1"/>
    <n v="0"/>
    <n v="1"/>
    <n v="1"/>
    <n v="0"/>
    <m/>
  </r>
  <r>
    <x v="1"/>
    <x v="34"/>
    <x v="0"/>
    <x v="34"/>
    <x v="5"/>
    <x v="5"/>
    <x v="5"/>
    <n v="0"/>
    <n v="3"/>
    <n v="0"/>
    <n v="3"/>
    <n v="1"/>
    <n v="0"/>
    <m/>
  </r>
  <r>
    <x v="1"/>
    <x v="37"/>
    <x v="0"/>
    <x v="37"/>
    <x v="5"/>
    <x v="5"/>
    <x v="5"/>
    <n v="0"/>
    <n v="20"/>
    <n v="0"/>
    <n v="20"/>
    <n v="1"/>
    <n v="0"/>
    <m/>
  </r>
  <r>
    <x v="1"/>
    <x v="42"/>
    <x v="0"/>
    <x v="42"/>
    <x v="5"/>
    <x v="5"/>
    <x v="5"/>
    <n v="0"/>
    <n v="35"/>
    <n v="0"/>
    <n v="35"/>
    <n v="1"/>
    <n v="0"/>
    <m/>
  </r>
  <r>
    <x v="1"/>
    <x v="44"/>
    <x v="0"/>
    <x v="44"/>
    <x v="5"/>
    <x v="5"/>
    <x v="5"/>
    <n v="0"/>
    <n v="5"/>
    <n v="0"/>
    <n v="5"/>
    <n v="1"/>
    <n v="0"/>
    <m/>
  </r>
  <r>
    <x v="1"/>
    <x v="45"/>
    <x v="0"/>
    <x v="45"/>
    <x v="0"/>
    <x v="1"/>
    <x v="1"/>
    <n v="1.91178"/>
    <n v="9811"/>
    <n v="9439"/>
    <n v="372"/>
    <n v="3.9410954550270154E-2"/>
    <n v="711.18216000000007"/>
    <m/>
  </r>
  <r>
    <x v="1"/>
    <x v="45"/>
    <x v="0"/>
    <x v="45"/>
    <x v="3"/>
    <x v="8"/>
    <x v="8"/>
    <n v="1.4516300000000002"/>
    <n v="5000"/>
    <n v="5000"/>
    <n v="0"/>
    <n v="0"/>
    <n v="0"/>
    <m/>
  </r>
  <r>
    <x v="1"/>
    <x v="45"/>
    <x v="0"/>
    <x v="45"/>
    <x v="4"/>
    <x v="9"/>
    <x v="9"/>
    <n v="1.21353"/>
    <n v="1020"/>
    <n v="1000"/>
    <n v="20"/>
    <n v="0.02"/>
    <n v="24.270600000000002"/>
    <m/>
  </r>
  <r>
    <x v="1"/>
    <x v="46"/>
    <x v="0"/>
    <x v="46"/>
    <x v="0"/>
    <x v="1"/>
    <x v="1"/>
    <n v="1.91178"/>
    <n v="9413"/>
    <n v="9121"/>
    <n v="292"/>
    <n v="3.2014033548952964E-2"/>
    <n v="558.23976000000005"/>
    <m/>
  </r>
  <r>
    <x v="1"/>
    <x v="46"/>
    <x v="0"/>
    <x v="46"/>
    <x v="3"/>
    <x v="8"/>
    <x v="8"/>
    <n v="1.4516300000000002"/>
    <n v="7007"/>
    <n v="7000"/>
    <n v="7"/>
    <n v="1E-3"/>
    <n v="10.161410000000002"/>
    <m/>
  </r>
  <r>
    <x v="1"/>
    <x v="46"/>
    <x v="0"/>
    <x v="46"/>
    <x v="4"/>
    <x v="9"/>
    <x v="9"/>
    <n v="1.21353"/>
    <n v="1000"/>
    <n v="1000"/>
    <n v="0"/>
    <n v="0"/>
    <n v="0"/>
    <m/>
  </r>
  <r>
    <x v="1"/>
    <x v="46"/>
    <x v="0"/>
    <x v="46"/>
    <x v="5"/>
    <x v="5"/>
    <x v="5"/>
    <n v="0"/>
    <n v="6"/>
    <m/>
    <n v="6"/>
    <n v="1"/>
    <n v="0"/>
    <m/>
  </r>
  <r>
    <x v="1"/>
    <x v="47"/>
    <x v="0"/>
    <x v="47"/>
    <x v="0"/>
    <x v="1"/>
    <x v="1"/>
    <n v="1.91178"/>
    <n v="12513"/>
    <n v="12324"/>
    <n v="189"/>
    <n v="1.5335929892891918E-2"/>
    <n v="361.32641999999998"/>
    <m/>
  </r>
  <r>
    <x v="1"/>
    <x v="47"/>
    <x v="0"/>
    <x v="47"/>
    <x v="3"/>
    <x v="8"/>
    <x v="8"/>
    <n v="1.4516300000000002"/>
    <n v="8010"/>
    <n v="8000"/>
    <n v="10"/>
    <n v="1.25E-3"/>
    <n v="14.516300000000001"/>
    <m/>
  </r>
  <r>
    <x v="1"/>
    <x v="47"/>
    <x v="0"/>
    <x v="47"/>
    <x v="4"/>
    <x v="9"/>
    <x v="9"/>
    <n v="1.21353"/>
    <n v="2036"/>
    <n v="2000"/>
    <n v="36"/>
    <n v="1.7999999999999999E-2"/>
    <n v="43.687080000000002"/>
    <m/>
  </r>
  <r>
    <x v="1"/>
    <x v="47"/>
    <x v="0"/>
    <x v="47"/>
    <x v="5"/>
    <x v="5"/>
    <x v="5"/>
    <n v="0"/>
    <n v="15"/>
    <m/>
    <n v="15"/>
    <n v="1"/>
    <n v="0"/>
    <m/>
  </r>
  <r>
    <x v="1"/>
    <x v="48"/>
    <x v="0"/>
    <x v="48"/>
    <x v="0"/>
    <x v="1"/>
    <x v="1"/>
    <n v="1.91178"/>
    <n v="8993"/>
    <n v="8679"/>
    <n v="314"/>
    <n v="3.6179283327572302E-2"/>
    <n v="600.29892000000007"/>
    <m/>
  </r>
  <r>
    <x v="1"/>
    <x v="48"/>
    <x v="0"/>
    <x v="48"/>
    <x v="3"/>
    <x v="8"/>
    <x v="8"/>
    <n v="1.4516300000000002"/>
    <n v="5004"/>
    <n v="5000"/>
    <n v="4"/>
    <n v="8.0000000000000004E-4"/>
    <n v="5.8065200000000008"/>
    <m/>
  </r>
  <r>
    <x v="1"/>
    <x v="48"/>
    <x v="0"/>
    <x v="48"/>
    <x v="4"/>
    <x v="9"/>
    <x v="9"/>
    <n v="1.21353"/>
    <n v="3036"/>
    <n v="3000"/>
    <n v="36"/>
    <n v="1.2E-2"/>
    <n v="43.687080000000002"/>
    <m/>
  </r>
  <r>
    <x v="1"/>
    <x v="49"/>
    <x v="0"/>
    <x v="49"/>
    <x v="3"/>
    <x v="4"/>
    <x v="4"/>
    <n v="1.9508160000000001"/>
    <n v="9008"/>
    <n v="9000"/>
    <n v="8"/>
    <n v="8.8888888888888893E-4"/>
    <n v="15.606528000000001"/>
    <m/>
  </r>
  <r>
    <x v="1"/>
    <x v="50"/>
    <x v="0"/>
    <x v="50"/>
    <x v="3"/>
    <x v="4"/>
    <x v="4"/>
    <n v="1.9508160000000001"/>
    <n v="9005"/>
    <n v="9000"/>
    <n v="5"/>
    <n v="5.5555555555555556E-4"/>
    <n v="9.7540800000000001"/>
    <m/>
  </r>
  <r>
    <x v="1"/>
    <x v="51"/>
    <x v="0"/>
    <x v="51"/>
    <x v="0"/>
    <x v="1"/>
    <x v="1"/>
    <n v="1.91178"/>
    <n v="10831"/>
    <n v="10422"/>
    <n v="409"/>
    <n v="3.9243907119554791E-2"/>
    <n v="781.91802000000007"/>
    <m/>
  </r>
  <r>
    <x v="1"/>
    <x v="51"/>
    <x v="0"/>
    <x v="51"/>
    <x v="3"/>
    <x v="4"/>
    <x v="4"/>
    <n v="1.9508160000000001"/>
    <n v="9027"/>
    <n v="9000"/>
    <n v="27"/>
    <n v="3.0000000000000001E-3"/>
    <n v="52.672032000000002"/>
    <m/>
  </r>
  <r>
    <x v="1"/>
    <x v="51"/>
    <x v="0"/>
    <x v="51"/>
    <x v="4"/>
    <x v="9"/>
    <x v="9"/>
    <n v="1.21353"/>
    <n v="2042"/>
    <n v="2000"/>
    <n v="42"/>
    <n v="2.1000000000000001E-2"/>
    <n v="50.968260000000001"/>
    <m/>
  </r>
  <r>
    <x v="1"/>
    <x v="52"/>
    <x v="0"/>
    <x v="52"/>
    <x v="0"/>
    <x v="1"/>
    <x v="1"/>
    <n v="1.91178"/>
    <n v="12943"/>
    <n v="12564"/>
    <n v="379"/>
    <n v="3.0165552371856096E-2"/>
    <n v="724.56461999999999"/>
    <m/>
  </r>
  <r>
    <x v="1"/>
    <x v="52"/>
    <x v="0"/>
    <x v="52"/>
    <x v="1"/>
    <x v="2"/>
    <x v="2"/>
    <n v="2.08013"/>
    <n v="11058"/>
    <n v="10560"/>
    <n v="498"/>
    <n v="4.7159090909090907E-2"/>
    <n v="1035.9047399999999"/>
    <s v="Began breaking out Alpha and Bravo Enrobing on Warehouse Scrap Log 2/25/2020 1S. E-stop hit on Bravo due to belt tracking issue."/>
  </r>
  <r>
    <x v="1"/>
    <x v="52"/>
    <x v="0"/>
    <x v="52"/>
    <x v="3"/>
    <x v="4"/>
    <x v="4"/>
    <n v="1.9508160000000001"/>
    <n v="9022"/>
    <n v="9000"/>
    <n v="22"/>
    <n v="2.4444444444444444E-3"/>
    <n v="42.917952"/>
    <m/>
  </r>
  <r>
    <x v="1"/>
    <x v="52"/>
    <x v="0"/>
    <x v="52"/>
    <x v="4"/>
    <x v="9"/>
    <x v="9"/>
    <n v="1.21353"/>
    <n v="2052"/>
    <n v="2000"/>
    <n v="52"/>
    <n v="2.5999999999999999E-2"/>
    <n v="63.103560000000002"/>
    <m/>
  </r>
  <r>
    <x v="1"/>
    <x v="52"/>
    <x v="0"/>
    <x v="52"/>
    <x v="5"/>
    <x v="5"/>
    <x v="5"/>
    <n v="0"/>
    <n v="20"/>
    <m/>
    <n v="20"/>
    <n v="1"/>
    <n v="0"/>
    <m/>
  </r>
  <r>
    <x v="1"/>
    <x v="53"/>
    <x v="0"/>
    <x v="53"/>
    <x v="0"/>
    <x v="1"/>
    <x v="1"/>
    <n v="1.91178"/>
    <n v="13671"/>
    <n v="13246"/>
    <n v="425"/>
    <n v="3.2085157783481803E-2"/>
    <n v="812.50649999999996"/>
    <m/>
  </r>
  <r>
    <x v="1"/>
    <x v="53"/>
    <x v="0"/>
    <x v="53"/>
    <x v="1"/>
    <x v="2"/>
    <x v="2"/>
    <n v="2.08013"/>
    <n v="9772"/>
    <n v="9600"/>
    <n v="172"/>
    <n v="1.7916666666666668E-2"/>
    <n v="357.78235999999998"/>
    <m/>
  </r>
  <r>
    <x v="1"/>
    <x v="53"/>
    <x v="0"/>
    <x v="53"/>
    <x v="3"/>
    <x v="4"/>
    <x v="4"/>
    <n v="1.9508160000000001"/>
    <n v="11015"/>
    <n v="11000"/>
    <n v="15"/>
    <n v="1.3636363636363637E-3"/>
    <n v="29.262240000000002"/>
    <m/>
  </r>
  <r>
    <x v="1"/>
    <x v="53"/>
    <x v="0"/>
    <x v="53"/>
    <x v="4"/>
    <x v="9"/>
    <x v="9"/>
    <n v="1.21353"/>
    <n v="1040"/>
    <n v="1000"/>
    <n v="40"/>
    <n v="0.04"/>
    <n v="48.541200000000003"/>
    <m/>
  </r>
  <r>
    <x v="1"/>
    <x v="53"/>
    <x v="0"/>
    <x v="53"/>
    <x v="5"/>
    <x v="5"/>
    <x v="5"/>
    <n v="0"/>
    <n v="2"/>
    <m/>
    <n v="2"/>
    <n v="1"/>
    <n v="0"/>
    <m/>
  </r>
  <r>
    <x v="1"/>
    <x v="54"/>
    <x v="0"/>
    <x v="54"/>
    <x v="0"/>
    <x v="1"/>
    <x v="1"/>
    <n v="1.91178"/>
    <n v="10134"/>
    <n v="9461"/>
    <n v="673"/>
    <n v="7.1134129584610503E-2"/>
    <n v="1286.6279400000001"/>
    <s v="Dig out + chocolate leaking from pump"/>
  </r>
  <r>
    <x v="1"/>
    <x v="54"/>
    <x v="0"/>
    <x v="54"/>
    <x v="3"/>
    <x v="4"/>
    <x v="4"/>
    <n v="1.9508160000000001"/>
    <n v="8024"/>
    <n v="8000"/>
    <n v="24"/>
    <n v="3.0000000000000001E-3"/>
    <n v="46.819584000000006"/>
    <m/>
  </r>
  <r>
    <x v="1"/>
    <x v="54"/>
    <x v="0"/>
    <x v="54"/>
    <x v="4"/>
    <x v="4"/>
    <x v="4"/>
    <n v="1.9508160000000001"/>
    <n v="2037"/>
    <n v="2000"/>
    <n v="37"/>
    <n v="1.8499999999999999E-2"/>
    <n v="72.180192000000005"/>
    <m/>
  </r>
  <r>
    <x v="1"/>
    <x v="54"/>
    <x v="0"/>
    <x v="54"/>
    <x v="5"/>
    <x v="5"/>
    <x v="5"/>
    <n v="0"/>
    <n v="3"/>
    <m/>
    <n v="3"/>
    <n v="1"/>
    <n v="0"/>
    <m/>
  </r>
  <r>
    <x v="1"/>
    <x v="55"/>
    <x v="0"/>
    <x v="55"/>
    <x v="1"/>
    <x v="2"/>
    <x v="2"/>
    <n v="2.08013"/>
    <n v="7823"/>
    <n v="7680"/>
    <n v="143"/>
    <n v="1.8619791666666666E-2"/>
    <n v="297.45859000000002"/>
    <m/>
  </r>
  <r>
    <x v="1"/>
    <x v="55"/>
    <x v="0"/>
    <x v="55"/>
    <x v="3"/>
    <x v="4"/>
    <x v="4"/>
    <n v="1.9508160000000001"/>
    <n v="9006"/>
    <n v="9000"/>
    <n v="6"/>
    <n v="6.6666666666666664E-4"/>
    <n v="11.704896000000002"/>
    <m/>
  </r>
  <r>
    <x v="1"/>
    <x v="55"/>
    <x v="0"/>
    <x v="55"/>
    <x v="4"/>
    <x v="4"/>
    <x v="4"/>
    <n v="1.9508160000000001"/>
    <n v="225"/>
    <n v="225"/>
    <n v="0"/>
    <n v="0"/>
    <n v="0"/>
    <m/>
  </r>
  <r>
    <x v="1"/>
    <x v="55"/>
    <x v="0"/>
    <x v="55"/>
    <x v="5"/>
    <x v="5"/>
    <x v="5"/>
    <n v="0"/>
    <n v="30"/>
    <m/>
    <n v="30"/>
    <n v="1"/>
    <n v="0"/>
    <m/>
  </r>
  <r>
    <x v="1"/>
    <x v="56"/>
    <x v="0"/>
    <x v="56"/>
    <x v="3"/>
    <x v="4"/>
    <x v="4"/>
    <n v="1.9508160000000001"/>
    <n v="11014"/>
    <n v="11000"/>
    <n v="14"/>
    <n v="1.2727272727272728E-3"/>
    <n v="27.311424000000002"/>
    <m/>
  </r>
  <r>
    <x v="1"/>
    <x v="56"/>
    <x v="0"/>
    <x v="56"/>
    <x v="5"/>
    <x v="5"/>
    <x v="5"/>
    <n v="0"/>
    <n v="70"/>
    <m/>
    <n v="70"/>
    <n v="1"/>
    <n v="0"/>
    <m/>
  </r>
  <r>
    <x v="2"/>
    <x v="57"/>
    <x v="0"/>
    <x v="57"/>
    <x v="3"/>
    <x v="4"/>
    <x v="4"/>
    <n v="1.9508160000000001"/>
    <n v="11030"/>
    <n v="11000"/>
    <n v="30"/>
    <n v="2.7272727272727275E-3"/>
    <n v="58.524480000000004"/>
    <m/>
  </r>
  <r>
    <x v="2"/>
    <x v="58"/>
    <x v="0"/>
    <x v="58"/>
    <x v="0"/>
    <x v="0"/>
    <x v="0"/>
    <n v="1.96"/>
    <n v="5261"/>
    <n v="5040"/>
    <n v="221"/>
    <n v="4.3849206349206346E-2"/>
    <n v="433.15999999999997"/>
    <s v="Enrobing issues (patties were too big and heavy)"/>
  </r>
  <r>
    <x v="2"/>
    <x v="58"/>
    <x v="0"/>
    <x v="58"/>
    <x v="2"/>
    <x v="3"/>
    <x v="3"/>
    <n v="3.8943099999999999"/>
    <n v="6467"/>
    <n v="6400"/>
    <n v="67"/>
    <n v="1.0468750000000001E-2"/>
    <n v="260.91876999999999"/>
    <m/>
  </r>
  <r>
    <x v="2"/>
    <x v="58"/>
    <x v="0"/>
    <x v="58"/>
    <x v="3"/>
    <x v="4"/>
    <x v="4"/>
    <n v="1.9508160000000001"/>
    <n v="10010"/>
    <n v="10000"/>
    <n v="10"/>
    <n v="1E-3"/>
    <n v="19.50816"/>
    <m/>
  </r>
  <r>
    <x v="2"/>
    <x v="58"/>
    <x v="0"/>
    <x v="58"/>
    <x v="4"/>
    <x v="4"/>
    <x v="4"/>
    <n v="1.9508160000000001"/>
    <n v="2005"/>
    <n v="2000"/>
    <n v="5"/>
    <n v="2.5000000000000001E-3"/>
    <n v="9.7540800000000001"/>
    <m/>
  </r>
  <r>
    <x v="2"/>
    <x v="58"/>
    <x v="0"/>
    <x v="58"/>
    <x v="5"/>
    <x v="5"/>
    <x v="5"/>
    <n v="0"/>
    <n v="10"/>
    <m/>
    <n v="10"/>
    <n v="1"/>
    <n v="0"/>
    <m/>
  </r>
  <r>
    <x v="2"/>
    <x v="59"/>
    <x v="0"/>
    <x v="59"/>
    <x v="0"/>
    <x v="0"/>
    <x v="0"/>
    <n v="1.96"/>
    <n v="9074"/>
    <n v="8640"/>
    <n v="434"/>
    <n v="5.0231481481481481E-2"/>
    <n v="850.64"/>
    <s v="Feeding plaqued WIP onto line"/>
  </r>
  <r>
    <x v="2"/>
    <x v="59"/>
    <x v="0"/>
    <x v="59"/>
    <x v="2"/>
    <x v="3"/>
    <x v="3"/>
    <n v="3.8943099999999999"/>
    <n v="8944"/>
    <n v="8800"/>
    <n v="144"/>
    <n v="1.6363636363636365E-2"/>
    <n v="560.78063999999995"/>
    <m/>
  </r>
  <r>
    <x v="2"/>
    <x v="59"/>
    <x v="0"/>
    <x v="59"/>
    <x v="3"/>
    <x v="4"/>
    <x v="4"/>
    <n v="1.9508160000000001"/>
    <n v="9013"/>
    <n v="9000"/>
    <n v="13"/>
    <n v="1.4444444444444444E-3"/>
    <n v="25.360608000000003"/>
    <m/>
  </r>
  <r>
    <x v="2"/>
    <x v="59"/>
    <x v="0"/>
    <x v="59"/>
    <x v="4"/>
    <x v="4"/>
    <x v="4"/>
    <n v="1.9508160000000001"/>
    <n v="2032"/>
    <n v="2000"/>
    <n v="32"/>
    <n v="1.6E-2"/>
    <n v="62.426112000000003"/>
    <m/>
  </r>
  <r>
    <x v="2"/>
    <x v="59"/>
    <x v="0"/>
    <x v="59"/>
    <x v="5"/>
    <x v="5"/>
    <x v="5"/>
    <n v="0"/>
    <n v="10"/>
    <m/>
    <n v="10"/>
    <n v="1"/>
    <n v="0"/>
    <m/>
  </r>
  <r>
    <x v="2"/>
    <x v="60"/>
    <x v="0"/>
    <x v="60"/>
    <x v="0"/>
    <x v="0"/>
    <x v="0"/>
    <n v="1.96"/>
    <n v="8251"/>
    <n v="7956"/>
    <n v="295"/>
    <n v="3.7078934137757667E-2"/>
    <n v="578.20000000000005"/>
    <m/>
  </r>
  <r>
    <x v="2"/>
    <x v="60"/>
    <x v="0"/>
    <x v="60"/>
    <x v="2"/>
    <x v="3"/>
    <x v="3"/>
    <n v="3.8943099999999999"/>
    <n v="8938"/>
    <n v="8800"/>
    <n v="138"/>
    <n v="1.5681818181818182E-2"/>
    <n v="537.41477999999995"/>
    <m/>
  </r>
  <r>
    <x v="2"/>
    <x v="60"/>
    <x v="0"/>
    <x v="60"/>
    <x v="3"/>
    <x v="4"/>
    <x v="4"/>
    <n v="1.9508160000000001"/>
    <n v="10008"/>
    <n v="10000"/>
    <n v="8"/>
    <n v="8.0000000000000004E-4"/>
    <n v="15.606528000000001"/>
    <m/>
  </r>
  <r>
    <x v="2"/>
    <x v="60"/>
    <x v="0"/>
    <x v="60"/>
    <x v="4"/>
    <x v="4"/>
    <x v="4"/>
    <n v="1.9508160000000001"/>
    <n v="2047"/>
    <n v="2000"/>
    <n v="47"/>
    <n v="2.35E-2"/>
    <n v="91.688352000000009"/>
    <m/>
  </r>
  <r>
    <x v="2"/>
    <x v="61"/>
    <x v="0"/>
    <x v="61"/>
    <x v="0"/>
    <x v="0"/>
    <x v="0"/>
    <n v="1.96"/>
    <n v="4359"/>
    <n v="4178"/>
    <n v="181"/>
    <n v="4.3322163714696028E-2"/>
    <n v="354.76"/>
    <s v="Short run time and changeover to 4pc"/>
  </r>
  <r>
    <x v="2"/>
    <x v="61"/>
    <x v="0"/>
    <x v="61"/>
    <x v="2"/>
    <x v="3"/>
    <x v="3"/>
    <n v="3.8943099999999999"/>
    <n v="8925"/>
    <n v="8800"/>
    <n v="125"/>
    <n v="1.4204545454545454E-2"/>
    <n v="486.78874999999999"/>
    <m/>
  </r>
  <r>
    <x v="2"/>
    <x v="61"/>
    <x v="0"/>
    <x v="61"/>
    <x v="3"/>
    <x v="4"/>
    <x v="4"/>
    <n v="1.9508160000000001"/>
    <n v="9002"/>
    <n v="9000"/>
    <n v="2"/>
    <n v="2.2222222222222223E-4"/>
    <n v="3.9016320000000002"/>
    <m/>
  </r>
  <r>
    <x v="2"/>
    <x v="61"/>
    <x v="0"/>
    <x v="61"/>
    <x v="4"/>
    <x v="4"/>
    <x v="4"/>
    <n v="1.9508160000000001"/>
    <n v="1011"/>
    <n v="1000"/>
    <n v="11"/>
    <n v="1.0999999999999999E-2"/>
    <n v="21.458976"/>
    <m/>
  </r>
  <r>
    <x v="2"/>
    <x v="62"/>
    <x v="0"/>
    <x v="62"/>
    <x v="0"/>
    <x v="0"/>
    <x v="0"/>
    <n v="1.96"/>
    <n v="3638"/>
    <n v="3407"/>
    <n v="231"/>
    <n v="6.7801584972116233E-2"/>
    <n v="452.76"/>
    <m/>
  </r>
  <r>
    <x v="2"/>
    <x v="62"/>
    <x v="0"/>
    <x v="62"/>
    <x v="2"/>
    <x v="3"/>
    <x v="3"/>
    <n v="3.8943099999999999"/>
    <n v="6518"/>
    <n v="6400"/>
    <n v="118"/>
    <n v="1.8437499999999999E-2"/>
    <n v="459.52857999999998"/>
    <m/>
  </r>
  <r>
    <x v="0"/>
    <x v="0"/>
    <x v="1"/>
    <x v="63"/>
    <x v="0"/>
    <x v="0"/>
    <x v="0"/>
    <n v="1.9453399999999998"/>
    <n v="4542.72"/>
    <n v="4542.72"/>
    <n v="452"/>
    <n v="9.9499859115243727E-2"/>
    <n v="879.29367999999988"/>
    <s v="Defects, nut patties on Alpha"/>
  </r>
  <r>
    <x v="0"/>
    <x v="1"/>
    <x v="1"/>
    <x v="64"/>
    <x v="0"/>
    <x v="0"/>
    <x v="0"/>
    <n v="1.9453399999999998"/>
    <n v="4943.25"/>
    <n v="4943.25"/>
    <n v="329"/>
    <n v="6.6555403833510343E-2"/>
    <n v="640.01685999999995"/>
    <s v="Defects and crushed candy on Sig 1 and 2"/>
  </r>
  <r>
    <x v="0"/>
    <x v="2"/>
    <x v="1"/>
    <x v="65"/>
    <x v="0"/>
    <x v="1"/>
    <x v="1"/>
    <n v="1.89697"/>
    <n v="10502.4"/>
    <n v="10502.4"/>
    <n v="305"/>
    <n v="2.9040981109079829E-2"/>
    <n v="578.57585000000006"/>
    <m/>
  </r>
  <r>
    <x v="0"/>
    <x v="3"/>
    <x v="1"/>
    <x v="66"/>
    <x v="0"/>
    <x v="1"/>
    <x v="1"/>
    <n v="1.89697"/>
    <n v="9702.4"/>
    <n v="9702.4"/>
    <n v="331"/>
    <n v="3.4115270448548812E-2"/>
    <n v="627.89706999999999"/>
    <m/>
  </r>
  <r>
    <x v="0"/>
    <x v="4"/>
    <x v="1"/>
    <x v="67"/>
    <x v="0"/>
    <x v="1"/>
    <x v="1"/>
    <n v="1.89697"/>
    <n v="7564"/>
    <n v="7564"/>
    <n v="651"/>
    <n v="8.6065573770491802E-2"/>
    <n v="1234.9274700000001"/>
    <s v="Tails on turtles"/>
  </r>
  <r>
    <x v="0"/>
    <x v="5"/>
    <x v="1"/>
    <x v="68"/>
    <x v="0"/>
    <x v="1"/>
    <x v="1"/>
    <n v="1.89697"/>
    <n v="7564"/>
    <n v="7564"/>
    <n v="299"/>
    <n v="3.9529349550502378E-2"/>
    <n v="567.19403"/>
    <m/>
  </r>
  <r>
    <x v="0"/>
    <x v="6"/>
    <x v="1"/>
    <x v="69"/>
    <x v="0"/>
    <x v="1"/>
    <x v="1"/>
    <n v="1.89697"/>
    <n v="0"/>
    <n v="0"/>
    <n v="148"/>
    <n v="1"/>
    <n v="280.75155999999998"/>
    <m/>
  </r>
  <r>
    <x v="0"/>
    <x v="7"/>
    <x v="1"/>
    <x v="70"/>
    <x v="0"/>
    <x v="1"/>
    <x v="1"/>
    <n v="1.89697"/>
    <n v="7840.8"/>
    <n v="7840.8"/>
    <n v="505"/>
    <n v="6.4406693194571984E-2"/>
    <n v="957.96985000000006"/>
    <m/>
  </r>
  <r>
    <x v="0"/>
    <x v="8"/>
    <x v="1"/>
    <x v="71"/>
    <x v="0"/>
    <x v="1"/>
    <x v="1"/>
    <n v="1.89697"/>
    <n v="4989.6000000000004"/>
    <n v="4989.6000000000004"/>
    <n v="525"/>
    <n v="0.10521885521885521"/>
    <n v="995.90925000000004"/>
    <s v="Defects"/>
  </r>
  <r>
    <x v="0"/>
    <x v="9"/>
    <x v="1"/>
    <x v="72"/>
    <x v="0"/>
    <x v="1"/>
    <x v="1"/>
    <n v="1.89697"/>
    <n v="6415.2"/>
    <n v="6415.2"/>
    <n v="380"/>
    <n v="5.9234318493577756E-2"/>
    <n v="720.84860000000003"/>
    <m/>
  </r>
  <r>
    <x v="0"/>
    <x v="10"/>
    <x v="1"/>
    <x v="73"/>
    <x v="0"/>
    <x v="1"/>
    <x v="1"/>
    <n v="1.89697"/>
    <n v="5702.4"/>
    <n v="5702.4"/>
    <n v="396"/>
    <n v="6.9444444444444448E-2"/>
    <n v="751.20011999999997"/>
    <m/>
  </r>
  <r>
    <x v="0"/>
    <x v="63"/>
    <x v="1"/>
    <x v="74"/>
    <x v="0"/>
    <x v="0"/>
    <x v="0"/>
    <n v="1.9453399999999998"/>
    <n v="567.84"/>
    <n v="567.84"/>
    <n v="270"/>
    <n v="0.47548605240912928"/>
    <n v="525.24180000000001"/>
    <s v="Enrobing issues (tails)"/>
  </r>
  <r>
    <x v="0"/>
    <x v="12"/>
    <x v="1"/>
    <x v="75"/>
    <x v="0"/>
    <x v="0"/>
    <x v="0"/>
    <n v="1.9453399999999998"/>
    <n v="3974.88"/>
    <n v="3974.88"/>
    <n v="205"/>
    <n v="5.157388399146641E-2"/>
    <n v="398.79469999999998"/>
    <m/>
  </r>
  <r>
    <x v="0"/>
    <x v="13"/>
    <x v="1"/>
    <x v="76"/>
    <x v="0"/>
    <x v="0"/>
    <x v="0"/>
    <n v="1.9453399999999998"/>
    <n v="3407.04"/>
    <n v="3407.04"/>
    <n v="562"/>
    <n v="0.16495256879872264"/>
    <n v="1093.28108"/>
    <m/>
  </r>
  <r>
    <x v="0"/>
    <x v="15"/>
    <x v="1"/>
    <x v="77"/>
    <x v="0"/>
    <x v="0"/>
    <x v="0"/>
    <n v="1.9453399999999998"/>
    <n v="3420"/>
    <n v="3420"/>
    <n v="531"/>
    <n v="0.15526315789473685"/>
    <n v="1032.9755399999999"/>
    <m/>
  </r>
  <r>
    <x v="0"/>
    <x v="16"/>
    <x v="1"/>
    <x v="78"/>
    <x v="0"/>
    <x v="0"/>
    <x v="0"/>
    <n v="1.9453399999999998"/>
    <n v="7200"/>
    <n v="7200"/>
    <n v="433"/>
    <n v="6.0138888888888888E-2"/>
    <n v="842.33221999999989"/>
    <s v="Alpha:  Cleaned nozzles for KGM, shut down for build up in drum and on pushers and KGM, hand feeding bulk and rework. Nuts are very small and are falling from wire mesh belt as they approach enrober"/>
  </r>
  <r>
    <x v="0"/>
    <x v="17"/>
    <x v="1"/>
    <x v="79"/>
    <x v="0"/>
    <x v="0"/>
    <x v="0"/>
    <n v="1.9453399999999998"/>
    <n v="5760"/>
    <n v="5760"/>
    <n v="466"/>
    <n v="8.0902777777777782E-2"/>
    <n v="906.52843999999993"/>
    <s v="Alpha:  Sig 2 had lots of snakes. Charlie:  Small nuts falling out between transitions, also going through enrober and catching in the curtain"/>
  </r>
  <r>
    <x v="0"/>
    <x v="18"/>
    <x v="1"/>
    <x v="80"/>
    <x v="0"/>
    <x v="0"/>
    <x v="0"/>
    <n v="1.9453399999999998"/>
    <n v="7200"/>
    <n v="7200"/>
    <n v="350"/>
    <n v="4.8611111111111112E-2"/>
    <n v="680.86899999999991"/>
    <m/>
  </r>
  <r>
    <x v="0"/>
    <x v="9"/>
    <x v="1"/>
    <x v="72"/>
    <x v="1"/>
    <x v="2"/>
    <x v="2"/>
    <n v="2.0602900000000002"/>
    <n v="7200"/>
    <n v="7200"/>
    <n v="169"/>
    <n v="2.3472222222222221E-2"/>
    <n v="348.18901000000005"/>
    <m/>
  </r>
  <r>
    <x v="0"/>
    <x v="10"/>
    <x v="1"/>
    <x v="73"/>
    <x v="1"/>
    <x v="2"/>
    <x v="2"/>
    <n v="2.0602900000000002"/>
    <n v="9600"/>
    <n v="9600"/>
    <n v="267"/>
    <n v="2.78125E-2"/>
    <n v="550.09743000000003"/>
    <m/>
  </r>
  <r>
    <x v="0"/>
    <x v="11"/>
    <x v="1"/>
    <x v="81"/>
    <x v="1"/>
    <x v="2"/>
    <x v="2"/>
    <n v="2.0602900000000002"/>
    <n v="6720"/>
    <n v="6720"/>
    <n v="282"/>
    <n v="4.1964285714285711E-2"/>
    <n v="581.00178000000005"/>
    <m/>
  </r>
  <r>
    <x v="0"/>
    <x v="12"/>
    <x v="1"/>
    <x v="75"/>
    <x v="1"/>
    <x v="2"/>
    <x v="2"/>
    <n v="2.0602900000000002"/>
    <n v="3840"/>
    <n v="3840"/>
    <n v="75"/>
    <n v="1.953125E-2"/>
    <n v="154.52175000000003"/>
    <m/>
  </r>
  <r>
    <x v="0"/>
    <x v="7"/>
    <x v="1"/>
    <x v="70"/>
    <x v="2"/>
    <x v="3"/>
    <x v="3"/>
    <n v="3.8560100000000004"/>
    <n v="1600"/>
    <n v="1600"/>
    <n v="33"/>
    <n v="2.0625000000000001E-2"/>
    <n v="127.24833000000001"/>
    <m/>
  </r>
  <r>
    <x v="0"/>
    <x v="8"/>
    <x v="1"/>
    <x v="71"/>
    <x v="2"/>
    <x v="3"/>
    <x v="3"/>
    <n v="3.8560100000000004"/>
    <n v="4800"/>
    <n v="4800"/>
    <n v="75"/>
    <n v="1.5625E-2"/>
    <n v="289.20075000000003"/>
    <m/>
  </r>
  <r>
    <x v="0"/>
    <x v="9"/>
    <x v="1"/>
    <x v="72"/>
    <x v="2"/>
    <x v="3"/>
    <x v="3"/>
    <n v="3.8560100000000004"/>
    <n v="7200"/>
    <n v="7200"/>
    <n v="113"/>
    <n v="1.5694444444444445E-2"/>
    <n v="435.72913000000005"/>
    <m/>
  </r>
  <r>
    <x v="0"/>
    <x v="10"/>
    <x v="1"/>
    <x v="73"/>
    <x v="2"/>
    <x v="3"/>
    <x v="3"/>
    <n v="3.8560100000000004"/>
    <n v="6400"/>
    <n v="6400"/>
    <n v="8"/>
    <n v="1.25E-3"/>
    <n v="30.848080000000003"/>
    <m/>
  </r>
  <r>
    <x v="0"/>
    <x v="63"/>
    <x v="1"/>
    <x v="74"/>
    <x v="2"/>
    <x v="3"/>
    <x v="3"/>
    <n v="3.8560100000000004"/>
    <n v="3200"/>
    <n v="3200"/>
    <n v="45"/>
    <n v="1.40625E-2"/>
    <n v="173.52045000000001"/>
    <m/>
  </r>
  <r>
    <x v="0"/>
    <x v="12"/>
    <x v="1"/>
    <x v="75"/>
    <x v="2"/>
    <x v="3"/>
    <x v="3"/>
    <n v="3.8560100000000004"/>
    <n v="7200"/>
    <n v="7200"/>
    <n v="85"/>
    <n v="1.1805555555555555E-2"/>
    <n v="327.76085"/>
    <m/>
  </r>
  <r>
    <x v="0"/>
    <x v="13"/>
    <x v="1"/>
    <x v="76"/>
    <x v="2"/>
    <x v="3"/>
    <x v="3"/>
    <n v="3.8560100000000004"/>
    <n v="4000"/>
    <n v="4000"/>
    <n v="93"/>
    <n v="2.325E-2"/>
    <n v="358.60893000000004"/>
    <s v="Nuts are very small and are falling from wire mesh belt as they approach enrober"/>
  </r>
  <r>
    <x v="0"/>
    <x v="14"/>
    <x v="1"/>
    <x v="82"/>
    <x v="2"/>
    <x v="3"/>
    <x v="3"/>
    <n v="3.8560100000000004"/>
    <n v="3200"/>
    <n v="3200"/>
    <n v="30"/>
    <n v="9.3749999999999997E-3"/>
    <n v="115.68030000000002"/>
    <m/>
  </r>
  <r>
    <x v="0"/>
    <x v="16"/>
    <x v="1"/>
    <x v="78"/>
    <x v="2"/>
    <x v="3"/>
    <x v="3"/>
    <n v="3.8560100000000004"/>
    <n v="4000"/>
    <n v="4000"/>
    <n v="156"/>
    <n v="3.9E-2"/>
    <n v="601.5375600000001"/>
    <m/>
  </r>
  <r>
    <x v="0"/>
    <x v="17"/>
    <x v="1"/>
    <x v="79"/>
    <x v="2"/>
    <x v="3"/>
    <x v="3"/>
    <n v="3.8560100000000004"/>
    <n v="7200"/>
    <n v="7200"/>
    <n v="207"/>
    <n v="2.8750000000000001E-2"/>
    <n v="798.19407000000012"/>
    <m/>
  </r>
  <r>
    <x v="0"/>
    <x v="18"/>
    <x v="1"/>
    <x v="80"/>
    <x v="2"/>
    <x v="3"/>
    <x v="3"/>
    <n v="3.8560100000000004"/>
    <n v="8000"/>
    <n v="8000"/>
    <n v="163"/>
    <n v="2.0375000000000001E-2"/>
    <n v="628.52963000000011"/>
    <s v="Nuts are very small and are falling from wire mesh belt as they approach enrober"/>
  </r>
  <r>
    <x v="0"/>
    <x v="19"/>
    <x v="1"/>
    <x v="83"/>
    <x v="2"/>
    <x v="3"/>
    <x v="3"/>
    <n v="3.8560100000000004"/>
    <n v="800"/>
    <n v="800"/>
    <n v="192"/>
    <n v="0.24"/>
    <n v="740.35392000000002"/>
    <m/>
  </r>
  <r>
    <x v="0"/>
    <x v="0"/>
    <x v="1"/>
    <x v="63"/>
    <x v="3"/>
    <x v="4"/>
    <x v="4"/>
    <n v="1.1520708"/>
    <n v="9000"/>
    <n v="9000"/>
    <n v="156"/>
    <n v="1.7333333333333333E-2"/>
    <n v="179.7230448"/>
    <m/>
  </r>
  <r>
    <x v="0"/>
    <x v="1"/>
    <x v="1"/>
    <x v="64"/>
    <x v="3"/>
    <x v="4"/>
    <x v="4"/>
    <n v="1.1520708"/>
    <n v="11000"/>
    <n v="11000"/>
    <n v="0"/>
    <n v="0"/>
    <n v="0"/>
    <m/>
  </r>
  <r>
    <x v="0"/>
    <x v="20"/>
    <x v="1"/>
    <x v="84"/>
    <x v="3"/>
    <x v="4"/>
    <x v="4"/>
    <n v="1.1520708"/>
    <n v="9000"/>
    <n v="9000"/>
    <n v="10"/>
    <n v="1.1111111111111111E-3"/>
    <n v="11.520707999999999"/>
    <m/>
  </r>
  <r>
    <x v="0"/>
    <x v="21"/>
    <x v="1"/>
    <x v="85"/>
    <x v="3"/>
    <x v="4"/>
    <x v="4"/>
    <n v="1.1520708"/>
    <n v="10000"/>
    <n v="10000"/>
    <n v="5"/>
    <n v="5.0000000000000001E-4"/>
    <n v="5.7603539999999995"/>
    <m/>
  </r>
  <r>
    <x v="0"/>
    <x v="2"/>
    <x v="1"/>
    <x v="65"/>
    <x v="3"/>
    <x v="4"/>
    <x v="4"/>
    <n v="1.1520708"/>
    <n v="10000"/>
    <n v="10000"/>
    <n v="5"/>
    <n v="5.0000000000000001E-4"/>
    <n v="5.7603539999999995"/>
    <m/>
  </r>
  <r>
    <x v="0"/>
    <x v="3"/>
    <x v="1"/>
    <x v="66"/>
    <x v="3"/>
    <x v="4"/>
    <x v="4"/>
    <n v="1.1520708"/>
    <n v="10000"/>
    <n v="10000"/>
    <n v="26"/>
    <n v="2.5999999999999999E-3"/>
    <n v="29.953840799999998"/>
    <m/>
  </r>
  <r>
    <x v="0"/>
    <x v="4"/>
    <x v="1"/>
    <x v="67"/>
    <x v="3"/>
    <x v="4"/>
    <x v="4"/>
    <n v="1.1520708"/>
    <n v="4000"/>
    <n v="4000"/>
    <n v="2"/>
    <n v="5.0000000000000001E-4"/>
    <n v="2.3041415999999999"/>
    <m/>
  </r>
  <r>
    <x v="0"/>
    <x v="5"/>
    <x v="1"/>
    <x v="68"/>
    <x v="3"/>
    <x v="4"/>
    <x v="4"/>
    <n v="1.1520708"/>
    <n v="9000"/>
    <n v="9000"/>
    <n v="25"/>
    <n v="2.7777777777777779E-3"/>
    <n v="28.801769999999998"/>
    <m/>
  </r>
  <r>
    <x v="0"/>
    <x v="6"/>
    <x v="1"/>
    <x v="69"/>
    <x v="3"/>
    <x v="4"/>
    <x v="4"/>
    <n v="1.1520708"/>
    <n v="8000"/>
    <n v="8000"/>
    <n v="15"/>
    <n v="1.8749999999999999E-3"/>
    <n v="17.281061999999999"/>
    <m/>
  </r>
  <r>
    <x v="0"/>
    <x v="22"/>
    <x v="1"/>
    <x v="86"/>
    <x v="3"/>
    <x v="4"/>
    <x v="4"/>
    <n v="1.1520708"/>
    <n v="6000"/>
    <n v="6000"/>
    <n v="18"/>
    <n v="3.0000000000000001E-3"/>
    <n v="20.7372744"/>
    <m/>
  </r>
  <r>
    <x v="0"/>
    <x v="23"/>
    <x v="1"/>
    <x v="87"/>
    <x v="3"/>
    <x v="4"/>
    <x v="4"/>
    <n v="1.1520708"/>
    <n v="10000"/>
    <n v="10000"/>
    <n v="0"/>
    <n v="0"/>
    <n v="0"/>
    <m/>
  </r>
  <r>
    <x v="0"/>
    <x v="7"/>
    <x v="1"/>
    <x v="70"/>
    <x v="3"/>
    <x v="4"/>
    <x v="4"/>
    <n v="1.1520708"/>
    <n v="8000"/>
    <n v="8000"/>
    <n v="16"/>
    <n v="2E-3"/>
    <n v="18.433132799999999"/>
    <m/>
  </r>
  <r>
    <x v="0"/>
    <x v="8"/>
    <x v="1"/>
    <x v="71"/>
    <x v="3"/>
    <x v="4"/>
    <x v="4"/>
    <n v="1.1520708"/>
    <n v="7000"/>
    <n v="7000"/>
    <n v="18"/>
    <n v="2.5714285714285713E-3"/>
    <n v="20.7372744"/>
    <m/>
  </r>
  <r>
    <x v="0"/>
    <x v="9"/>
    <x v="1"/>
    <x v="72"/>
    <x v="3"/>
    <x v="4"/>
    <x v="4"/>
    <n v="1.1520708"/>
    <n v="10000"/>
    <n v="10000"/>
    <n v="9"/>
    <n v="8.9999999999999998E-4"/>
    <n v="10.3686372"/>
    <m/>
  </r>
  <r>
    <x v="0"/>
    <x v="10"/>
    <x v="1"/>
    <x v="73"/>
    <x v="3"/>
    <x v="4"/>
    <x v="4"/>
    <n v="1.1520708"/>
    <n v="9000"/>
    <n v="9000"/>
    <n v="17"/>
    <n v="1.888888888888889E-3"/>
    <n v="19.5852036"/>
    <m/>
  </r>
  <r>
    <x v="0"/>
    <x v="11"/>
    <x v="1"/>
    <x v="81"/>
    <x v="3"/>
    <x v="4"/>
    <x v="4"/>
    <n v="1.1520708"/>
    <n v="9000"/>
    <n v="9000"/>
    <n v="5"/>
    <n v="5.5555555555555556E-4"/>
    <n v="5.7603539999999995"/>
    <m/>
  </r>
  <r>
    <x v="0"/>
    <x v="24"/>
    <x v="1"/>
    <x v="88"/>
    <x v="3"/>
    <x v="4"/>
    <x v="4"/>
    <n v="1.1520708"/>
    <n v="7000"/>
    <n v="7000"/>
    <n v="115"/>
    <n v="1.6428571428571428E-2"/>
    <n v="132.48814199999998"/>
    <m/>
  </r>
  <r>
    <x v="0"/>
    <x v="25"/>
    <x v="1"/>
    <x v="89"/>
    <x v="3"/>
    <x v="4"/>
    <x v="4"/>
    <n v="1.1520708"/>
    <n v="7000"/>
    <n v="7000"/>
    <n v="24"/>
    <n v="3.4285714285714284E-3"/>
    <n v="27.649699200000001"/>
    <m/>
  </r>
  <r>
    <x v="0"/>
    <x v="64"/>
    <x v="1"/>
    <x v="90"/>
    <x v="3"/>
    <x v="4"/>
    <x v="4"/>
    <n v="1.1520708"/>
    <n v="4000"/>
    <n v="4000"/>
    <n v="73"/>
    <n v="1.8249999999999999E-2"/>
    <n v="84.101168399999992"/>
    <m/>
  </r>
  <r>
    <x v="0"/>
    <x v="63"/>
    <x v="1"/>
    <x v="74"/>
    <x v="3"/>
    <x v="4"/>
    <x v="4"/>
    <n v="1.1520708"/>
    <n v="7000"/>
    <n v="7000"/>
    <n v="17"/>
    <n v="2.4285714285714284E-3"/>
    <n v="19.5852036"/>
    <m/>
  </r>
  <r>
    <x v="0"/>
    <x v="12"/>
    <x v="1"/>
    <x v="75"/>
    <x v="3"/>
    <x v="4"/>
    <x v="4"/>
    <n v="1.1520708"/>
    <n v="10000"/>
    <n v="10000"/>
    <n v="13"/>
    <n v="1.2999999999999999E-3"/>
    <n v="14.976920399999999"/>
    <m/>
  </r>
  <r>
    <x v="0"/>
    <x v="13"/>
    <x v="1"/>
    <x v="76"/>
    <x v="3"/>
    <x v="4"/>
    <x v="4"/>
    <n v="1.1520708"/>
    <n v="9000"/>
    <n v="9000"/>
    <n v="31"/>
    <n v="3.4444444444444444E-3"/>
    <n v="35.714194800000001"/>
    <m/>
  </r>
  <r>
    <x v="0"/>
    <x v="14"/>
    <x v="1"/>
    <x v="82"/>
    <x v="3"/>
    <x v="4"/>
    <x v="4"/>
    <n v="1.1520708"/>
    <n v="8000"/>
    <n v="8000"/>
    <n v="25"/>
    <n v="3.1250000000000002E-3"/>
    <n v="28.801769999999998"/>
    <m/>
  </r>
  <r>
    <x v="0"/>
    <x v="26"/>
    <x v="1"/>
    <x v="91"/>
    <x v="3"/>
    <x v="4"/>
    <x v="4"/>
    <n v="1.1520708"/>
    <n v="12000"/>
    <n v="12000"/>
    <n v="207"/>
    <n v="1.7250000000000001E-2"/>
    <n v="238.4786556"/>
    <m/>
  </r>
  <r>
    <x v="0"/>
    <x v="27"/>
    <x v="1"/>
    <x v="92"/>
    <x v="3"/>
    <x v="4"/>
    <x v="4"/>
    <n v="1.1520708"/>
    <n v="10000"/>
    <n v="10000"/>
    <n v="21"/>
    <n v="2.0999999999999999E-3"/>
    <n v="24.193486799999999"/>
    <m/>
  </r>
  <r>
    <x v="0"/>
    <x v="15"/>
    <x v="1"/>
    <x v="77"/>
    <x v="3"/>
    <x v="4"/>
    <x v="4"/>
    <n v="1.1520708"/>
    <n v="3000"/>
    <n v="3000"/>
    <n v="5"/>
    <n v="1.6666666666666668E-3"/>
    <n v="5.7603539999999995"/>
    <m/>
  </r>
  <r>
    <x v="0"/>
    <x v="16"/>
    <x v="1"/>
    <x v="78"/>
    <x v="3"/>
    <x v="4"/>
    <x v="4"/>
    <n v="1.1520708"/>
    <n v="0"/>
    <n v="0"/>
    <n v="5"/>
    <n v="1"/>
    <n v="5.7603539999999995"/>
    <m/>
  </r>
  <r>
    <x v="0"/>
    <x v="17"/>
    <x v="1"/>
    <x v="79"/>
    <x v="3"/>
    <x v="4"/>
    <x v="4"/>
    <n v="1.1520708"/>
    <n v="12000"/>
    <n v="12000"/>
    <n v="15"/>
    <n v="1.25E-3"/>
    <n v="17.281061999999999"/>
    <m/>
  </r>
  <r>
    <x v="0"/>
    <x v="18"/>
    <x v="1"/>
    <x v="80"/>
    <x v="3"/>
    <x v="4"/>
    <x v="4"/>
    <n v="1.1520708"/>
    <n v="12000"/>
    <n v="12000"/>
    <n v="14"/>
    <n v="1.1666666666666668E-3"/>
    <n v="16.128991199999998"/>
    <m/>
  </r>
  <r>
    <x v="0"/>
    <x v="0"/>
    <x v="1"/>
    <x v="63"/>
    <x v="4"/>
    <x v="4"/>
    <x v="4"/>
    <n v="1.1520708"/>
    <n v="2000"/>
    <n v="2000"/>
    <n v="43"/>
    <n v="2.1499999999999998E-2"/>
    <n v="49.539044399999995"/>
    <m/>
  </r>
  <r>
    <x v="0"/>
    <x v="2"/>
    <x v="1"/>
    <x v="65"/>
    <x v="4"/>
    <x v="4"/>
    <x v="4"/>
    <n v="1.1520708"/>
    <n v="0"/>
    <n v="0"/>
    <n v="21"/>
    <n v="1"/>
    <n v="24.193486799999999"/>
    <m/>
  </r>
  <r>
    <x v="0"/>
    <x v="3"/>
    <x v="1"/>
    <x v="66"/>
    <x v="4"/>
    <x v="4"/>
    <x v="4"/>
    <n v="1.1520708"/>
    <n v="2000"/>
    <n v="2000"/>
    <n v="50"/>
    <n v="2.5000000000000001E-2"/>
    <n v="57.603539999999995"/>
    <m/>
  </r>
  <r>
    <x v="0"/>
    <x v="4"/>
    <x v="1"/>
    <x v="67"/>
    <x v="4"/>
    <x v="4"/>
    <x v="4"/>
    <n v="1.1520708"/>
    <n v="1000"/>
    <n v="1000"/>
    <n v="7"/>
    <n v="7.0000000000000001E-3"/>
    <n v="8.064495599999999"/>
    <m/>
  </r>
  <r>
    <x v="0"/>
    <x v="5"/>
    <x v="1"/>
    <x v="68"/>
    <x v="4"/>
    <x v="4"/>
    <x v="4"/>
    <n v="1.1520708"/>
    <n v="1000"/>
    <n v="1000"/>
    <n v="7"/>
    <n v="7.0000000000000001E-3"/>
    <n v="8.064495599999999"/>
    <m/>
  </r>
  <r>
    <x v="0"/>
    <x v="6"/>
    <x v="1"/>
    <x v="69"/>
    <x v="4"/>
    <x v="4"/>
    <x v="4"/>
    <n v="1.1520708"/>
    <n v="2000"/>
    <n v="2000"/>
    <n v="15"/>
    <n v="7.4999999999999997E-3"/>
    <n v="17.281061999999999"/>
    <m/>
  </r>
  <r>
    <x v="0"/>
    <x v="7"/>
    <x v="1"/>
    <x v="70"/>
    <x v="4"/>
    <x v="4"/>
    <x v="4"/>
    <n v="1.1520708"/>
    <n v="1000"/>
    <n v="1000"/>
    <n v="0"/>
    <n v="0"/>
    <n v="0"/>
    <m/>
  </r>
  <r>
    <x v="0"/>
    <x v="9"/>
    <x v="1"/>
    <x v="72"/>
    <x v="4"/>
    <x v="4"/>
    <x v="4"/>
    <n v="1.1520708"/>
    <n v="2000"/>
    <n v="2000"/>
    <n v="5"/>
    <n v="2.5000000000000001E-3"/>
    <n v="5.7603539999999995"/>
    <m/>
  </r>
  <r>
    <x v="0"/>
    <x v="10"/>
    <x v="1"/>
    <x v="73"/>
    <x v="4"/>
    <x v="4"/>
    <x v="4"/>
    <n v="1.1520708"/>
    <n v="525"/>
    <n v="525"/>
    <n v="1"/>
    <n v="1.9047619047619048E-3"/>
    <n v="1.1520708"/>
    <m/>
  </r>
  <r>
    <x v="0"/>
    <x v="11"/>
    <x v="1"/>
    <x v="81"/>
    <x v="4"/>
    <x v="4"/>
    <x v="4"/>
    <n v="1.1520708"/>
    <n v="850"/>
    <n v="850"/>
    <n v="5"/>
    <n v="5.8823529411764705E-3"/>
    <n v="5.7603539999999995"/>
    <m/>
  </r>
  <r>
    <x v="0"/>
    <x v="63"/>
    <x v="1"/>
    <x v="74"/>
    <x v="4"/>
    <x v="4"/>
    <x v="4"/>
    <n v="1.1520708"/>
    <n v="1450"/>
    <n v="1450"/>
    <n v="23"/>
    <n v="1.5862068965517243E-2"/>
    <n v="26.4976284"/>
    <m/>
  </r>
  <r>
    <x v="0"/>
    <x v="12"/>
    <x v="1"/>
    <x v="75"/>
    <x v="4"/>
    <x v="4"/>
    <x v="4"/>
    <n v="1.1520708"/>
    <n v="1000"/>
    <n v="1000"/>
    <n v="6"/>
    <n v="6.0000000000000001E-3"/>
    <n v="6.9124248000000001"/>
    <m/>
  </r>
  <r>
    <x v="0"/>
    <x v="13"/>
    <x v="1"/>
    <x v="76"/>
    <x v="4"/>
    <x v="4"/>
    <x v="4"/>
    <n v="1.1520708"/>
    <n v="1000"/>
    <n v="1000"/>
    <n v="0"/>
    <n v="0"/>
    <n v="0"/>
    <m/>
  </r>
  <r>
    <x v="0"/>
    <x v="15"/>
    <x v="1"/>
    <x v="77"/>
    <x v="4"/>
    <x v="4"/>
    <x v="4"/>
    <n v="1.1520708"/>
    <n v="1000"/>
    <n v="1000"/>
    <n v="15"/>
    <n v="1.4999999999999999E-2"/>
    <n v="17.281061999999999"/>
    <m/>
  </r>
  <r>
    <x v="0"/>
    <x v="17"/>
    <x v="1"/>
    <x v="79"/>
    <x v="4"/>
    <x v="4"/>
    <x v="4"/>
    <n v="1.1520708"/>
    <n v="2000"/>
    <n v="2000"/>
    <n v="2"/>
    <n v="1E-3"/>
    <n v="2.3041415999999999"/>
    <m/>
  </r>
  <r>
    <x v="0"/>
    <x v="6"/>
    <x v="1"/>
    <x v="69"/>
    <x v="5"/>
    <x v="5"/>
    <x v="5"/>
    <n v="0"/>
    <n v="0"/>
    <n v="0"/>
    <n v="30"/>
    <n v="1"/>
    <n v="0"/>
    <m/>
  </r>
  <r>
    <x v="0"/>
    <x v="7"/>
    <x v="1"/>
    <x v="70"/>
    <x v="5"/>
    <x v="5"/>
    <x v="5"/>
    <n v="0"/>
    <n v="0"/>
    <n v="0"/>
    <n v="30"/>
    <n v="1"/>
    <n v="0"/>
    <m/>
  </r>
  <r>
    <x v="0"/>
    <x v="9"/>
    <x v="1"/>
    <x v="72"/>
    <x v="5"/>
    <x v="5"/>
    <x v="5"/>
    <n v="0"/>
    <n v="0"/>
    <n v="0"/>
    <n v="18"/>
    <n v="1"/>
    <n v="0"/>
    <m/>
  </r>
  <r>
    <x v="0"/>
    <x v="10"/>
    <x v="1"/>
    <x v="73"/>
    <x v="5"/>
    <x v="5"/>
    <x v="5"/>
    <n v="0"/>
    <n v="0"/>
    <n v="0"/>
    <n v="2"/>
    <n v="1"/>
    <n v="0"/>
    <m/>
  </r>
  <r>
    <x v="0"/>
    <x v="12"/>
    <x v="1"/>
    <x v="75"/>
    <x v="5"/>
    <x v="5"/>
    <x v="5"/>
    <n v="0"/>
    <n v="0"/>
    <n v="0"/>
    <n v="5"/>
    <n v="1"/>
    <n v="0"/>
    <m/>
  </r>
  <r>
    <x v="0"/>
    <x v="13"/>
    <x v="1"/>
    <x v="76"/>
    <x v="5"/>
    <x v="5"/>
    <x v="5"/>
    <n v="0"/>
    <n v="0"/>
    <n v="0"/>
    <n v="43"/>
    <n v="1"/>
    <n v="0"/>
    <m/>
  </r>
  <r>
    <x v="0"/>
    <x v="15"/>
    <x v="1"/>
    <x v="77"/>
    <x v="5"/>
    <x v="5"/>
    <x v="5"/>
    <n v="0"/>
    <n v="0"/>
    <n v="0"/>
    <n v="38"/>
    <n v="1"/>
    <n v="0"/>
    <m/>
  </r>
  <r>
    <x v="0"/>
    <x v="17"/>
    <x v="1"/>
    <x v="79"/>
    <x v="5"/>
    <x v="5"/>
    <x v="5"/>
    <n v="0"/>
    <n v="0"/>
    <n v="0"/>
    <n v="30"/>
    <n v="1"/>
    <n v="0"/>
    <m/>
  </r>
  <r>
    <x v="1"/>
    <x v="28"/>
    <x v="1"/>
    <x v="93"/>
    <x v="0"/>
    <x v="1"/>
    <x v="1"/>
    <n v="1.91178"/>
    <n v="9970"/>
    <n v="9619"/>
    <n v="351"/>
    <n v="3.6490279654849779E-2"/>
    <n v="671.03478000000007"/>
    <m/>
  </r>
  <r>
    <x v="1"/>
    <x v="29"/>
    <x v="1"/>
    <x v="94"/>
    <x v="0"/>
    <x v="1"/>
    <x v="1"/>
    <n v="1.91178"/>
    <n v="9120"/>
    <n v="8819"/>
    <n v="301"/>
    <n v="3.4130853838303665E-2"/>
    <n v="575.44578000000001"/>
    <m/>
  </r>
  <r>
    <x v="1"/>
    <x v="30"/>
    <x v="1"/>
    <x v="95"/>
    <x v="0"/>
    <x v="1"/>
    <x v="1"/>
    <n v="1.91178"/>
    <n v="6686"/>
    <n v="6382"/>
    <n v="304"/>
    <n v="4.7633970542149795E-2"/>
    <n v="581.18111999999996"/>
    <m/>
  </r>
  <r>
    <x v="1"/>
    <x v="31"/>
    <x v="1"/>
    <x v="96"/>
    <x v="0"/>
    <x v="1"/>
    <x v="1"/>
    <n v="1.91178"/>
    <n v="5134"/>
    <n v="4968"/>
    <n v="166"/>
    <n v="3.3413848631239938E-2"/>
    <n v="317.35548"/>
    <m/>
  </r>
  <r>
    <x v="1"/>
    <x v="33"/>
    <x v="1"/>
    <x v="97"/>
    <x v="0"/>
    <x v="6"/>
    <x v="6"/>
    <n v="1.9184100000000002"/>
    <n v="5873"/>
    <n v="5702"/>
    <n v="171"/>
    <n v="2.9989477376359173E-2"/>
    <n v="328.04811000000001"/>
    <m/>
  </r>
  <r>
    <x v="1"/>
    <x v="34"/>
    <x v="1"/>
    <x v="98"/>
    <x v="0"/>
    <x v="6"/>
    <x v="6"/>
    <n v="1.9184100000000002"/>
    <n v="5877"/>
    <n v="5702"/>
    <n v="175"/>
    <n v="3.0690985619081023E-2"/>
    <n v="335.72175000000004"/>
    <m/>
  </r>
  <r>
    <x v="1"/>
    <x v="35"/>
    <x v="1"/>
    <x v="99"/>
    <x v="0"/>
    <x v="1"/>
    <x v="1"/>
    <n v="1.91178"/>
    <n v="6115"/>
    <n v="5972"/>
    <n v="143"/>
    <n v="2.3945077026121902E-2"/>
    <n v="273.38454000000002"/>
    <m/>
  </r>
  <r>
    <x v="1"/>
    <x v="36"/>
    <x v="1"/>
    <x v="100"/>
    <x v="0"/>
    <x v="1"/>
    <x v="1"/>
    <n v="1.91178"/>
    <n v="6828"/>
    <n v="6588"/>
    <n v="240"/>
    <n v="3.6429872495446269E-2"/>
    <n v="458.8272"/>
    <m/>
  </r>
  <r>
    <x v="1"/>
    <x v="37"/>
    <x v="1"/>
    <x v="101"/>
    <x v="0"/>
    <x v="1"/>
    <x v="1"/>
    <n v="1.91178"/>
    <n v="39"/>
    <n v="0"/>
    <n v="39"/>
    <n v="1"/>
    <n v="74.559420000000003"/>
    <m/>
  </r>
  <r>
    <x v="1"/>
    <x v="29"/>
    <x v="1"/>
    <x v="94"/>
    <x v="2"/>
    <x v="3"/>
    <x v="3"/>
    <n v="3.8943099999999999"/>
    <n v="3320"/>
    <n v="3200"/>
    <n v="120"/>
    <n v="3.7499999999999999E-2"/>
    <n v="467.31720000000001"/>
    <m/>
  </r>
  <r>
    <x v="1"/>
    <x v="30"/>
    <x v="1"/>
    <x v="95"/>
    <x v="2"/>
    <x v="3"/>
    <x v="3"/>
    <n v="3.8943099999999999"/>
    <n v="7338"/>
    <n v="7200"/>
    <n v="138"/>
    <n v="1.9166666666666665E-2"/>
    <n v="537.41477999999995"/>
    <m/>
  </r>
  <r>
    <x v="1"/>
    <x v="31"/>
    <x v="1"/>
    <x v="96"/>
    <x v="2"/>
    <x v="3"/>
    <x v="3"/>
    <n v="3.8943099999999999"/>
    <n v="5830"/>
    <n v="5600"/>
    <n v="230"/>
    <n v="4.1071428571428571E-2"/>
    <n v="895.69129999999996"/>
    <m/>
  </r>
  <r>
    <x v="1"/>
    <x v="34"/>
    <x v="1"/>
    <x v="98"/>
    <x v="2"/>
    <x v="3"/>
    <x v="3"/>
    <n v="3.8943099999999999"/>
    <n v="5691"/>
    <n v="5600"/>
    <n v="91"/>
    <n v="1.6250000000000001E-2"/>
    <n v="354.38220999999999"/>
    <m/>
  </r>
  <r>
    <x v="1"/>
    <x v="35"/>
    <x v="1"/>
    <x v="99"/>
    <x v="2"/>
    <x v="3"/>
    <x v="3"/>
    <n v="3.8943099999999999"/>
    <n v="7282"/>
    <n v="7200"/>
    <n v="82"/>
    <n v="1.1388888888888889E-2"/>
    <n v="319.33341999999999"/>
    <m/>
  </r>
  <r>
    <x v="1"/>
    <x v="38"/>
    <x v="1"/>
    <x v="102"/>
    <x v="3"/>
    <x v="7"/>
    <x v="7"/>
    <n v="1.5820799999999999"/>
    <n v="6002"/>
    <n v="6000"/>
    <n v="2"/>
    <n v="3.3333333333333332E-4"/>
    <n v="3.1641599999999999"/>
    <m/>
  </r>
  <r>
    <x v="1"/>
    <x v="39"/>
    <x v="1"/>
    <x v="103"/>
    <x v="3"/>
    <x v="7"/>
    <x v="7"/>
    <n v="1.5820799999999999"/>
    <n v="7002"/>
    <n v="7000"/>
    <n v="2"/>
    <n v="2.8571428571428574E-4"/>
    <n v="3.1641599999999999"/>
    <m/>
  </r>
  <r>
    <x v="1"/>
    <x v="28"/>
    <x v="1"/>
    <x v="93"/>
    <x v="3"/>
    <x v="7"/>
    <x v="7"/>
    <n v="1.5820799999999999"/>
    <n v="3327"/>
    <n v="3325"/>
    <n v="2"/>
    <n v="6.0150375939849621E-4"/>
    <n v="3.1641599999999999"/>
    <m/>
  </r>
  <r>
    <x v="1"/>
    <x v="30"/>
    <x v="1"/>
    <x v="95"/>
    <x v="3"/>
    <x v="4"/>
    <x v="4"/>
    <n v="1.9508160000000001"/>
    <n v="2000"/>
    <n v="2000"/>
    <n v="0"/>
    <n v="0"/>
    <n v="0"/>
    <m/>
  </r>
  <r>
    <x v="1"/>
    <x v="31"/>
    <x v="1"/>
    <x v="96"/>
    <x v="3"/>
    <x v="4"/>
    <x v="4"/>
    <n v="1.9508160000000001"/>
    <n v="9013"/>
    <n v="9000"/>
    <n v="13"/>
    <n v="1.4444444444444444E-3"/>
    <n v="25.360608000000003"/>
    <m/>
  </r>
  <r>
    <x v="1"/>
    <x v="32"/>
    <x v="1"/>
    <x v="104"/>
    <x v="3"/>
    <x v="4"/>
    <x v="4"/>
    <n v="1.9508160000000001"/>
    <n v="13016"/>
    <n v="13000"/>
    <n v="16"/>
    <n v="1.2307692307692308E-3"/>
    <n v="31.213056000000002"/>
    <m/>
  </r>
  <r>
    <x v="1"/>
    <x v="40"/>
    <x v="1"/>
    <x v="105"/>
    <x v="3"/>
    <x v="4"/>
    <x v="4"/>
    <n v="1.9508160000000001"/>
    <n v="10000"/>
    <n v="10000"/>
    <n v="0"/>
    <n v="0"/>
    <n v="0"/>
    <m/>
  </r>
  <r>
    <x v="1"/>
    <x v="41"/>
    <x v="1"/>
    <x v="106"/>
    <x v="3"/>
    <x v="4"/>
    <x v="4"/>
    <n v="1.9508160000000001"/>
    <n v="9007"/>
    <n v="9000"/>
    <n v="7"/>
    <n v="7.7777777777777773E-4"/>
    <n v="13.655712000000001"/>
    <m/>
  </r>
  <r>
    <x v="1"/>
    <x v="33"/>
    <x v="1"/>
    <x v="97"/>
    <x v="3"/>
    <x v="4"/>
    <x v="4"/>
    <n v="1.9508160000000001"/>
    <n v="9002"/>
    <n v="9000"/>
    <n v="2"/>
    <n v="2.2222222222222223E-4"/>
    <n v="3.9016320000000002"/>
    <m/>
  </r>
  <r>
    <x v="1"/>
    <x v="34"/>
    <x v="1"/>
    <x v="98"/>
    <x v="3"/>
    <x v="4"/>
    <x v="4"/>
    <n v="1.9508160000000001"/>
    <n v="9003"/>
    <n v="9000"/>
    <n v="3"/>
    <n v="3.3333333333333332E-4"/>
    <n v="5.8524480000000008"/>
    <m/>
  </r>
  <r>
    <x v="1"/>
    <x v="35"/>
    <x v="1"/>
    <x v="99"/>
    <x v="3"/>
    <x v="4"/>
    <x v="4"/>
    <n v="1.9508160000000001"/>
    <n v="11003"/>
    <n v="11000"/>
    <n v="3"/>
    <n v="2.7272727272727274E-4"/>
    <n v="5.8524480000000008"/>
    <m/>
  </r>
  <r>
    <x v="1"/>
    <x v="36"/>
    <x v="1"/>
    <x v="100"/>
    <x v="3"/>
    <x v="4"/>
    <x v="4"/>
    <n v="1.9508160000000001"/>
    <n v="11013"/>
    <n v="11000"/>
    <n v="13"/>
    <n v="1.1818181818181819E-3"/>
    <n v="25.360608000000003"/>
    <m/>
  </r>
  <r>
    <x v="1"/>
    <x v="37"/>
    <x v="1"/>
    <x v="101"/>
    <x v="3"/>
    <x v="4"/>
    <x v="4"/>
    <n v="1.9508160000000001"/>
    <n v="3032"/>
    <n v="3000"/>
    <n v="32"/>
    <n v="1.0666666666666666E-2"/>
    <n v="62.426112000000003"/>
    <m/>
  </r>
  <r>
    <x v="1"/>
    <x v="42"/>
    <x v="1"/>
    <x v="107"/>
    <x v="3"/>
    <x v="4"/>
    <x v="4"/>
    <n v="1.9508160000000001"/>
    <n v="9017"/>
    <n v="9000"/>
    <n v="17"/>
    <n v="1.888888888888889E-3"/>
    <n v="33.163872000000005"/>
    <m/>
  </r>
  <r>
    <x v="1"/>
    <x v="43"/>
    <x v="1"/>
    <x v="108"/>
    <x v="3"/>
    <x v="4"/>
    <x v="4"/>
    <n v="1.9508160000000001"/>
    <n v="10054"/>
    <n v="10000"/>
    <n v="54"/>
    <n v="5.4000000000000003E-3"/>
    <n v="105.344064"/>
    <m/>
  </r>
  <r>
    <x v="1"/>
    <x v="28"/>
    <x v="1"/>
    <x v="93"/>
    <x v="5"/>
    <x v="5"/>
    <x v="5"/>
    <n v="0"/>
    <n v="20"/>
    <n v="0"/>
    <n v="20"/>
    <n v="1"/>
    <n v="0"/>
    <m/>
  </r>
  <r>
    <x v="1"/>
    <x v="30"/>
    <x v="1"/>
    <x v="95"/>
    <x v="5"/>
    <x v="5"/>
    <x v="5"/>
    <n v="0"/>
    <n v="10"/>
    <n v="0"/>
    <n v="10"/>
    <n v="1"/>
    <n v="0"/>
    <m/>
  </r>
  <r>
    <x v="1"/>
    <x v="31"/>
    <x v="1"/>
    <x v="96"/>
    <x v="5"/>
    <x v="5"/>
    <x v="5"/>
    <n v="0"/>
    <n v="30"/>
    <n v="0"/>
    <n v="30"/>
    <n v="1"/>
    <n v="0"/>
    <m/>
  </r>
  <r>
    <x v="1"/>
    <x v="33"/>
    <x v="1"/>
    <x v="97"/>
    <x v="5"/>
    <x v="5"/>
    <x v="5"/>
    <n v="0"/>
    <n v="30"/>
    <n v="0"/>
    <n v="30"/>
    <n v="1"/>
    <n v="0"/>
    <m/>
  </r>
  <r>
    <x v="1"/>
    <x v="35"/>
    <x v="1"/>
    <x v="99"/>
    <x v="5"/>
    <x v="5"/>
    <x v="5"/>
    <n v="0"/>
    <n v="60"/>
    <n v="0"/>
    <n v="60"/>
    <n v="1"/>
    <n v="0"/>
    <m/>
  </r>
  <r>
    <x v="1"/>
    <x v="36"/>
    <x v="1"/>
    <x v="100"/>
    <x v="5"/>
    <x v="5"/>
    <x v="5"/>
    <n v="0"/>
    <n v="30"/>
    <n v="0"/>
    <n v="30"/>
    <n v="1"/>
    <n v="0"/>
    <m/>
  </r>
  <r>
    <x v="1"/>
    <x v="45"/>
    <x v="1"/>
    <x v="109"/>
    <x v="0"/>
    <x v="1"/>
    <x v="1"/>
    <n v="1.91178"/>
    <n v="11192"/>
    <n v="10821"/>
    <n v="371"/>
    <n v="3.4285186211995194E-2"/>
    <n v="709.27038000000005"/>
    <m/>
  </r>
  <r>
    <x v="1"/>
    <x v="45"/>
    <x v="1"/>
    <x v="109"/>
    <x v="3"/>
    <x v="8"/>
    <x v="8"/>
    <n v="1.4516300000000002"/>
    <n v="10012"/>
    <n v="10000"/>
    <n v="12"/>
    <n v="1.1999999999999999E-3"/>
    <n v="17.419560000000004"/>
    <m/>
  </r>
  <r>
    <x v="1"/>
    <x v="45"/>
    <x v="1"/>
    <x v="109"/>
    <x v="4"/>
    <x v="9"/>
    <x v="9"/>
    <n v="1.21353"/>
    <n v="1004"/>
    <n v="1000"/>
    <n v="4"/>
    <n v="4.0000000000000001E-3"/>
    <n v="4.85412"/>
    <m/>
  </r>
  <r>
    <x v="1"/>
    <x v="45"/>
    <x v="1"/>
    <x v="109"/>
    <x v="5"/>
    <x v="5"/>
    <x v="5"/>
    <n v="0"/>
    <n v="74"/>
    <m/>
    <n v="74"/>
    <n v="1"/>
    <n v="0"/>
    <m/>
  </r>
  <r>
    <x v="1"/>
    <x v="46"/>
    <x v="1"/>
    <x v="110"/>
    <x v="5"/>
    <x v="5"/>
    <x v="5"/>
    <n v="0"/>
    <n v="1"/>
    <m/>
    <n v="1"/>
    <n v="1"/>
    <n v="0"/>
    <m/>
  </r>
  <r>
    <x v="1"/>
    <x v="46"/>
    <x v="1"/>
    <x v="110"/>
    <x v="0"/>
    <x v="1"/>
    <x v="1"/>
    <n v="1.91178"/>
    <n v="8425"/>
    <n v="8180"/>
    <n v="245"/>
    <n v="2.9951100244498777E-2"/>
    <n v="468.3861"/>
    <m/>
  </r>
  <r>
    <x v="1"/>
    <x v="46"/>
    <x v="1"/>
    <x v="110"/>
    <x v="3"/>
    <x v="8"/>
    <x v="8"/>
    <n v="1.4516300000000002"/>
    <n v="7015"/>
    <n v="7000"/>
    <n v="15"/>
    <n v="2.142857142857143E-3"/>
    <n v="21.774450000000002"/>
    <m/>
  </r>
  <r>
    <x v="1"/>
    <x v="46"/>
    <x v="1"/>
    <x v="110"/>
    <x v="4"/>
    <x v="9"/>
    <x v="9"/>
    <n v="1.21353"/>
    <n v="2001"/>
    <n v="2000"/>
    <n v="1"/>
    <n v="5.0000000000000001E-4"/>
    <n v="1.21353"/>
    <m/>
  </r>
  <r>
    <x v="1"/>
    <x v="47"/>
    <x v="1"/>
    <x v="111"/>
    <x v="0"/>
    <x v="1"/>
    <x v="1"/>
    <n v="1.91178"/>
    <n v="8130"/>
    <n v="7851"/>
    <n v="279"/>
    <n v="3.5536874283530757E-2"/>
    <n v="533.38661999999999"/>
    <m/>
  </r>
  <r>
    <x v="1"/>
    <x v="47"/>
    <x v="1"/>
    <x v="111"/>
    <x v="3"/>
    <x v="8"/>
    <x v="8"/>
    <n v="1.4516300000000002"/>
    <n v="10040"/>
    <n v="10000"/>
    <n v="40"/>
    <n v="4.0000000000000001E-3"/>
    <n v="58.065200000000004"/>
    <m/>
  </r>
  <r>
    <x v="1"/>
    <x v="47"/>
    <x v="1"/>
    <x v="111"/>
    <x v="4"/>
    <x v="9"/>
    <x v="9"/>
    <n v="1.21353"/>
    <n v="3091"/>
    <n v="3000"/>
    <n v="91"/>
    <n v="3.0333333333333334E-2"/>
    <n v="110.43123"/>
    <m/>
  </r>
  <r>
    <x v="1"/>
    <x v="47"/>
    <x v="1"/>
    <x v="111"/>
    <x v="5"/>
    <x v="5"/>
    <x v="5"/>
    <n v="0"/>
    <n v="2"/>
    <m/>
    <n v="2"/>
    <n v="1"/>
    <n v="0"/>
    <m/>
  </r>
  <r>
    <x v="1"/>
    <x v="48"/>
    <x v="1"/>
    <x v="112"/>
    <x v="0"/>
    <x v="1"/>
    <x v="1"/>
    <n v="1.91178"/>
    <n v="252"/>
    <n v="0"/>
    <n v="252"/>
    <n v="1"/>
    <n v="481.76856000000004"/>
    <m/>
  </r>
  <r>
    <x v="1"/>
    <x v="48"/>
    <x v="1"/>
    <x v="112"/>
    <x v="3"/>
    <x v="4"/>
    <x v="4"/>
    <n v="1.9508160000000001"/>
    <n v="12097"/>
    <n v="12000"/>
    <n v="97"/>
    <n v="8.083333333333333E-3"/>
    <n v="189.229152"/>
    <m/>
  </r>
  <r>
    <x v="1"/>
    <x v="48"/>
    <x v="1"/>
    <x v="112"/>
    <x v="4"/>
    <x v="9"/>
    <x v="9"/>
    <n v="1.21353"/>
    <n v="1000"/>
    <n v="1000"/>
    <m/>
    <n v="0"/>
    <n v="0"/>
    <m/>
  </r>
  <r>
    <x v="1"/>
    <x v="48"/>
    <x v="1"/>
    <x v="112"/>
    <x v="5"/>
    <x v="5"/>
    <x v="5"/>
    <n v="0"/>
    <n v="35"/>
    <m/>
    <n v="35"/>
    <n v="1"/>
    <n v="0"/>
    <m/>
  </r>
  <r>
    <x v="1"/>
    <x v="49"/>
    <x v="1"/>
    <x v="113"/>
    <x v="3"/>
    <x v="4"/>
    <x v="4"/>
    <n v="1.9508160000000001"/>
    <n v="9014"/>
    <n v="9000"/>
    <n v="14"/>
    <n v="1.5555555555555555E-3"/>
    <n v="27.311424000000002"/>
    <m/>
  </r>
  <r>
    <x v="1"/>
    <x v="50"/>
    <x v="1"/>
    <x v="114"/>
    <x v="3"/>
    <x v="4"/>
    <x v="4"/>
    <n v="1.9508160000000001"/>
    <n v="11000"/>
    <n v="11000"/>
    <n v="0"/>
    <n v="0"/>
    <n v="0"/>
    <m/>
  </r>
  <r>
    <x v="1"/>
    <x v="49"/>
    <x v="1"/>
    <x v="113"/>
    <x v="5"/>
    <x v="5"/>
    <x v="5"/>
    <n v="0"/>
    <n v="10"/>
    <m/>
    <n v="10"/>
    <n v="1"/>
    <n v="0"/>
    <m/>
  </r>
  <r>
    <x v="1"/>
    <x v="51"/>
    <x v="1"/>
    <x v="115"/>
    <x v="0"/>
    <x v="1"/>
    <x v="1"/>
    <n v="1.91178"/>
    <n v="8496"/>
    <n v="7649"/>
    <n v="847"/>
    <n v="0.11073342920643221"/>
    <n v="1619.27766"/>
    <s v="Had to run caramel out due to high moisture from issues in kitchen (caramel was running off patties causing build up at spooler). Alpha and bravo combined."/>
  </r>
  <r>
    <x v="1"/>
    <x v="51"/>
    <x v="1"/>
    <x v="115"/>
    <x v="1"/>
    <x v="2"/>
    <x v="2"/>
    <n v="2.08013"/>
    <n v="4892"/>
    <n v="4800"/>
    <n v="92"/>
    <n v="1.9166666666666665E-2"/>
    <n v="191.37196"/>
    <m/>
  </r>
  <r>
    <x v="1"/>
    <x v="51"/>
    <x v="1"/>
    <x v="115"/>
    <x v="3"/>
    <x v="4"/>
    <x v="4"/>
    <n v="1.9508160000000001"/>
    <n v="10011"/>
    <n v="10000"/>
    <n v="11"/>
    <n v="1.1000000000000001E-3"/>
    <n v="21.458976"/>
    <m/>
  </r>
  <r>
    <x v="1"/>
    <x v="51"/>
    <x v="1"/>
    <x v="115"/>
    <x v="4"/>
    <x v="9"/>
    <x v="9"/>
    <n v="1.21353"/>
    <n v="3042"/>
    <n v="3000"/>
    <n v="42"/>
    <n v="1.4E-2"/>
    <n v="50.968260000000001"/>
    <m/>
  </r>
  <r>
    <x v="1"/>
    <x v="52"/>
    <x v="1"/>
    <x v="116"/>
    <x v="0"/>
    <x v="1"/>
    <x v="1"/>
    <n v="1.91178"/>
    <n v="13057"/>
    <n v="12791"/>
    <n v="266"/>
    <n v="2.0795872097568602E-2"/>
    <n v="508.53348"/>
    <m/>
  </r>
  <r>
    <x v="1"/>
    <x v="52"/>
    <x v="1"/>
    <x v="116"/>
    <x v="1"/>
    <x v="2"/>
    <x v="2"/>
    <n v="2.08013"/>
    <n v="10676"/>
    <n v="10560"/>
    <n v="116"/>
    <n v="1.0984848484848484E-2"/>
    <n v="241.29508000000001"/>
    <m/>
  </r>
  <r>
    <x v="1"/>
    <x v="52"/>
    <x v="1"/>
    <x v="116"/>
    <x v="3"/>
    <x v="4"/>
    <x v="4"/>
    <n v="1.9508160000000001"/>
    <n v="9008"/>
    <n v="9000"/>
    <n v="8"/>
    <n v="8.8888888888888893E-4"/>
    <n v="15.606528000000001"/>
    <m/>
  </r>
  <r>
    <x v="1"/>
    <x v="52"/>
    <x v="1"/>
    <x v="116"/>
    <x v="4"/>
    <x v="9"/>
    <x v="9"/>
    <n v="1.21353"/>
    <n v="3037"/>
    <n v="3000"/>
    <n v="37"/>
    <n v="1.2333333333333333E-2"/>
    <n v="44.90061"/>
    <m/>
  </r>
  <r>
    <x v="1"/>
    <x v="52"/>
    <x v="1"/>
    <x v="116"/>
    <x v="5"/>
    <x v="5"/>
    <x v="5"/>
    <n v="0"/>
    <n v="27"/>
    <m/>
    <n v="27"/>
    <n v="1"/>
    <n v="0"/>
    <m/>
  </r>
  <r>
    <x v="1"/>
    <x v="53"/>
    <x v="1"/>
    <x v="117"/>
    <x v="0"/>
    <x v="1"/>
    <x v="1"/>
    <n v="1.91178"/>
    <n v="9846"/>
    <n v="9526"/>
    <n v="320"/>
    <n v="3.3592273777031285E-2"/>
    <n v="611.76959999999997"/>
    <m/>
  </r>
  <r>
    <x v="1"/>
    <x v="53"/>
    <x v="1"/>
    <x v="117"/>
    <x v="1"/>
    <x v="2"/>
    <x v="2"/>
    <n v="2.08013"/>
    <n v="9898.6"/>
    <n v="9600"/>
    <n v="298.60000000000002"/>
    <n v="3.1104166666666669E-2"/>
    <n v="621.12681800000007"/>
    <m/>
  </r>
  <r>
    <x v="1"/>
    <x v="53"/>
    <x v="1"/>
    <x v="117"/>
    <x v="3"/>
    <x v="4"/>
    <x v="4"/>
    <n v="1.9508160000000001"/>
    <n v="11034"/>
    <n v="11000"/>
    <n v="34"/>
    <n v="3.0909090909090908E-3"/>
    <n v="66.32774400000001"/>
    <m/>
  </r>
  <r>
    <x v="1"/>
    <x v="53"/>
    <x v="1"/>
    <x v="117"/>
    <x v="4"/>
    <x v="9"/>
    <x v="9"/>
    <n v="1.21353"/>
    <n v="2031"/>
    <n v="2000"/>
    <n v="31"/>
    <n v="1.55E-2"/>
    <n v="37.619430000000001"/>
    <m/>
  </r>
  <r>
    <x v="1"/>
    <x v="53"/>
    <x v="1"/>
    <x v="117"/>
    <x v="5"/>
    <x v="5"/>
    <x v="5"/>
    <n v="0"/>
    <n v="15"/>
    <m/>
    <n v="15"/>
    <n v="1"/>
    <n v="0"/>
    <m/>
  </r>
  <r>
    <x v="1"/>
    <x v="54"/>
    <x v="1"/>
    <x v="118"/>
    <x v="0"/>
    <x v="1"/>
    <x v="1"/>
    <n v="1.91178"/>
    <n v="11309"/>
    <n v="10951"/>
    <n v="358"/>
    <n v="3.2691078440325087E-2"/>
    <n v="684.41723999999999"/>
    <s v="Chocolate leaking from pump"/>
  </r>
  <r>
    <x v="1"/>
    <x v="54"/>
    <x v="1"/>
    <x v="118"/>
    <x v="1"/>
    <x v="2"/>
    <x v="2"/>
    <n v="2.08013"/>
    <n v="33"/>
    <n v="0"/>
    <n v="33"/>
    <n v="1"/>
    <n v="68.644289999999998"/>
    <m/>
  </r>
  <r>
    <x v="1"/>
    <x v="54"/>
    <x v="1"/>
    <x v="118"/>
    <x v="3"/>
    <x v="4"/>
    <x v="4"/>
    <n v="1.9508160000000001"/>
    <n v="9127"/>
    <n v="9100"/>
    <n v="27"/>
    <n v="2.9670329670329672E-3"/>
    <n v="52.672032000000002"/>
    <m/>
  </r>
  <r>
    <x v="1"/>
    <x v="54"/>
    <x v="1"/>
    <x v="118"/>
    <x v="4"/>
    <x v="4"/>
    <x v="4"/>
    <n v="1.9508160000000001"/>
    <n v="3039"/>
    <n v="3000"/>
    <n v="39"/>
    <n v="1.2999999999999999E-2"/>
    <n v="76.081823999999997"/>
    <m/>
  </r>
  <r>
    <x v="1"/>
    <x v="54"/>
    <x v="1"/>
    <x v="118"/>
    <x v="5"/>
    <x v="5"/>
    <x v="5"/>
    <n v="0"/>
    <n v="4"/>
    <m/>
    <n v="4"/>
    <n v="1"/>
    <n v="0"/>
    <m/>
  </r>
  <r>
    <x v="1"/>
    <x v="55"/>
    <x v="1"/>
    <x v="119"/>
    <x v="1"/>
    <x v="2"/>
    <x v="2"/>
    <n v="2.08013"/>
    <n v="7883"/>
    <n v="7680"/>
    <n v="203"/>
    <n v="2.6432291666666666E-2"/>
    <n v="422.26639"/>
    <m/>
  </r>
  <r>
    <x v="1"/>
    <x v="55"/>
    <x v="1"/>
    <x v="119"/>
    <x v="3"/>
    <x v="4"/>
    <x v="4"/>
    <n v="1.9508160000000001"/>
    <n v="10039"/>
    <n v="10000"/>
    <n v="39"/>
    <n v="3.8999999999999998E-3"/>
    <n v="76.081823999999997"/>
    <m/>
  </r>
  <r>
    <x v="1"/>
    <x v="55"/>
    <x v="1"/>
    <x v="119"/>
    <x v="4"/>
    <x v="4"/>
    <x v="4"/>
    <n v="1.9508160000000001"/>
    <n v="2024"/>
    <n v="2000"/>
    <n v="24"/>
    <n v="1.2E-2"/>
    <n v="46.819584000000006"/>
    <m/>
  </r>
  <r>
    <x v="1"/>
    <x v="55"/>
    <x v="1"/>
    <x v="119"/>
    <x v="5"/>
    <x v="5"/>
    <x v="5"/>
    <n v="0"/>
    <n v="25"/>
    <m/>
    <n v="25"/>
    <n v="1"/>
    <n v="0"/>
    <m/>
  </r>
  <r>
    <x v="1"/>
    <x v="56"/>
    <x v="1"/>
    <x v="120"/>
    <x v="3"/>
    <x v="4"/>
    <x v="4"/>
    <n v="1.9508160000000001"/>
    <n v="10052"/>
    <n v="10000"/>
    <n v="52"/>
    <n v="5.1999999999999998E-3"/>
    <n v="101.44243200000001"/>
    <m/>
  </r>
  <r>
    <x v="1"/>
    <x v="56"/>
    <x v="1"/>
    <x v="120"/>
    <x v="5"/>
    <x v="5"/>
    <x v="5"/>
    <n v="0"/>
    <n v="25"/>
    <m/>
    <n v="25"/>
    <n v="1"/>
    <n v="0"/>
    <m/>
  </r>
  <r>
    <x v="2"/>
    <x v="57"/>
    <x v="1"/>
    <x v="121"/>
    <x v="3"/>
    <x v="4"/>
    <x v="4"/>
    <n v="1.9508160000000001"/>
    <n v="11059"/>
    <n v="11000"/>
    <n v="59"/>
    <n v="5.3636363636363638E-3"/>
    <n v="115.098144"/>
    <m/>
  </r>
  <r>
    <x v="2"/>
    <x v="58"/>
    <x v="1"/>
    <x v="122"/>
    <x v="0"/>
    <x v="0"/>
    <x v="0"/>
    <n v="1.96"/>
    <n v="7071"/>
    <n v="6480"/>
    <n v="591"/>
    <n v="9.1203703703703703E-2"/>
    <n v="1158.3599999999999"/>
    <s v="Enrobing issues (patties were too big and heavy)"/>
  </r>
  <r>
    <x v="2"/>
    <x v="58"/>
    <x v="1"/>
    <x v="122"/>
    <x v="2"/>
    <x v="3"/>
    <x v="3"/>
    <n v="3.8943099999999999"/>
    <n v="7372"/>
    <n v="7200"/>
    <n v="172"/>
    <n v="2.388888888888889E-2"/>
    <n v="669.82132000000001"/>
    <m/>
  </r>
  <r>
    <x v="2"/>
    <x v="58"/>
    <x v="1"/>
    <x v="122"/>
    <x v="3"/>
    <x v="4"/>
    <x v="4"/>
    <n v="1.9508160000000001"/>
    <n v="12013"/>
    <n v="12000"/>
    <n v="13"/>
    <n v="1.0833333333333333E-3"/>
    <n v="25.360608000000003"/>
    <m/>
  </r>
  <r>
    <x v="2"/>
    <x v="58"/>
    <x v="1"/>
    <x v="122"/>
    <x v="4"/>
    <x v="4"/>
    <x v="4"/>
    <n v="1.9508160000000001"/>
    <n v="1009"/>
    <n v="1000"/>
    <n v="9"/>
    <n v="8.9999999999999993E-3"/>
    <n v="17.557344000000001"/>
    <m/>
  </r>
  <r>
    <x v="2"/>
    <x v="58"/>
    <x v="1"/>
    <x v="122"/>
    <x v="5"/>
    <x v="5"/>
    <x v="5"/>
    <n v="0"/>
    <n v="13"/>
    <m/>
    <n v="13"/>
    <n v="1"/>
    <n v="0"/>
    <m/>
  </r>
  <r>
    <x v="2"/>
    <x v="59"/>
    <x v="1"/>
    <x v="123"/>
    <x v="0"/>
    <x v="0"/>
    <x v="0"/>
    <n v="1.96"/>
    <n v="7681"/>
    <n v="7200"/>
    <n v="481"/>
    <n v="6.6805555555555562E-2"/>
    <n v="942.76"/>
    <s v="Chillers had to be reset "/>
  </r>
  <r>
    <x v="2"/>
    <x v="59"/>
    <x v="1"/>
    <x v="123"/>
    <x v="2"/>
    <x v="3"/>
    <x v="3"/>
    <n v="3.8943099999999999"/>
    <n v="8185"/>
    <n v="8000"/>
    <n v="185"/>
    <n v="2.3125E-2"/>
    <n v="720.44735000000003"/>
    <m/>
  </r>
  <r>
    <x v="2"/>
    <x v="59"/>
    <x v="1"/>
    <x v="123"/>
    <x v="3"/>
    <x v="4"/>
    <x v="4"/>
    <n v="1.9508160000000001"/>
    <n v="9040"/>
    <n v="9000"/>
    <n v="40"/>
    <n v="4.4444444444444444E-3"/>
    <n v="78.032640000000001"/>
    <m/>
  </r>
  <r>
    <x v="2"/>
    <x v="59"/>
    <x v="1"/>
    <x v="123"/>
    <x v="4"/>
    <x v="4"/>
    <x v="4"/>
    <n v="1.9508160000000001"/>
    <n v="2031"/>
    <n v="2000"/>
    <n v="31"/>
    <n v="1.55E-2"/>
    <n v="60.475296"/>
    <m/>
  </r>
  <r>
    <x v="2"/>
    <x v="59"/>
    <x v="1"/>
    <x v="123"/>
    <x v="5"/>
    <x v="5"/>
    <x v="5"/>
    <n v="0"/>
    <n v="10"/>
    <m/>
    <n v="10"/>
    <n v="1"/>
    <n v="0"/>
    <m/>
  </r>
  <r>
    <x v="2"/>
    <x v="60"/>
    <x v="1"/>
    <x v="124"/>
    <x v="0"/>
    <x v="0"/>
    <x v="0"/>
    <n v="1.96"/>
    <n v="7611"/>
    <n v="7200"/>
    <n v="411"/>
    <n v="5.7083333333333333E-2"/>
    <n v="805.56"/>
    <m/>
  </r>
  <r>
    <x v="2"/>
    <x v="60"/>
    <x v="1"/>
    <x v="124"/>
    <x v="2"/>
    <x v="3"/>
    <x v="3"/>
    <n v="3.8943099999999999"/>
    <n v="6463"/>
    <n v="6400"/>
    <n v="63"/>
    <n v="9.8437500000000001E-3"/>
    <n v="245.34153000000001"/>
    <m/>
  </r>
  <r>
    <x v="2"/>
    <x v="60"/>
    <x v="1"/>
    <x v="124"/>
    <x v="3"/>
    <x v="4"/>
    <x v="4"/>
    <n v="1.9508160000000001"/>
    <n v="10012"/>
    <n v="10000"/>
    <n v="12"/>
    <n v="1.1999999999999999E-3"/>
    <n v="23.409792000000003"/>
    <m/>
  </r>
  <r>
    <x v="2"/>
    <x v="60"/>
    <x v="1"/>
    <x v="124"/>
    <x v="4"/>
    <x v="4"/>
    <x v="4"/>
    <n v="1.9508160000000001"/>
    <n v="2024"/>
    <n v="2000"/>
    <n v="24"/>
    <n v="1.2E-2"/>
    <n v="46.819584000000006"/>
    <m/>
  </r>
  <r>
    <x v="2"/>
    <x v="60"/>
    <x v="1"/>
    <x v="124"/>
    <x v="5"/>
    <x v="5"/>
    <x v="5"/>
    <n v="0"/>
    <n v="35"/>
    <m/>
    <n v="35"/>
    <n v="1"/>
    <n v="0"/>
    <m/>
  </r>
  <r>
    <x v="2"/>
    <x v="61"/>
    <x v="1"/>
    <x v="125"/>
    <x v="0"/>
    <x v="0"/>
    <x v="0"/>
    <n v="1.96"/>
    <n v="3213"/>
    <n v="2839"/>
    <n v="374"/>
    <n v="0.1317365269461078"/>
    <n v="733.04"/>
    <s v="Issues w/ sigs, candy not running through machine"/>
  </r>
  <r>
    <x v="2"/>
    <x v="61"/>
    <x v="1"/>
    <x v="125"/>
    <x v="2"/>
    <x v="3"/>
    <x v="3"/>
    <n v="3.8943099999999999"/>
    <n v="7309"/>
    <n v="7200"/>
    <n v="109"/>
    <n v="1.5138888888888889E-2"/>
    <n v="424.47978999999998"/>
    <m/>
  </r>
  <r>
    <x v="2"/>
    <x v="61"/>
    <x v="1"/>
    <x v="125"/>
    <x v="3"/>
    <x v="4"/>
    <x v="4"/>
    <n v="1.9508160000000001"/>
    <n v="5015"/>
    <n v="5000"/>
    <n v="15"/>
    <n v="3.0000000000000001E-3"/>
    <n v="29.262240000000002"/>
    <m/>
  </r>
  <r>
    <x v="2"/>
    <x v="62"/>
    <x v="1"/>
    <x v="126"/>
    <x v="2"/>
    <x v="3"/>
    <x v="3"/>
    <n v="3.8943099999999999"/>
    <n v="4822"/>
    <n v="4800"/>
    <n v="22"/>
    <n v="4.5833333333333334E-3"/>
    <n v="85.674819999999997"/>
    <m/>
  </r>
  <r>
    <x v="0"/>
    <x v="0"/>
    <x v="2"/>
    <x v="127"/>
    <x v="0"/>
    <x v="0"/>
    <x v="0"/>
    <m/>
    <n v="0"/>
    <n v="0"/>
    <n v="30"/>
    <n v="1"/>
    <n v="0"/>
    <m/>
  </r>
  <r>
    <x v="0"/>
    <x v="1"/>
    <x v="2"/>
    <x v="128"/>
    <x v="0"/>
    <x v="0"/>
    <x v="0"/>
    <n v="1.9453399999999998"/>
    <n v="3974.88"/>
    <n v="3974.88"/>
    <n v="456"/>
    <n v="0.11472044439077406"/>
    <n v="887.07503999999994"/>
    <s v="Defects from deformed product and chopped in sigs knives"/>
  </r>
  <r>
    <x v="0"/>
    <x v="2"/>
    <x v="2"/>
    <x v="129"/>
    <x v="0"/>
    <x v="1"/>
    <x v="1"/>
    <n v="1.89697"/>
    <n v="5164"/>
    <n v="5164"/>
    <n v="240"/>
    <n v="4.6475600309837335E-2"/>
    <n v="455.27280000000002"/>
    <s v="Defects and crushed candy on Sig 1 and 2"/>
  </r>
  <r>
    <x v="0"/>
    <x v="3"/>
    <x v="2"/>
    <x v="130"/>
    <x v="0"/>
    <x v="1"/>
    <x v="1"/>
    <n v="1.89697"/>
    <n v="8902.4"/>
    <n v="8902.4"/>
    <n v="321"/>
    <n v="3.6057692307692311E-2"/>
    <n v="608.92737"/>
    <m/>
  </r>
  <r>
    <x v="0"/>
    <x v="4"/>
    <x v="2"/>
    <x v="131"/>
    <x v="0"/>
    <x v="1"/>
    <x v="1"/>
    <n v="1.89697"/>
    <n v="10502.4"/>
    <n v="10502.4"/>
    <n v="439"/>
    <n v="4.1799969530773917E-2"/>
    <n v="832.76983000000007"/>
    <s v="Tails on turtles"/>
  </r>
  <r>
    <x v="0"/>
    <x v="5"/>
    <x v="2"/>
    <x v="132"/>
    <x v="0"/>
    <x v="1"/>
    <x v="1"/>
    <n v="1.89697"/>
    <n v="10502.4"/>
    <n v="10502.4"/>
    <n v="491"/>
    <n v="4.6751218769043271E-2"/>
    <n v="931.41227000000003"/>
    <s v="Tails on turtles"/>
  </r>
  <r>
    <x v="0"/>
    <x v="6"/>
    <x v="2"/>
    <x v="133"/>
    <x v="0"/>
    <x v="1"/>
    <x v="1"/>
    <n v="1.89697"/>
    <n v="9876.7999999999993"/>
    <n v="9876.7999999999993"/>
    <n v="420"/>
    <n v="4.2523894378746159E-2"/>
    <n v="796.72739999999999"/>
    <m/>
  </r>
  <r>
    <x v="0"/>
    <x v="7"/>
    <x v="2"/>
    <x v="134"/>
    <x v="0"/>
    <x v="1"/>
    <x v="1"/>
    <n v="1.89697"/>
    <n v="4356"/>
    <n v="4356"/>
    <n v="243"/>
    <n v="5.578512396694215E-2"/>
    <n v="460.96370999999999"/>
    <m/>
  </r>
  <r>
    <x v="0"/>
    <x v="8"/>
    <x v="2"/>
    <x v="135"/>
    <x v="0"/>
    <x v="1"/>
    <x v="1"/>
    <n v="1.89697"/>
    <n v="3912.48"/>
    <n v="3912.48"/>
    <n v="324"/>
    <n v="8.2811924917188071E-2"/>
    <n v="614.61828000000003"/>
    <m/>
  </r>
  <r>
    <x v="0"/>
    <x v="9"/>
    <x v="2"/>
    <x v="136"/>
    <x v="0"/>
    <x v="1"/>
    <x v="1"/>
    <n v="1.89697"/>
    <n v="4989.6000000000004"/>
    <n v="4989.6000000000004"/>
    <n v="347"/>
    <n v="6.954465287798621E-2"/>
    <n v="658.24859000000004"/>
    <s v="Defects, enrober ran out of chocolate"/>
  </r>
  <r>
    <x v="0"/>
    <x v="10"/>
    <x v="2"/>
    <x v="137"/>
    <x v="0"/>
    <x v="1"/>
    <x v="1"/>
    <n v="1.89697"/>
    <n v="4989.6000000000004"/>
    <n v="4989.6000000000004"/>
    <n v="546"/>
    <n v="0.10942760942760942"/>
    <n v="1035.7456199999999"/>
    <m/>
  </r>
  <r>
    <x v="0"/>
    <x v="11"/>
    <x v="2"/>
    <x v="138"/>
    <x v="0"/>
    <x v="1"/>
    <x v="1"/>
    <n v="1.89697"/>
    <n v="5480.64"/>
    <n v="5480.64"/>
    <n v="546"/>
    <n v="9.962340164652303E-2"/>
    <n v="1035.7456199999999"/>
    <s v="Caramel moisture/dosing pump fault in kitchen"/>
  </r>
  <r>
    <x v="0"/>
    <x v="63"/>
    <x v="2"/>
    <x v="139"/>
    <x v="0"/>
    <x v="1"/>
    <x v="1"/>
    <n v="1.89697"/>
    <n v="1425.6"/>
    <n v="1425.6"/>
    <n v="250"/>
    <n v="0.17536475869809204"/>
    <n v="474.24250000000001"/>
    <s v="Shared between Alpha and Bravo"/>
  </r>
  <r>
    <x v="0"/>
    <x v="12"/>
    <x v="2"/>
    <x v="140"/>
    <x v="0"/>
    <x v="0"/>
    <x v="0"/>
    <n v="1.9453399999999998"/>
    <n v="5110.5600000000004"/>
    <n v="5110.5600000000004"/>
    <n v="674"/>
    <n v="0.13188378572993956"/>
    <n v="1311.1591599999999"/>
    <s v="Tails and clusters on Alpha"/>
  </r>
  <r>
    <x v="0"/>
    <x v="13"/>
    <x v="2"/>
    <x v="141"/>
    <x v="0"/>
    <x v="0"/>
    <x v="0"/>
    <n v="1.9453399999999998"/>
    <n v="2880"/>
    <n v="2880"/>
    <n v="394"/>
    <n v="0.13680555555555557"/>
    <n v="766.46395999999993"/>
    <m/>
  </r>
  <r>
    <x v="0"/>
    <x v="14"/>
    <x v="2"/>
    <x v="142"/>
    <x v="0"/>
    <x v="0"/>
    <x v="0"/>
    <n v="1.9453399999999998"/>
    <n v="3974.88"/>
    <n v="3974.88"/>
    <n v="268"/>
    <n v="6.7423419071770713E-2"/>
    <n v="521.35111999999992"/>
    <m/>
  </r>
  <r>
    <x v="0"/>
    <x v="16"/>
    <x v="2"/>
    <x v="143"/>
    <x v="0"/>
    <x v="0"/>
    <x v="0"/>
    <n v="1.9453399999999998"/>
    <n v="3600"/>
    <n v="3600"/>
    <n v="316"/>
    <n v="8.7777777777777774E-2"/>
    <n v="614.72744"/>
    <s v="Estop pulled"/>
  </r>
  <r>
    <x v="0"/>
    <x v="17"/>
    <x v="2"/>
    <x v="144"/>
    <x v="0"/>
    <x v="0"/>
    <x v="0"/>
    <n v="1.9453399999999998"/>
    <n v="7920"/>
    <n v="7920"/>
    <n v="310"/>
    <n v="3.9141414141414144E-2"/>
    <n v="603.05539999999996"/>
    <m/>
  </r>
  <r>
    <x v="0"/>
    <x v="18"/>
    <x v="2"/>
    <x v="145"/>
    <x v="0"/>
    <x v="0"/>
    <x v="0"/>
    <n v="1.9453399999999998"/>
    <n v="3600"/>
    <n v="3600"/>
    <n v="241"/>
    <n v="6.6944444444444445E-2"/>
    <n v="468.82693999999998"/>
    <m/>
  </r>
  <r>
    <x v="0"/>
    <x v="19"/>
    <x v="2"/>
    <x v="146"/>
    <x v="0"/>
    <x v="0"/>
    <x v="0"/>
    <n v="1.9453399999999998"/>
    <n v="5040"/>
    <n v="5040"/>
    <n v="204"/>
    <n v="4.0476190476190478E-2"/>
    <n v="396.84935999999999"/>
    <m/>
  </r>
  <r>
    <x v="0"/>
    <x v="6"/>
    <x v="2"/>
    <x v="133"/>
    <x v="1"/>
    <x v="2"/>
    <x v="2"/>
    <n v="2.0602900000000002"/>
    <n v="0"/>
    <n v="0"/>
    <n v="50"/>
    <n v="1"/>
    <n v="103.01450000000001"/>
    <m/>
  </r>
  <r>
    <x v="0"/>
    <x v="10"/>
    <x v="2"/>
    <x v="137"/>
    <x v="1"/>
    <x v="2"/>
    <x v="2"/>
    <n v="2.0602900000000002"/>
    <n v="13440"/>
    <n v="13440"/>
    <n v="0"/>
    <n v="0"/>
    <n v="0"/>
    <m/>
  </r>
  <r>
    <x v="0"/>
    <x v="11"/>
    <x v="2"/>
    <x v="138"/>
    <x v="1"/>
    <x v="2"/>
    <x v="2"/>
    <n v="2.0602900000000002"/>
    <n v="10560"/>
    <n v="10560"/>
    <n v="58"/>
    <n v="5.4924242424242422E-3"/>
    <n v="119.49682000000001"/>
    <m/>
  </r>
  <r>
    <x v="0"/>
    <x v="63"/>
    <x v="2"/>
    <x v="139"/>
    <x v="1"/>
    <x v="2"/>
    <x v="2"/>
    <n v="2.0602900000000002"/>
    <n v="2880"/>
    <n v="2880"/>
    <n v="91"/>
    <n v="3.1597222222222221E-2"/>
    <n v="187.48639000000003"/>
    <m/>
  </r>
  <r>
    <x v="0"/>
    <x v="12"/>
    <x v="2"/>
    <x v="140"/>
    <x v="1"/>
    <x v="2"/>
    <x v="2"/>
    <n v="2.0602900000000002"/>
    <n v="8640"/>
    <n v="8640"/>
    <n v="280"/>
    <n v="3.2407407407407406E-2"/>
    <n v="576.88120000000004"/>
    <m/>
  </r>
  <r>
    <x v="0"/>
    <x v="13"/>
    <x v="2"/>
    <x v="141"/>
    <x v="1"/>
    <x v="2"/>
    <x v="2"/>
    <n v="2.0602900000000002"/>
    <n v="12480"/>
    <n v="12480"/>
    <n v="40"/>
    <n v="3.205128205128205E-3"/>
    <n v="82.411600000000007"/>
    <m/>
  </r>
  <r>
    <x v="0"/>
    <x v="8"/>
    <x v="2"/>
    <x v="135"/>
    <x v="2"/>
    <x v="3"/>
    <x v="3"/>
    <n v="3.8560100000000004"/>
    <n v="2400"/>
    <n v="2400"/>
    <n v="0"/>
    <n v="0"/>
    <n v="0"/>
    <m/>
  </r>
  <r>
    <x v="0"/>
    <x v="9"/>
    <x v="2"/>
    <x v="136"/>
    <x v="2"/>
    <x v="3"/>
    <x v="3"/>
    <n v="3.8560100000000004"/>
    <n v="4800"/>
    <n v="4800"/>
    <n v="208"/>
    <n v="4.3333333333333335E-2"/>
    <n v="802.05008000000009"/>
    <m/>
  </r>
  <r>
    <x v="0"/>
    <x v="10"/>
    <x v="2"/>
    <x v="137"/>
    <x v="2"/>
    <x v="3"/>
    <x v="3"/>
    <n v="3.8560100000000004"/>
    <n v="6400"/>
    <n v="6400"/>
    <n v="94"/>
    <n v="1.4687499999999999E-2"/>
    <n v="362.46494000000001"/>
    <m/>
  </r>
  <r>
    <x v="0"/>
    <x v="11"/>
    <x v="2"/>
    <x v="138"/>
    <x v="2"/>
    <x v="3"/>
    <x v="3"/>
    <n v="3.8560100000000004"/>
    <n v="4000"/>
    <n v="4000"/>
    <n v="160"/>
    <n v="0.04"/>
    <n v="616.96160000000009"/>
    <m/>
  </r>
  <r>
    <x v="0"/>
    <x v="12"/>
    <x v="2"/>
    <x v="140"/>
    <x v="2"/>
    <x v="3"/>
    <x v="3"/>
    <n v="3.8560100000000004"/>
    <n v="6400"/>
    <n v="6400"/>
    <n v="139"/>
    <n v="2.1718749999999998E-2"/>
    <n v="535.98539000000005"/>
    <m/>
  </r>
  <r>
    <x v="0"/>
    <x v="13"/>
    <x v="2"/>
    <x v="141"/>
    <x v="2"/>
    <x v="3"/>
    <x v="3"/>
    <n v="3.8560100000000004"/>
    <n v="6400"/>
    <n v="6400"/>
    <n v="97"/>
    <n v="1.515625E-2"/>
    <n v="374.03297000000003"/>
    <m/>
  </r>
  <r>
    <x v="0"/>
    <x v="14"/>
    <x v="2"/>
    <x v="142"/>
    <x v="2"/>
    <x v="3"/>
    <x v="3"/>
    <n v="3.8560100000000004"/>
    <n v="6400"/>
    <n v="6400"/>
    <n v="169"/>
    <n v="2.6406249999999999E-2"/>
    <n v="651.66569000000004"/>
    <m/>
  </r>
  <r>
    <x v="0"/>
    <x v="17"/>
    <x v="2"/>
    <x v="144"/>
    <x v="2"/>
    <x v="3"/>
    <x v="3"/>
    <n v="3.8560100000000004"/>
    <n v="7200"/>
    <n v="7200"/>
    <n v="151"/>
    <n v="2.0972222222222222E-2"/>
    <n v="582.25751000000002"/>
    <m/>
  </r>
  <r>
    <x v="0"/>
    <x v="18"/>
    <x v="2"/>
    <x v="145"/>
    <x v="2"/>
    <x v="3"/>
    <x v="3"/>
    <n v="3.8560100000000004"/>
    <n v="6400"/>
    <n v="6400"/>
    <n v="173"/>
    <n v="2.703125E-2"/>
    <n v="667.08973000000003"/>
    <s v="Nuts are very small and are falling from wire mesh belt as they approach enrober"/>
  </r>
  <r>
    <x v="0"/>
    <x v="19"/>
    <x v="2"/>
    <x v="146"/>
    <x v="2"/>
    <x v="3"/>
    <x v="3"/>
    <n v="3.8560100000000004"/>
    <n v="8000"/>
    <n v="8000"/>
    <n v="147"/>
    <n v="1.8374999999999999E-2"/>
    <n v="566.83347000000003"/>
    <m/>
  </r>
  <r>
    <x v="0"/>
    <x v="4"/>
    <x v="2"/>
    <x v="131"/>
    <x v="3"/>
    <x v="4"/>
    <x v="4"/>
    <n v="1.1520708"/>
    <n v="0"/>
    <n v="0"/>
    <n v="5"/>
    <n v="1"/>
    <n v="5.7603539999999995"/>
    <m/>
  </r>
  <r>
    <x v="0"/>
    <x v="1"/>
    <x v="2"/>
    <x v="128"/>
    <x v="4"/>
    <x v="4"/>
    <x v="4"/>
    <n v="1.1520708"/>
    <n v="2000"/>
    <n v="2000"/>
    <n v="14"/>
    <n v="7.0000000000000001E-3"/>
    <n v="16.128991199999998"/>
    <m/>
  </r>
  <r>
    <x v="0"/>
    <x v="2"/>
    <x v="2"/>
    <x v="129"/>
    <x v="4"/>
    <x v="4"/>
    <x v="4"/>
    <n v="1.1520708"/>
    <n v="1000"/>
    <n v="1000"/>
    <n v="23"/>
    <n v="2.3E-2"/>
    <n v="26.4976284"/>
    <m/>
  </r>
  <r>
    <x v="0"/>
    <x v="3"/>
    <x v="2"/>
    <x v="130"/>
    <x v="4"/>
    <x v="4"/>
    <x v="4"/>
    <n v="1.1520708"/>
    <n v="1000"/>
    <n v="1000"/>
    <n v="3"/>
    <n v="3.0000000000000001E-3"/>
    <n v="3.4562124000000001"/>
    <m/>
  </r>
  <r>
    <x v="0"/>
    <x v="4"/>
    <x v="2"/>
    <x v="131"/>
    <x v="4"/>
    <x v="4"/>
    <x v="4"/>
    <n v="1.1520708"/>
    <n v="1000"/>
    <n v="1000"/>
    <n v="0"/>
    <n v="0"/>
    <n v="0"/>
    <m/>
  </r>
  <r>
    <x v="0"/>
    <x v="5"/>
    <x v="2"/>
    <x v="132"/>
    <x v="4"/>
    <x v="4"/>
    <x v="4"/>
    <n v="1.1520708"/>
    <n v="1000"/>
    <n v="1000"/>
    <n v="9"/>
    <n v="8.9999999999999993E-3"/>
    <n v="10.3686372"/>
    <m/>
  </r>
  <r>
    <x v="0"/>
    <x v="6"/>
    <x v="2"/>
    <x v="133"/>
    <x v="4"/>
    <x v="4"/>
    <x v="4"/>
    <n v="1.1520708"/>
    <n v="1000"/>
    <n v="1000"/>
    <n v="2"/>
    <n v="2E-3"/>
    <n v="2.3041415999999999"/>
    <m/>
  </r>
  <r>
    <x v="0"/>
    <x v="7"/>
    <x v="2"/>
    <x v="134"/>
    <x v="4"/>
    <x v="4"/>
    <x v="4"/>
    <n v="1.1520708"/>
    <n v="1000"/>
    <n v="1000"/>
    <n v="3"/>
    <n v="3.0000000000000001E-3"/>
    <n v="3.4562124000000001"/>
    <m/>
  </r>
  <r>
    <x v="0"/>
    <x v="9"/>
    <x v="2"/>
    <x v="136"/>
    <x v="4"/>
    <x v="4"/>
    <x v="4"/>
    <n v="1.1520708"/>
    <n v="1000"/>
    <n v="1000"/>
    <n v="0"/>
    <n v="0"/>
    <n v="0"/>
    <m/>
  </r>
  <r>
    <x v="0"/>
    <x v="1"/>
    <x v="2"/>
    <x v="128"/>
    <x v="5"/>
    <x v="5"/>
    <x v="5"/>
    <n v="0"/>
    <n v="0"/>
    <n v="0"/>
    <n v="10"/>
    <n v="1"/>
    <n v="0"/>
    <m/>
  </r>
  <r>
    <x v="0"/>
    <x v="21"/>
    <x v="2"/>
    <x v="147"/>
    <x v="5"/>
    <x v="5"/>
    <x v="5"/>
    <n v="0"/>
    <n v="0"/>
    <n v="0"/>
    <n v="3"/>
    <n v="1"/>
    <n v="0"/>
    <m/>
  </r>
  <r>
    <x v="0"/>
    <x v="3"/>
    <x v="2"/>
    <x v="130"/>
    <x v="5"/>
    <x v="5"/>
    <x v="5"/>
    <n v="0"/>
    <n v="0"/>
    <n v="0"/>
    <n v="10"/>
    <n v="1"/>
    <n v="0"/>
    <m/>
  </r>
  <r>
    <x v="0"/>
    <x v="10"/>
    <x v="2"/>
    <x v="137"/>
    <x v="5"/>
    <x v="5"/>
    <x v="5"/>
    <n v="0"/>
    <n v="0"/>
    <n v="0"/>
    <n v="58"/>
    <n v="1"/>
    <n v="0"/>
    <m/>
  </r>
  <r>
    <x v="0"/>
    <x v="12"/>
    <x v="2"/>
    <x v="140"/>
    <x v="5"/>
    <x v="5"/>
    <x v="5"/>
    <n v="0"/>
    <n v="0"/>
    <n v="0"/>
    <n v="71"/>
    <n v="1"/>
    <n v="0"/>
    <m/>
  </r>
  <r>
    <x v="0"/>
    <x v="14"/>
    <x v="2"/>
    <x v="142"/>
    <x v="5"/>
    <x v="5"/>
    <x v="5"/>
    <n v="0"/>
    <n v="0"/>
    <n v="0"/>
    <n v="2"/>
    <n v="1"/>
    <n v="0"/>
    <m/>
  </r>
  <r>
    <x v="0"/>
    <x v="15"/>
    <x v="2"/>
    <x v="148"/>
    <x v="5"/>
    <x v="5"/>
    <x v="5"/>
    <n v="0"/>
    <n v="0"/>
    <n v="0"/>
    <n v="7"/>
    <n v="1"/>
    <n v="0"/>
    <m/>
  </r>
  <r>
    <x v="0"/>
    <x v="18"/>
    <x v="2"/>
    <x v="145"/>
    <x v="5"/>
    <x v="5"/>
    <x v="5"/>
    <n v="0"/>
    <n v="0"/>
    <n v="0"/>
    <n v="3"/>
    <n v="1"/>
    <n v="0"/>
    <m/>
  </r>
  <r>
    <x v="1"/>
    <x v="29"/>
    <x v="2"/>
    <x v="149"/>
    <x v="0"/>
    <x v="1"/>
    <x v="1"/>
    <n v="1.91178"/>
    <n v="10879"/>
    <n v="10646"/>
    <n v="233"/>
    <n v="2.188615442419688E-2"/>
    <n v="445.44474000000002"/>
    <m/>
  </r>
  <r>
    <x v="1"/>
    <x v="30"/>
    <x v="2"/>
    <x v="150"/>
    <x v="0"/>
    <x v="1"/>
    <x v="1"/>
    <n v="1.91178"/>
    <n v="9390"/>
    <n v="9165"/>
    <n v="225"/>
    <n v="2.4549918166939442E-2"/>
    <n v="430.15050000000002"/>
    <m/>
  </r>
  <r>
    <x v="1"/>
    <x v="31"/>
    <x v="2"/>
    <x v="151"/>
    <x v="0"/>
    <x v="1"/>
    <x v="1"/>
    <n v="1.91178"/>
    <n v="8363"/>
    <n v="8077"/>
    <n v="286"/>
    <n v="3.5409186579175439E-2"/>
    <n v="546.76908000000003"/>
    <m/>
  </r>
  <r>
    <x v="1"/>
    <x v="32"/>
    <x v="2"/>
    <x v="152"/>
    <x v="0"/>
    <x v="1"/>
    <x v="1"/>
    <n v="1.91178"/>
    <n v="3878"/>
    <n v="3623"/>
    <n v="255"/>
    <n v="7.0383659950317423E-2"/>
    <n v="487.50389999999999"/>
    <m/>
  </r>
  <r>
    <x v="1"/>
    <x v="33"/>
    <x v="2"/>
    <x v="153"/>
    <x v="0"/>
    <x v="1"/>
    <x v="1"/>
    <n v="1.91178"/>
    <n v="57"/>
    <n v="0"/>
    <n v="57"/>
    <n v="1"/>
    <n v="108.97146000000001"/>
    <m/>
  </r>
  <r>
    <x v="1"/>
    <x v="34"/>
    <x v="2"/>
    <x v="154"/>
    <x v="0"/>
    <x v="6"/>
    <x v="6"/>
    <n v="1.9184100000000002"/>
    <n v="6589"/>
    <n v="6415"/>
    <n v="174"/>
    <n v="2.7123928293063135E-2"/>
    <n v="333.80334000000005"/>
    <m/>
  </r>
  <r>
    <x v="1"/>
    <x v="35"/>
    <x v="2"/>
    <x v="155"/>
    <x v="0"/>
    <x v="6"/>
    <x v="6"/>
    <n v="1.9184100000000002"/>
    <n v="7699"/>
    <n v="7461"/>
    <n v="238"/>
    <n v="3.189920922128401E-2"/>
    <n v="456.58158000000003"/>
    <m/>
  </r>
  <r>
    <x v="1"/>
    <x v="36"/>
    <x v="2"/>
    <x v="156"/>
    <x v="0"/>
    <x v="1"/>
    <x v="1"/>
    <n v="1.91178"/>
    <n v="8120"/>
    <n v="8014"/>
    <n v="106"/>
    <n v="1.3226853007237334E-2"/>
    <n v="202.64868000000001"/>
    <m/>
  </r>
  <r>
    <x v="1"/>
    <x v="37"/>
    <x v="2"/>
    <x v="157"/>
    <x v="0"/>
    <x v="1"/>
    <x v="1"/>
    <n v="1.91178"/>
    <n v="7502"/>
    <n v="7301"/>
    <n v="201"/>
    <n v="2.7530475277359266E-2"/>
    <n v="384.26778000000002"/>
    <m/>
  </r>
  <r>
    <x v="1"/>
    <x v="30"/>
    <x v="2"/>
    <x v="150"/>
    <x v="2"/>
    <x v="3"/>
    <x v="3"/>
    <n v="3.8943099999999999"/>
    <n v="7317"/>
    <n v="7200"/>
    <n v="117"/>
    <n v="1.6250000000000001E-2"/>
    <n v="455.63427000000001"/>
    <m/>
  </r>
  <r>
    <x v="1"/>
    <x v="31"/>
    <x v="2"/>
    <x v="151"/>
    <x v="2"/>
    <x v="3"/>
    <x v="3"/>
    <n v="3.8943099999999999"/>
    <n v="7215"/>
    <n v="7200"/>
    <n v="15"/>
    <n v="2.0833333333333333E-3"/>
    <n v="58.414650000000002"/>
    <m/>
  </r>
  <r>
    <x v="1"/>
    <x v="32"/>
    <x v="2"/>
    <x v="152"/>
    <x v="2"/>
    <x v="3"/>
    <x v="3"/>
    <n v="3.8943099999999999"/>
    <n v="7250"/>
    <n v="7200"/>
    <n v="50"/>
    <n v="6.9444444444444441E-3"/>
    <n v="194.71549999999999"/>
    <m/>
  </r>
  <r>
    <x v="1"/>
    <x v="35"/>
    <x v="2"/>
    <x v="155"/>
    <x v="2"/>
    <x v="3"/>
    <x v="3"/>
    <n v="3.8943099999999999"/>
    <n v="7345"/>
    <n v="7200"/>
    <n v="145"/>
    <n v="2.013888888888889E-2"/>
    <n v="564.67494999999997"/>
    <m/>
  </r>
  <r>
    <x v="1"/>
    <x v="36"/>
    <x v="2"/>
    <x v="156"/>
    <x v="2"/>
    <x v="3"/>
    <x v="3"/>
    <n v="3.8943099999999999"/>
    <n v="6509"/>
    <n v="6400"/>
    <n v="109"/>
    <n v="1.7031250000000001E-2"/>
    <n v="424.47978999999998"/>
    <m/>
  </r>
  <r>
    <x v="1"/>
    <x v="30"/>
    <x v="2"/>
    <x v="150"/>
    <x v="5"/>
    <x v="5"/>
    <x v="5"/>
    <n v="0"/>
    <n v="35"/>
    <n v="0"/>
    <n v="35"/>
    <n v="1"/>
    <n v="0"/>
    <m/>
  </r>
  <r>
    <x v="1"/>
    <x v="31"/>
    <x v="2"/>
    <x v="151"/>
    <x v="5"/>
    <x v="5"/>
    <x v="5"/>
    <n v="0"/>
    <n v="97"/>
    <n v="0"/>
    <n v="97"/>
    <n v="1"/>
    <n v="0"/>
    <m/>
  </r>
  <r>
    <x v="1"/>
    <x v="34"/>
    <x v="2"/>
    <x v="154"/>
    <x v="5"/>
    <x v="5"/>
    <x v="5"/>
    <n v="0"/>
    <n v="25"/>
    <n v="0"/>
    <n v="25"/>
    <n v="1"/>
    <n v="0"/>
    <m/>
  </r>
  <r>
    <x v="1"/>
    <x v="36"/>
    <x v="2"/>
    <x v="156"/>
    <x v="5"/>
    <x v="5"/>
    <x v="5"/>
    <n v="0"/>
    <n v="8"/>
    <n v="0"/>
    <n v="8"/>
    <n v="1"/>
    <n v="0"/>
    <m/>
  </r>
  <r>
    <x v="1"/>
    <x v="37"/>
    <x v="2"/>
    <x v="157"/>
    <x v="5"/>
    <x v="5"/>
    <x v="5"/>
    <n v="0"/>
    <n v="3"/>
    <n v="0"/>
    <n v="3"/>
    <n v="1"/>
    <n v="0"/>
    <m/>
  </r>
  <r>
    <x v="1"/>
    <x v="46"/>
    <x v="2"/>
    <x v="158"/>
    <x v="5"/>
    <x v="5"/>
    <x v="5"/>
    <n v="0"/>
    <n v="10"/>
    <m/>
    <n v="10"/>
    <n v="1"/>
    <n v="0"/>
    <m/>
  </r>
  <r>
    <x v="1"/>
    <x v="46"/>
    <x v="2"/>
    <x v="158"/>
    <x v="0"/>
    <x v="1"/>
    <x v="1"/>
    <n v="1.91178"/>
    <n v="9390"/>
    <n v="9121"/>
    <n v="269"/>
    <n v="2.9492380221466944E-2"/>
    <n v="514.26882000000001"/>
    <m/>
  </r>
  <r>
    <x v="1"/>
    <x v="46"/>
    <x v="2"/>
    <x v="158"/>
    <x v="4"/>
    <x v="9"/>
    <x v="9"/>
    <n v="1.21353"/>
    <n v="2003"/>
    <n v="2000"/>
    <n v="3"/>
    <n v="1.5E-3"/>
    <n v="3.64059"/>
    <m/>
  </r>
  <r>
    <x v="1"/>
    <x v="47"/>
    <x v="2"/>
    <x v="159"/>
    <x v="0"/>
    <x v="1"/>
    <x v="1"/>
    <n v="1.91178"/>
    <n v="8930"/>
    <n v="8727"/>
    <n v="203"/>
    <n v="2.326114357740346E-2"/>
    <n v="388.09134"/>
    <m/>
  </r>
  <r>
    <x v="1"/>
    <x v="47"/>
    <x v="2"/>
    <x v="159"/>
    <x v="4"/>
    <x v="9"/>
    <x v="9"/>
    <n v="1.21353"/>
    <n v="2021"/>
    <n v="2000"/>
    <n v="21"/>
    <n v="1.0500000000000001E-2"/>
    <n v="25.48413"/>
    <m/>
  </r>
  <r>
    <x v="1"/>
    <x v="48"/>
    <x v="2"/>
    <x v="160"/>
    <x v="0"/>
    <x v="1"/>
    <x v="1"/>
    <n v="1.91178"/>
    <n v="11360"/>
    <n v="11163"/>
    <n v="197"/>
    <n v="1.7647585774433396E-2"/>
    <n v="376.62065999999999"/>
    <m/>
  </r>
  <r>
    <x v="1"/>
    <x v="51"/>
    <x v="2"/>
    <x v="161"/>
    <x v="0"/>
    <x v="1"/>
    <x v="1"/>
    <n v="1.91178"/>
    <n v="126"/>
    <n v="0"/>
    <n v="126"/>
    <n v="1"/>
    <n v="240.88428000000002"/>
    <s v="Handfed WIP"/>
  </r>
  <r>
    <x v="1"/>
    <x v="51"/>
    <x v="2"/>
    <x v="161"/>
    <x v="4"/>
    <x v="9"/>
    <x v="9"/>
    <n v="1.21353"/>
    <n v="1000"/>
    <n v="1000"/>
    <n v="0"/>
    <n v="0"/>
    <n v="0"/>
    <m/>
  </r>
  <r>
    <x v="1"/>
    <x v="52"/>
    <x v="2"/>
    <x v="162"/>
    <x v="0"/>
    <x v="1"/>
    <x v="1"/>
    <n v="1.91178"/>
    <n v="9383"/>
    <n v="8931"/>
    <n v="452"/>
    <n v="5.0610234016347552E-2"/>
    <n v="864.12455999999997"/>
    <s v="Had to run caramel out due to high moisture from issues in kitchen (caramel was running off patties causing build up at spooler). Alpha and bravo combined."/>
  </r>
  <r>
    <x v="1"/>
    <x v="52"/>
    <x v="2"/>
    <x v="162"/>
    <x v="1"/>
    <x v="2"/>
    <x v="2"/>
    <n v="2.08013"/>
    <n v="9698"/>
    <n v="9600"/>
    <n v="98"/>
    <n v="1.0208333333333333E-2"/>
    <n v="203.85274000000001"/>
    <m/>
  </r>
  <r>
    <x v="1"/>
    <x v="52"/>
    <x v="2"/>
    <x v="162"/>
    <x v="4"/>
    <x v="9"/>
    <x v="9"/>
    <n v="1.21353"/>
    <n v="3000"/>
    <n v="3000"/>
    <n v="0"/>
    <n v="0"/>
    <n v="0"/>
    <m/>
  </r>
  <r>
    <x v="1"/>
    <x v="53"/>
    <x v="2"/>
    <x v="163"/>
    <x v="0"/>
    <x v="1"/>
    <x v="1"/>
    <n v="1.91178"/>
    <n v="11228"/>
    <n v="10882"/>
    <n v="346"/>
    <n v="3.179562580408013E-2"/>
    <n v="661.47587999999996"/>
    <m/>
  </r>
  <r>
    <x v="1"/>
    <x v="53"/>
    <x v="2"/>
    <x v="163"/>
    <x v="1"/>
    <x v="2"/>
    <x v="2"/>
    <n v="2.08013"/>
    <n v="14517"/>
    <n v="14400"/>
    <n v="117"/>
    <n v="8.1250000000000003E-3"/>
    <n v="243.37521000000001"/>
    <m/>
  </r>
  <r>
    <x v="1"/>
    <x v="53"/>
    <x v="2"/>
    <x v="163"/>
    <x v="4"/>
    <x v="9"/>
    <x v="9"/>
    <n v="1.21353"/>
    <n v="1000"/>
    <n v="1000"/>
    <n v="0"/>
    <n v="0"/>
    <n v="0"/>
    <m/>
  </r>
  <r>
    <x v="1"/>
    <x v="53"/>
    <x v="2"/>
    <x v="163"/>
    <x v="5"/>
    <x v="5"/>
    <x v="5"/>
    <n v="0"/>
    <n v="0"/>
    <m/>
    <n v="0"/>
    <n v="1"/>
    <n v="0"/>
    <m/>
  </r>
  <r>
    <x v="1"/>
    <x v="54"/>
    <x v="2"/>
    <x v="164"/>
    <x v="3"/>
    <x v="10"/>
    <x v="10"/>
    <n v="0.32519919999999997"/>
    <n v="447"/>
    <n v="0"/>
    <n v="447"/>
    <n v="1"/>
    <n v="145.36404239999999"/>
    <s v="Pretzel grinding metal detection scrap"/>
  </r>
  <r>
    <x v="1"/>
    <x v="54"/>
    <x v="2"/>
    <x v="164"/>
    <x v="0"/>
    <x v="1"/>
    <x v="1"/>
    <n v="1.91178"/>
    <n v="7684"/>
    <n v="7189"/>
    <n v="495"/>
    <n v="6.8855195437473912E-2"/>
    <n v="946.33109999999999"/>
    <s v="160 LB on sigs (blowoffs &amp; chocolate)"/>
  </r>
  <r>
    <x v="1"/>
    <x v="54"/>
    <x v="2"/>
    <x v="164"/>
    <x v="4"/>
    <x v="9"/>
    <x v="9"/>
    <n v="1.21353"/>
    <n v="1325"/>
    <n v="1325"/>
    <n v="0"/>
    <n v="0"/>
    <n v="0"/>
    <m/>
  </r>
  <r>
    <x v="1"/>
    <x v="54"/>
    <x v="2"/>
    <x v="164"/>
    <x v="5"/>
    <x v="5"/>
    <x v="5"/>
    <n v="0"/>
    <n v="0"/>
    <m/>
    <n v="0"/>
    <n v="1"/>
    <n v="0"/>
    <m/>
  </r>
  <r>
    <x v="1"/>
    <x v="55"/>
    <x v="2"/>
    <x v="165"/>
    <x v="0"/>
    <x v="1"/>
    <x v="1"/>
    <n v="1.91178"/>
    <n v="14013"/>
    <n v="13637"/>
    <n v="376"/>
    <n v="2.7572046637823568E-2"/>
    <n v="718.82928000000004"/>
    <m/>
  </r>
  <r>
    <x v="1"/>
    <x v="55"/>
    <x v="2"/>
    <x v="165"/>
    <x v="4"/>
    <x v="4"/>
    <x v="4"/>
    <n v="1.9508160000000001"/>
    <n v="2008"/>
    <n v="2000"/>
    <n v="8"/>
    <n v="4.0000000000000001E-3"/>
    <n v="15.606528000000001"/>
    <m/>
  </r>
  <r>
    <x v="1"/>
    <x v="55"/>
    <x v="2"/>
    <x v="165"/>
    <x v="5"/>
    <x v="5"/>
    <x v="5"/>
    <n v="0"/>
    <n v="65"/>
    <m/>
    <n v="65"/>
    <n v="1"/>
    <n v="0"/>
    <m/>
  </r>
  <r>
    <x v="2"/>
    <x v="57"/>
    <x v="2"/>
    <x v="166"/>
    <x v="5"/>
    <x v="5"/>
    <x v="5"/>
    <n v="0"/>
    <n v="20"/>
    <m/>
    <n v="20"/>
    <n v="1"/>
    <n v="0"/>
    <m/>
  </r>
  <r>
    <x v="2"/>
    <x v="58"/>
    <x v="2"/>
    <x v="167"/>
    <x v="4"/>
    <x v="4"/>
    <x v="4"/>
    <n v="1.9508160000000001"/>
    <n v="1004"/>
    <n v="1000"/>
    <n v="4"/>
    <n v="4.0000000000000001E-3"/>
    <n v="7.8032640000000004"/>
    <m/>
  </r>
  <r>
    <x v="2"/>
    <x v="58"/>
    <x v="2"/>
    <x v="167"/>
    <x v="5"/>
    <x v="5"/>
    <x v="5"/>
    <n v="0"/>
    <n v="10"/>
    <m/>
    <n v="10"/>
    <n v="1"/>
    <n v="0"/>
    <m/>
  </r>
  <r>
    <x v="2"/>
    <x v="59"/>
    <x v="2"/>
    <x v="168"/>
    <x v="0"/>
    <x v="0"/>
    <x v="0"/>
    <n v="1.96"/>
    <n v="4517"/>
    <n v="4320"/>
    <n v="197"/>
    <n v="4.5601851851851852E-2"/>
    <n v="386.12"/>
    <m/>
  </r>
  <r>
    <x v="2"/>
    <x v="59"/>
    <x v="2"/>
    <x v="168"/>
    <x v="2"/>
    <x v="3"/>
    <x v="3"/>
    <n v="3.8943099999999999"/>
    <n v="7299"/>
    <n v="7200"/>
    <n v="99"/>
    <n v="1.375E-2"/>
    <n v="385.53669000000002"/>
    <m/>
  </r>
  <r>
    <x v="2"/>
    <x v="59"/>
    <x v="2"/>
    <x v="168"/>
    <x v="4"/>
    <x v="4"/>
    <x v="4"/>
    <n v="1.9508160000000001"/>
    <n v="2004"/>
    <n v="2000"/>
    <n v="4"/>
    <n v="2E-3"/>
    <n v="7.8032640000000004"/>
    <m/>
  </r>
  <r>
    <x v="2"/>
    <x v="60"/>
    <x v="2"/>
    <x v="169"/>
    <x v="0"/>
    <x v="0"/>
    <x v="0"/>
    <n v="1.96"/>
    <n v="3909"/>
    <n v="3600"/>
    <n v="309"/>
    <n v="8.5833333333333331E-2"/>
    <n v="605.64"/>
    <s v="Product in cooling to tunnels had to be scrapped due to chillers going down"/>
  </r>
  <r>
    <x v="2"/>
    <x v="60"/>
    <x v="2"/>
    <x v="169"/>
    <x v="2"/>
    <x v="3"/>
    <x v="3"/>
    <n v="3.8943099999999999"/>
    <n v="8135"/>
    <n v="8000"/>
    <n v="135"/>
    <n v="1.6875000000000001E-2"/>
    <n v="525.73185000000001"/>
    <m/>
  </r>
  <r>
    <x v="2"/>
    <x v="60"/>
    <x v="2"/>
    <x v="169"/>
    <x v="4"/>
    <x v="4"/>
    <x v="4"/>
    <n v="1.9508160000000001"/>
    <n v="1008"/>
    <n v="1000"/>
    <n v="8"/>
    <n v="8.0000000000000002E-3"/>
    <n v="15.606528000000001"/>
    <m/>
  </r>
  <r>
    <x v="2"/>
    <x v="61"/>
    <x v="2"/>
    <x v="170"/>
    <x v="0"/>
    <x v="0"/>
    <x v="0"/>
    <n v="1.96"/>
    <n v="8214"/>
    <n v="7920"/>
    <n v="294"/>
    <n v="3.7121212121212124E-2"/>
    <n v="576.24"/>
    <s v="Issues w/ baring  in check weigher from Sig 1"/>
  </r>
  <r>
    <x v="2"/>
    <x v="61"/>
    <x v="2"/>
    <x v="170"/>
    <x v="2"/>
    <x v="3"/>
    <x v="3"/>
    <n v="3.8943099999999999"/>
    <n v="6514"/>
    <n v="6400"/>
    <n v="114"/>
    <n v="1.7812499999999998E-2"/>
    <n v="443.95134000000002"/>
    <m/>
  </r>
  <r>
    <x v="2"/>
    <x v="61"/>
    <x v="2"/>
    <x v="170"/>
    <x v="4"/>
    <x v="4"/>
    <x v="4"/>
    <n v="1.9508160000000001"/>
    <n v="1006"/>
    <n v="1000"/>
    <n v="6"/>
    <n v="6.0000000000000001E-3"/>
    <n v="11.704896000000002"/>
    <m/>
  </r>
  <r>
    <x v="2"/>
    <x v="61"/>
    <x v="2"/>
    <x v="170"/>
    <x v="5"/>
    <x v="5"/>
    <x v="5"/>
    <n v="0"/>
    <n v="10"/>
    <m/>
    <n v="10"/>
    <n v="1"/>
    <n v="0"/>
    <m/>
  </r>
  <r>
    <x v="2"/>
    <x v="62"/>
    <x v="2"/>
    <x v="171"/>
    <x v="0"/>
    <x v="0"/>
    <x v="0"/>
    <n v="1.96"/>
    <n v="3256"/>
    <n v="2839"/>
    <n v="417"/>
    <n v="0.14688270517787955"/>
    <n v="817.31999999999994"/>
    <m/>
  </r>
  <r>
    <x v="2"/>
    <x v="62"/>
    <x v="2"/>
    <x v="171"/>
    <x v="2"/>
    <x v="3"/>
    <x v="3"/>
    <n v="3.8943099999999999"/>
    <n v="7341"/>
    <n v="7200"/>
    <n v="141"/>
    <n v="1.9583333333333335E-2"/>
    <n v="549.09771000000001"/>
    <m/>
  </r>
  <r>
    <x v="2"/>
    <x v="62"/>
    <x v="1"/>
    <x v="126"/>
    <x v="5"/>
    <x v="5"/>
    <x v="5"/>
    <n v="0"/>
    <n v="60"/>
    <m/>
    <n v="60"/>
    <n v="1"/>
    <n v="0"/>
    <m/>
  </r>
  <r>
    <x v="2"/>
    <x v="65"/>
    <x v="2"/>
    <x v="172"/>
    <x v="5"/>
    <x v="5"/>
    <x v="5"/>
    <n v="0"/>
    <n v="10"/>
    <m/>
    <n v="10"/>
    <n v="1"/>
    <n v="0"/>
    <m/>
  </r>
  <r>
    <x v="2"/>
    <x v="66"/>
    <x v="2"/>
    <x v="173"/>
    <x v="0"/>
    <x v="0"/>
    <x v="0"/>
    <n v="1.96"/>
    <n v="854.84"/>
    <n v="567.84"/>
    <n v="287"/>
    <n v="0.50542406311637078"/>
    <n v="562.52"/>
    <s v="Handfed WIP"/>
  </r>
  <r>
    <x v="2"/>
    <x v="66"/>
    <x v="2"/>
    <x v="173"/>
    <x v="5"/>
    <x v="5"/>
    <x v="5"/>
    <n v="0"/>
    <n v="5"/>
    <m/>
    <n v="5"/>
    <n v="1"/>
    <n v="0"/>
    <m/>
  </r>
  <r>
    <x v="2"/>
    <x v="66"/>
    <x v="0"/>
    <x v="174"/>
    <x v="0"/>
    <x v="0"/>
    <x v="0"/>
    <n v="1.96"/>
    <n v="4502"/>
    <n v="3975"/>
    <n v="527"/>
    <n v="0.13257861635220125"/>
    <n v="1032.92"/>
    <m/>
  </r>
  <r>
    <x v="2"/>
    <x v="66"/>
    <x v="0"/>
    <x v="174"/>
    <x v="3"/>
    <x v="4"/>
    <x v="4"/>
    <n v="1.9508160000000001"/>
    <n v="4000"/>
    <n v="4000"/>
    <n v="0"/>
    <n v="0"/>
    <n v="0"/>
    <m/>
  </r>
  <r>
    <x v="2"/>
    <x v="66"/>
    <x v="1"/>
    <x v="175"/>
    <x v="0"/>
    <x v="0"/>
    <x v="0"/>
    <n v="1.96"/>
    <n v="4347"/>
    <n v="3975"/>
    <n v="372"/>
    <n v="9.358490566037736E-2"/>
    <n v="729.12"/>
    <m/>
  </r>
  <r>
    <x v="2"/>
    <x v="66"/>
    <x v="1"/>
    <x v="175"/>
    <x v="1"/>
    <x v="2"/>
    <x v="2"/>
    <n v="2.08013"/>
    <n v="6780"/>
    <n v="6720"/>
    <n v="60"/>
    <n v="8.9285714285714281E-3"/>
    <n v="124.8078"/>
    <m/>
  </r>
  <r>
    <x v="2"/>
    <x v="66"/>
    <x v="1"/>
    <x v="175"/>
    <x v="3"/>
    <x v="4"/>
    <x v="4"/>
    <n v="1.9508160000000001"/>
    <n v="9025"/>
    <n v="9000"/>
    <n v="25"/>
    <n v="2.7777777777777779E-3"/>
    <n v="48.770400000000002"/>
    <m/>
  </r>
  <r>
    <x v="2"/>
    <x v="66"/>
    <x v="1"/>
    <x v="175"/>
    <x v="5"/>
    <x v="5"/>
    <x v="5"/>
    <n v="0"/>
    <n v="60"/>
    <m/>
    <n v="60"/>
    <n v="1"/>
    <n v="0"/>
    <m/>
  </r>
  <r>
    <x v="2"/>
    <x v="67"/>
    <x v="2"/>
    <x v="176"/>
    <x v="0"/>
    <x v="0"/>
    <x v="0"/>
    <n v="1.96"/>
    <n v="4293"/>
    <n v="3975"/>
    <n v="318"/>
    <n v="0.08"/>
    <n v="623.28"/>
    <m/>
  </r>
  <r>
    <x v="2"/>
    <x v="67"/>
    <x v="2"/>
    <x v="176"/>
    <x v="1"/>
    <x v="2"/>
    <x v="2"/>
    <n v="2.08013"/>
    <n v="8762"/>
    <n v="8640"/>
    <n v="122"/>
    <n v="1.412037037037037E-2"/>
    <n v="253.77585999999999"/>
    <m/>
  </r>
  <r>
    <x v="2"/>
    <x v="67"/>
    <x v="0"/>
    <x v="177"/>
    <x v="0"/>
    <x v="0"/>
    <x v="0"/>
    <n v="1.96"/>
    <n v="5043"/>
    <n v="4543"/>
    <n v="500"/>
    <n v="0.1100594320933304"/>
    <n v="980"/>
    <m/>
  </r>
  <r>
    <x v="2"/>
    <x v="67"/>
    <x v="0"/>
    <x v="177"/>
    <x v="1"/>
    <x v="2"/>
    <x v="2"/>
    <n v="2.08013"/>
    <n v="8016"/>
    <n v="7680"/>
    <n v="336"/>
    <n v="4.3749999999999997E-2"/>
    <n v="698.92367999999999"/>
    <m/>
  </r>
  <r>
    <x v="2"/>
    <x v="67"/>
    <x v="0"/>
    <x v="177"/>
    <x v="2"/>
    <x v="3"/>
    <x v="3"/>
    <n v="3.8943099999999999"/>
    <n v="2444"/>
    <n v="2400"/>
    <n v="44"/>
    <n v="1.8333333333333333E-2"/>
    <n v="171.34963999999999"/>
    <m/>
  </r>
  <r>
    <x v="2"/>
    <x v="67"/>
    <x v="0"/>
    <x v="177"/>
    <x v="3"/>
    <x v="4"/>
    <x v="4"/>
    <n v="1.9508160000000001"/>
    <n v="10023"/>
    <n v="10000"/>
    <n v="23"/>
    <n v="2.3E-3"/>
    <n v="44.868768000000003"/>
    <m/>
  </r>
  <r>
    <x v="2"/>
    <x v="67"/>
    <x v="0"/>
    <x v="177"/>
    <x v="5"/>
    <x v="5"/>
    <x v="5"/>
    <n v="0"/>
    <n v="2"/>
    <m/>
    <n v="2"/>
    <n v="1"/>
    <n v="0"/>
    <m/>
  </r>
  <r>
    <x v="2"/>
    <x v="67"/>
    <x v="1"/>
    <x v="178"/>
    <x v="0"/>
    <x v="0"/>
    <x v="0"/>
    <n v="1.96"/>
    <n v="5533"/>
    <n v="5111"/>
    <n v="422"/>
    <n v="8.2567012326354924E-2"/>
    <n v="827.12"/>
    <m/>
  </r>
  <r>
    <x v="2"/>
    <x v="67"/>
    <x v="1"/>
    <x v="178"/>
    <x v="1"/>
    <x v="2"/>
    <x v="2"/>
    <n v="2.08013"/>
    <n v="8660"/>
    <n v="8640"/>
    <n v="20"/>
    <n v="2.3148148148148147E-3"/>
    <n v="41.602600000000002"/>
    <m/>
  </r>
  <r>
    <x v="2"/>
    <x v="67"/>
    <x v="1"/>
    <x v="178"/>
    <x v="2"/>
    <x v="3"/>
    <x v="3"/>
    <n v="3.8943099999999999"/>
    <n v="6471"/>
    <n v="6400"/>
    <n v="71"/>
    <n v="1.1093749999999999E-2"/>
    <n v="276.49601000000001"/>
    <m/>
  </r>
  <r>
    <x v="2"/>
    <x v="67"/>
    <x v="1"/>
    <x v="178"/>
    <x v="3"/>
    <x v="4"/>
    <x v="4"/>
    <n v="1.9508160000000001"/>
    <n v="10016"/>
    <n v="10000"/>
    <n v="16"/>
    <n v="1.6000000000000001E-3"/>
    <n v="31.213056000000002"/>
    <m/>
  </r>
  <r>
    <x v="2"/>
    <x v="67"/>
    <x v="1"/>
    <x v="178"/>
    <x v="5"/>
    <x v="5"/>
    <x v="5"/>
    <n v="0"/>
    <n v="150"/>
    <m/>
    <n v="150"/>
    <n v="1"/>
    <n v="0"/>
    <m/>
  </r>
  <r>
    <x v="2"/>
    <x v="68"/>
    <x v="2"/>
    <x v="179"/>
    <x v="0"/>
    <x v="5"/>
    <x v="5"/>
    <n v="0"/>
    <n v="2894"/>
    <n v="2650"/>
    <n v="244"/>
    <n v="9.2075471698113212E-2"/>
    <n v="0"/>
    <m/>
  </r>
  <r>
    <x v="2"/>
    <x v="68"/>
    <x v="2"/>
    <x v="179"/>
    <x v="1"/>
    <x v="2"/>
    <x v="2"/>
    <n v="2.08013"/>
    <n v="1225"/>
    <n v="1200"/>
    <n v="25"/>
    <n v="2.0833333333333332E-2"/>
    <n v="52.003250000000001"/>
    <m/>
  </r>
  <r>
    <x v="2"/>
    <x v="68"/>
    <x v="2"/>
    <x v="179"/>
    <x v="2"/>
    <x v="3"/>
    <x v="3"/>
    <n v="3.8943099999999999"/>
    <n v="5016"/>
    <n v="4800"/>
    <n v="216"/>
    <n v="4.4999999999999998E-2"/>
    <n v="841.17096000000004"/>
    <m/>
  </r>
  <r>
    <x v="2"/>
    <x v="68"/>
    <x v="2"/>
    <x v="179"/>
    <x v="5"/>
    <x v="5"/>
    <x v="5"/>
    <n v="0"/>
    <n v="35"/>
    <m/>
    <n v="35"/>
    <n v="1"/>
    <n v="0"/>
    <m/>
  </r>
  <r>
    <x v="2"/>
    <x v="68"/>
    <x v="0"/>
    <x v="180"/>
    <x v="0"/>
    <x v="1"/>
    <x v="1"/>
    <n v="1.91178"/>
    <n v="3219"/>
    <n v="3028"/>
    <n v="191"/>
    <n v="6.3077939233817701E-2"/>
    <n v="365.14998000000003"/>
    <m/>
  </r>
  <r>
    <x v="2"/>
    <x v="68"/>
    <x v="0"/>
    <x v="180"/>
    <x v="1"/>
    <x v="2"/>
    <x v="2"/>
    <n v="2.08013"/>
    <n v="7249"/>
    <n v="6720"/>
    <n v="529"/>
    <n v="7.8720238095238093E-2"/>
    <n v="1100.38877"/>
    <m/>
  </r>
  <r>
    <x v="2"/>
    <x v="68"/>
    <x v="0"/>
    <x v="180"/>
    <x v="2"/>
    <x v="3"/>
    <x v="3"/>
    <n v="3.8943099999999999"/>
    <n v="4141"/>
    <n v="4000"/>
    <n v="141"/>
    <n v="3.5249999999999997E-2"/>
    <n v="549.09771000000001"/>
    <m/>
  </r>
  <r>
    <x v="2"/>
    <x v="68"/>
    <x v="0"/>
    <x v="180"/>
    <x v="3"/>
    <x v="4"/>
    <x v="4"/>
    <n v="1.9508160000000001"/>
    <n v="10017"/>
    <n v="10000"/>
    <n v="17"/>
    <n v="1.6999999999999999E-3"/>
    <n v="33.163872000000005"/>
    <m/>
  </r>
  <r>
    <x v="2"/>
    <x v="68"/>
    <x v="0"/>
    <x v="180"/>
    <x v="5"/>
    <x v="5"/>
    <x v="5"/>
    <n v="0"/>
    <n v="3"/>
    <m/>
    <n v="3"/>
    <n v="1"/>
    <n v="0"/>
    <m/>
  </r>
  <r>
    <x v="2"/>
    <x v="68"/>
    <x v="1"/>
    <x v="181"/>
    <x v="0"/>
    <x v="1"/>
    <x v="1"/>
    <n v="1.91178"/>
    <n v="2426"/>
    <n v="1426"/>
    <n v="1000"/>
    <n v="0.70126227208976155"/>
    <n v="1911.78"/>
    <m/>
  </r>
  <r>
    <x v="2"/>
    <x v="68"/>
    <x v="1"/>
    <x v="181"/>
    <x v="2"/>
    <x v="3"/>
    <x v="3"/>
    <n v="3.8943099999999999"/>
    <n v="3256"/>
    <n v="3200"/>
    <n v="56"/>
    <n v="1.7500000000000002E-2"/>
    <n v="218.08135999999999"/>
    <m/>
  </r>
  <r>
    <x v="2"/>
    <x v="68"/>
    <x v="1"/>
    <x v="181"/>
    <x v="3"/>
    <x v="4"/>
    <x v="4"/>
    <n v="1.9508160000000001"/>
    <n v="8248"/>
    <n v="8000"/>
    <n v="248"/>
    <n v="3.1E-2"/>
    <n v="483.802368"/>
    <m/>
  </r>
  <r>
    <x v="2"/>
    <x v="68"/>
    <x v="1"/>
    <x v="181"/>
    <x v="5"/>
    <x v="5"/>
    <x v="5"/>
    <n v="0"/>
    <n v="60"/>
    <m/>
    <n v="60"/>
    <n v="1"/>
    <n v="0"/>
    <m/>
  </r>
  <r>
    <x v="2"/>
    <x v="69"/>
    <x v="2"/>
    <x v="182"/>
    <x v="0"/>
    <x v="1"/>
    <x v="1"/>
    <n v="1.91178"/>
    <n v="8229.7999999999993"/>
    <n v="7840.8"/>
    <n v="389"/>
    <n v="4.9612284460769311E-2"/>
    <n v="743.68241999999998"/>
    <m/>
  </r>
  <r>
    <x v="2"/>
    <x v="69"/>
    <x v="2"/>
    <x v="182"/>
    <x v="2"/>
    <x v="3"/>
    <x v="3"/>
    <n v="3.8943099999999999"/>
    <n v="9773"/>
    <n v="9600"/>
    <n v="173"/>
    <n v="1.8020833333333333E-2"/>
    <n v="673.71563000000003"/>
    <m/>
  </r>
  <r>
    <x v="2"/>
    <x v="69"/>
    <x v="2"/>
    <x v="182"/>
    <x v="5"/>
    <x v="5"/>
    <x v="5"/>
    <n v="0"/>
    <n v="5"/>
    <m/>
    <n v="5"/>
    <n v="1"/>
    <n v="0"/>
    <m/>
  </r>
  <r>
    <x v="2"/>
    <x v="69"/>
    <x v="0"/>
    <x v="183"/>
    <x v="0"/>
    <x v="1"/>
    <x v="1"/>
    <n v="1.91178"/>
    <n v="7461"/>
    <n v="7128"/>
    <n v="333"/>
    <n v="4.671717171717172E-2"/>
    <n v="636.62274000000002"/>
    <m/>
  </r>
  <r>
    <x v="2"/>
    <x v="69"/>
    <x v="0"/>
    <x v="183"/>
    <x v="1"/>
    <x v="2"/>
    <x v="2"/>
    <n v="2.08013"/>
    <n v="8122"/>
    <n v="7680"/>
    <n v="442"/>
    <n v="5.755208333333333E-2"/>
    <n v="919.41746000000001"/>
    <m/>
  </r>
  <r>
    <x v="2"/>
    <x v="69"/>
    <x v="0"/>
    <x v="183"/>
    <x v="2"/>
    <x v="3"/>
    <x v="3"/>
    <n v="3.8943099999999999"/>
    <n v="8176"/>
    <n v="8000"/>
    <n v="176"/>
    <n v="2.1999999999999999E-2"/>
    <n v="685.39855999999997"/>
    <m/>
  </r>
  <r>
    <x v="2"/>
    <x v="69"/>
    <x v="0"/>
    <x v="183"/>
    <x v="3"/>
    <x v="4"/>
    <x v="4"/>
    <n v="1.9508160000000001"/>
    <n v="9010"/>
    <n v="9000"/>
    <n v="10"/>
    <n v="1.1111111111111111E-3"/>
    <n v="19.50816"/>
    <m/>
  </r>
  <r>
    <x v="2"/>
    <x v="69"/>
    <x v="0"/>
    <x v="183"/>
    <x v="5"/>
    <x v="5"/>
    <x v="5"/>
    <n v="0"/>
    <n v="2"/>
    <m/>
    <n v="2"/>
    <n v="1"/>
    <n v="0"/>
    <m/>
  </r>
  <r>
    <x v="2"/>
    <x v="69"/>
    <x v="1"/>
    <x v="184"/>
    <x v="0"/>
    <x v="1"/>
    <x v="1"/>
    <n v="1.91178"/>
    <n v="9440.4"/>
    <n v="9266.4"/>
    <n v="174"/>
    <n v="1.8777518777518779E-2"/>
    <n v="332.64972"/>
    <m/>
  </r>
  <r>
    <x v="2"/>
    <x v="69"/>
    <x v="1"/>
    <x v="184"/>
    <x v="1"/>
    <x v="2"/>
    <x v="2"/>
    <n v="2.08013"/>
    <n v="6168"/>
    <n v="5760"/>
    <n v="408"/>
    <n v="7.0833333333333331E-2"/>
    <n v="848.69304"/>
    <m/>
  </r>
  <r>
    <x v="2"/>
    <x v="69"/>
    <x v="1"/>
    <x v="184"/>
    <x v="2"/>
    <x v="3"/>
    <x v="3"/>
    <n v="3.8943099999999999"/>
    <n v="8858"/>
    <n v="8800"/>
    <n v="58"/>
    <n v="6.5909090909090908E-3"/>
    <n v="225.86998"/>
    <m/>
  </r>
  <r>
    <x v="2"/>
    <x v="69"/>
    <x v="1"/>
    <x v="184"/>
    <x v="3"/>
    <x v="4"/>
    <x v="4"/>
    <n v="1.9508160000000001"/>
    <n v="9002"/>
    <n v="9000"/>
    <n v="2"/>
    <n v="2.2222222222222223E-4"/>
    <n v="3.9016320000000002"/>
    <m/>
  </r>
  <r>
    <x v="2"/>
    <x v="69"/>
    <x v="1"/>
    <x v="184"/>
    <x v="5"/>
    <x v="5"/>
    <x v="5"/>
    <n v="0"/>
    <n v="30"/>
    <m/>
    <n v="30"/>
    <n v="1"/>
    <n v="0"/>
    <m/>
  </r>
  <r>
    <x v="2"/>
    <x v="70"/>
    <x v="2"/>
    <x v="185"/>
    <x v="0"/>
    <x v="1"/>
    <x v="1"/>
    <n v="1.91178"/>
    <n v="9566.4"/>
    <n v="9266.4"/>
    <n v="300"/>
    <n v="3.2375032375032378E-2"/>
    <n v="573.53399999999999"/>
    <m/>
  </r>
  <r>
    <x v="2"/>
    <x v="70"/>
    <x v="2"/>
    <x v="185"/>
    <x v="1"/>
    <x v="2"/>
    <x v="2"/>
    <n v="2.08013"/>
    <n v="9763"/>
    <n v="9600"/>
    <n v="163"/>
    <n v="1.6979166666666667E-2"/>
    <n v="339.06119000000001"/>
    <m/>
  </r>
  <r>
    <x v="2"/>
    <x v="70"/>
    <x v="2"/>
    <x v="185"/>
    <x v="2"/>
    <x v="3"/>
    <x v="3"/>
    <n v="3.8943099999999999"/>
    <n v="7293"/>
    <n v="7200"/>
    <n v="93"/>
    <n v="1.2916666666666667E-2"/>
    <n v="362.17082999999997"/>
    <m/>
  </r>
  <r>
    <x v="2"/>
    <x v="70"/>
    <x v="0"/>
    <x v="186"/>
    <x v="0"/>
    <x v="1"/>
    <x v="1"/>
    <n v="1.91178"/>
    <n v="10447.200000000001"/>
    <n v="9979.2000000000007"/>
    <n v="468"/>
    <n v="4.6897546897546896E-2"/>
    <n v="894.71303999999998"/>
    <m/>
  </r>
  <r>
    <x v="2"/>
    <x v="70"/>
    <x v="0"/>
    <x v="186"/>
    <x v="1"/>
    <x v="2"/>
    <x v="2"/>
    <n v="2.08013"/>
    <n v="5805"/>
    <n v="5760"/>
    <n v="45"/>
    <n v="7.8125E-3"/>
    <n v="93.605850000000004"/>
    <m/>
  </r>
  <r>
    <x v="2"/>
    <x v="70"/>
    <x v="0"/>
    <x v="186"/>
    <x v="2"/>
    <x v="3"/>
    <x v="3"/>
    <n v="3.8943099999999999"/>
    <n v="8945"/>
    <n v="8800"/>
    <n v="145"/>
    <n v="1.6477272727272726E-2"/>
    <n v="564.67494999999997"/>
    <m/>
  </r>
  <r>
    <x v="2"/>
    <x v="70"/>
    <x v="0"/>
    <x v="186"/>
    <x v="3"/>
    <x v="4"/>
    <x v="4"/>
    <n v="1.9508160000000001"/>
    <n v="10107"/>
    <n v="10000"/>
    <n v="107"/>
    <n v="1.0699999999999999E-2"/>
    <n v="208.737312"/>
    <m/>
  </r>
  <r>
    <x v="2"/>
    <x v="70"/>
    <x v="0"/>
    <x v="186"/>
    <x v="5"/>
    <x v="5"/>
    <x v="5"/>
    <n v="0"/>
    <n v="15"/>
    <m/>
    <n v="15"/>
    <n v="1"/>
    <n v="0"/>
    <m/>
  </r>
  <r>
    <x v="2"/>
    <x v="70"/>
    <x v="1"/>
    <x v="187"/>
    <x v="2"/>
    <x v="3"/>
    <x v="3"/>
    <n v="3.8943099999999999"/>
    <n v="4826"/>
    <n v="4800"/>
    <n v="26"/>
    <n v="5.4166666666666669E-3"/>
    <n v="101.25206"/>
    <m/>
  </r>
  <r>
    <x v="2"/>
    <x v="70"/>
    <x v="1"/>
    <x v="187"/>
    <x v="3"/>
    <x v="4"/>
    <x v="4"/>
    <n v="1.9508160000000001"/>
    <n v="10006"/>
    <n v="10000"/>
    <n v="6"/>
    <n v="5.9999999999999995E-4"/>
    <n v="11.704896000000002"/>
    <m/>
  </r>
  <r>
    <x v="2"/>
    <x v="70"/>
    <x v="1"/>
    <x v="187"/>
    <x v="5"/>
    <x v="5"/>
    <x v="5"/>
    <n v="0"/>
    <n v="27"/>
    <m/>
    <n v="27"/>
    <n v="1"/>
    <n v="0"/>
    <m/>
  </r>
  <r>
    <x v="2"/>
    <x v="71"/>
    <x v="0"/>
    <x v="188"/>
    <x v="3"/>
    <x v="4"/>
    <x v="4"/>
    <n v="1.9508160000000001"/>
    <n v="9003"/>
    <n v="9000"/>
    <n v="3"/>
    <n v="3.3333333333333332E-4"/>
    <n v="5.8524480000000008"/>
    <m/>
  </r>
  <r>
    <x v="2"/>
    <x v="71"/>
    <x v="1"/>
    <x v="189"/>
    <x v="3"/>
    <x v="4"/>
    <x v="4"/>
    <n v="1.9508160000000001"/>
    <n v="10003"/>
    <n v="10000"/>
    <n v="3"/>
    <n v="2.9999999999999997E-4"/>
    <n v="5.8524480000000008"/>
    <m/>
  </r>
  <r>
    <x v="2"/>
    <x v="72"/>
    <x v="0"/>
    <x v="190"/>
    <x v="3"/>
    <x v="4"/>
    <x v="4"/>
    <n v="1.9508160000000001"/>
    <n v="5017"/>
    <n v="5000"/>
    <n v="17"/>
    <n v="3.3999999999999998E-3"/>
    <n v="33.163872000000005"/>
    <m/>
  </r>
  <r>
    <x v="2"/>
    <x v="72"/>
    <x v="1"/>
    <x v="191"/>
    <x v="3"/>
    <x v="4"/>
    <x v="4"/>
    <n v="1.9508160000000001"/>
    <n v="12003"/>
    <n v="12000"/>
    <n v="3"/>
    <n v="2.5000000000000001E-4"/>
    <n v="5.8524480000000008"/>
    <m/>
  </r>
  <r>
    <x v="2"/>
    <x v="73"/>
    <x v="0"/>
    <x v="192"/>
    <x v="0"/>
    <x v="6"/>
    <x v="6"/>
    <n v="1.9184100000000002"/>
    <n v="3224.2"/>
    <n v="2851.2"/>
    <n v="373"/>
    <n v="0.13082210998877666"/>
    <n v="715.56693000000007"/>
    <m/>
  </r>
  <r>
    <x v="2"/>
    <x v="73"/>
    <x v="0"/>
    <x v="192"/>
    <x v="3"/>
    <x v="4"/>
    <x v="4"/>
    <n v="1.9508160000000001"/>
    <n v="10042"/>
    <n v="10000"/>
    <n v="42"/>
    <n v="4.1999999999999997E-3"/>
    <n v="81.934272000000007"/>
    <m/>
  </r>
  <r>
    <x v="2"/>
    <x v="73"/>
    <x v="0"/>
    <x v="192"/>
    <x v="4"/>
    <x v="4"/>
    <x v="4"/>
    <n v="1.9508160000000001"/>
    <n v="665"/>
    <n v="650"/>
    <n v="15"/>
    <n v="2.3076923076923078E-2"/>
    <n v="29.262240000000002"/>
    <m/>
  </r>
  <r>
    <x v="2"/>
    <x v="73"/>
    <x v="0"/>
    <x v="192"/>
    <x v="5"/>
    <x v="5"/>
    <x v="5"/>
    <n v="0"/>
    <n v="20"/>
    <m/>
    <n v="20"/>
    <n v="1"/>
    <n v="0"/>
    <m/>
  </r>
  <r>
    <x v="2"/>
    <x v="73"/>
    <x v="1"/>
    <x v="193"/>
    <x v="0"/>
    <x v="6"/>
    <x v="6"/>
    <n v="1.9184100000000002"/>
    <n v="6893.2"/>
    <n v="6415.2"/>
    <n v="478"/>
    <n v="7.4510537473500435E-2"/>
    <n v="916.99998000000005"/>
    <m/>
  </r>
  <r>
    <x v="2"/>
    <x v="73"/>
    <x v="1"/>
    <x v="193"/>
    <x v="3"/>
    <x v="4"/>
    <x v="4"/>
    <n v="1.9508160000000001"/>
    <n v="10014"/>
    <n v="10000"/>
    <n v="14"/>
    <n v="1.4E-3"/>
    <n v="27.311424000000002"/>
    <m/>
  </r>
  <r>
    <x v="2"/>
    <x v="74"/>
    <x v="2"/>
    <x v="194"/>
    <x v="0"/>
    <x v="6"/>
    <x v="6"/>
    <n v="1.9184100000000002"/>
    <n v="8230.7999999999993"/>
    <n v="7840.8"/>
    <n v="390"/>
    <n v="4.9739822467095192E-2"/>
    <n v="748.17990000000009"/>
    <m/>
  </r>
  <r>
    <x v="2"/>
    <x v="74"/>
    <x v="2"/>
    <x v="194"/>
    <x v="4"/>
    <x v="4"/>
    <x v="4"/>
    <n v="1.9508160000000001"/>
    <n v="2003"/>
    <n v="2000"/>
    <n v="3"/>
    <n v="1.5E-3"/>
    <n v="5.8524480000000008"/>
    <m/>
  </r>
  <r>
    <x v="2"/>
    <x v="74"/>
    <x v="0"/>
    <x v="195"/>
    <x v="0"/>
    <x v="6"/>
    <x v="6"/>
    <n v="1.9184100000000002"/>
    <n v="7785.92"/>
    <n v="7333.92"/>
    <n v="452"/>
    <n v="6.1631433121713895E-2"/>
    <n v="867.12132000000008"/>
    <m/>
  </r>
  <r>
    <x v="2"/>
    <x v="74"/>
    <x v="0"/>
    <x v="195"/>
    <x v="2"/>
    <x v="3"/>
    <x v="3"/>
    <n v="3.8943099999999999"/>
    <n v="4827"/>
    <n v="4800"/>
    <n v="27"/>
    <n v="5.6249999999999998E-3"/>
    <n v="105.14637"/>
    <m/>
  </r>
  <r>
    <x v="2"/>
    <x v="74"/>
    <x v="0"/>
    <x v="195"/>
    <x v="3"/>
    <x v="4"/>
    <x v="4"/>
    <n v="1.9508160000000001"/>
    <n v="9005"/>
    <n v="9000"/>
    <n v="5"/>
    <n v="5.5555555555555556E-4"/>
    <n v="9.7540800000000001"/>
    <m/>
  </r>
  <r>
    <x v="2"/>
    <x v="74"/>
    <x v="0"/>
    <x v="195"/>
    <x v="4"/>
    <x v="4"/>
    <x v="4"/>
    <n v="1.9508160000000001"/>
    <n v="2029"/>
    <n v="2000"/>
    <n v="29"/>
    <n v="1.4500000000000001E-2"/>
    <n v="56.573664000000001"/>
    <m/>
  </r>
  <r>
    <x v="2"/>
    <x v="74"/>
    <x v="1"/>
    <x v="196"/>
    <x v="0"/>
    <x v="1"/>
    <x v="1"/>
    <n v="1.91178"/>
    <n v="6684.2"/>
    <n v="6415.2"/>
    <n v="269"/>
    <n v="4.1931662302032671E-2"/>
    <n v="514.26882000000001"/>
    <m/>
  </r>
  <r>
    <x v="2"/>
    <x v="74"/>
    <x v="1"/>
    <x v="196"/>
    <x v="2"/>
    <x v="3"/>
    <x v="3"/>
    <n v="3.8943099999999999"/>
    <n v="5612"/>
    <n v="5600"/>
    <n v="12"/>
    <n v="2.142857142857143E-3"/>
    <n v="46.731719999999996"/>
    <m/>
  </r>
  <r>
    <x v="2"/>
    <x v="74"/>
    <x v="1"/>
    <x v="196"/>
    <x v="3"/>
    <x v="4"/>
    <x v="4"/>
    <n v="1.9508160000000001"/>
    <n v="12016"/>
    <n v="12000"/>
    <n v="16"/>
    <n v="1.3333333333333333E-3"/>
    <n v="31.213056000000002"/>
    <m/>
  </r>
  <r>
    <x v="2"/>
    <x v="74"/>
    <x v="1"/>
    <x v="196"/>
    <x v="4"/>
    <x v="4"/>
    <x v="4"/>
    <n v="1.9508160000000001"/>
    <n v="2010"/>
    <n v="2000"/>
    <n v="10"/>
    <n v="5.0000000000000001E-3"/>
    <n v="19.50816"/>
    <m/>
  </r>
  <r>
    <x v="2"/>
    <x v="74"/>
    <x v="1"/>
    <x v="196"/>
    <x v="5"/>
    <x v="5"/>
    <x v="5"/>
    <n v="0"/>
    <n v="5"/>
    <m/>
    <n v="5"/>
    <n v="1"/>
    <n v="0"/>
    <m/>
  </r>
  <r>
    <x v="2"/>
    <x v="75"/>
    <x v="2"/>
    <x v="197"/>
    <x v="0"/>
    <x v="1"/>
    <x v="1"/>
    <n v="1.91178"/>
    <n v="8071.8"/>
    <n v="7840.8"/>
    <n v="231"/>
    <n v="2.9461279461279459E-2"/>
    <n v="441.62117999999998"/>
    <m/>
  </r>
  <r>
    <x v="2"/>
    <x v="75"/>
    <x v="2"/>
    <x v="197"/>
    <x v="2"/>
    <x v="3"/>
    <x v="3"/>
    <n v="3.8943099999999999"/>
    <n v="5703"/>
    <n v="5600"/>
    <n v="103"/>
    <n v="1.8392857142857141E-2"/>
    <n v="401.11392999999998"/>
    <m/>
  </r>
  <r>
    <x v="2"/>
    <x v="75"/>
    <x v="0"/>
    <x v="198"/>
    <x v="0"/>
    <x v="1"/>
    <x v="1"/>
    <n v="1.91178"/>
    <n v="10545.2"/>
    <n v="10243.200000000001"/>
    <n v="302"/>
    <n v="2.9482974070602935E-2"/>
    <n v="577.35756000000003"/>
    <m/>
  </r>
  <r>
    <x v="2"/>
    <x v="75"/>
    <x v="0"/>
    <x v="198"/>
    <x v="2"/>
    <x v="3"/>
    <x v="3"/>
    <n v="3.8943099999999999"/>
    <n v="7298"/>
    <n v="7200"/>
    <n v="98"/>
    <n v="1.361111111111111E-2"/>
    <n v="381.64238"/>
    <m/>
  </r>
  <r>
    <x v="2"/>
    <x v="75"/>
    <x v="0"/>
    <x v="198"/>
    <x v="3"/>
    <x v="4"/>
    <x v="4"/>
    <n v="1.9508160000000001"/>
    <n v="8007"/>
    <n v="8000"/>
    <n v="7"/>
    <n v="8.7500000000000002E-4"/>
    <n v="13.655712000000001"/>
    <m/>
  </r>
  <r>
    <x v="2"/>
    <x v="75"/>
    <x v="0"/>
    <x v="198"/>
    <x v="5"/>
    <x v="5"/>
    <x v="5"/>
    <n v="0"/>
    <n v="12"/>
    <m/>
    <n v="12"/>
    <n v="1"/>
    <n v="0"/>
    <m/>
  </r>
  <r>
    <x v="2"/>
    <x v="75"/>
    <x v="1"/>
    <x v="199"/>
    <x v="0"/>
    <x v="1"/>
    <x v="1"/>
    <n v="1.91178"/>
    <n v="9786.7999999999993"/>
    <n v="9380.7999999999993"/>
    <n v="406"/>
    <n v="4.3279890840866454E-2"/>
    <n v="776.18268"/>
    <m/>
  </r>
  <r>
    <x v="2"/>
    <x v="75"/>
    <x v="1"/>
    <x v="199"/>
    <x v="2"/>
    <x v="3"/>
    <x v="3"/>
    <n v="3.8943099999999999"/>
    <n v="6477"/>
    <n v="6400"/>
    <n v="77"/>
    <n v="1.203125E-2"/>
    <n v="299.86187000000001"/>
    <m/>
  </r>
  <r>
    <x v="2"/>
    <x v="75"/>
    <x v="1"/>
    <x v="199"/>
    <x v="3"/>
    <x v="4"/>
    <x v="4"/>
    <n v="1.9508160000000001"/>
    <n v="9012"/>
    <n v="9000"/>
    <n v="12"/>
    <n v="1.3333333333333333E-3"/>
    <n v="23.409792000000003"/>
    <m/>
  </r>
  <r>
    <x v="2"/>
    <x v="75"/>
    <x v="1"/>
    <x v="199"/>
    <x v="5"/>
    <x v="5"/>
    <x v="5"/>
    <n v="0"/>
    <n v="30"/>
    <m/>
    <n v="30"/>
    <n v="1"/>
    <n v="0"/>
    <m/>
  </r>
  <r>
    <x v="2"/>
    <x v="76"/>
    <x v="2"/>
    <x v="200"/>
    <x v="0"/>
    <x v="1"/>
    <x v="1"/>
    <n v="1.91178"/>
    <n v="9742.7999999999993"/>
    <n v="9380.7999999999993"/>
    <n v="362"/>
    <n v="3.8589459321166641E-2"/>
    <n v="692.06435999999997"/>
    <m/>
  </r>
  <r>
    <x v="2"/>
    <x v="76"/>
    <x v="2"/>
    <x v="200"/>
    <x v="2"/>
    <x v="3"/>
    <x v="3"/>
    <n v="3.8943099999999999"/>
    <n v="6546"/>
    <n v="6400"/>
    <n v="146"/>
    <n v="2.2812499999999999E-2"/>
    <n v="568.56925999999999"/>
    <m/>
  </r>
  <r>
    <x v="2"/>
    <x v="76"/>
    <x v="0"/>
    <x v="201"/>
    <x v="0"/>
    <x v="1"/>
    <x v="1"/>
    <n v="1.91178"/>
    <n v="11172.4"/>
    <n v="10806.4"/>
    <n v="366"/>
    <n v="3.3868818477939003E-2"/>
    <n v="699.71148000000005"/>
    <m/>
  </r>
  <r>
    <x v="2"/>
    <x v="76"/>
    <x v="0"/>
    <x v="201"/>
    <x v="2"/>
    <x v="3"/>
    <x v="3"/>
    <n v="3.8943099999999999"/>
    <n v="8928"/>
    <n v="8800"/>
    <n v="128"/>
    <n v="1.4545454545454545E-2"/>
    <n v="498.47167999999999"/>
    <m/>
  </r>
  <r>
    <x v="2"/>
    <x v="76"/>
    <x v="0"/>
    <x v="201"/>
    <x v="3"/>
    <x v="4"/>
    <x v="4"/>
    <n v="1.9508160000000001"/>
    <n v="6021"/>
    <n v="6000"/>
    <n v="21"/>
    <n v="3.5000000000000001E-3"/>
    <n v="40.967136000000004"/>
    <m/>
  </r>
  <r>
    <x v="2"/>
    <x v="76"/>
    <x v="1"/>
    <x v="202"/>
    <x v="0"/>
    <x v="1"/>
    <x v="1"/>
    <n v="1.91178"/>
    <n v="9801.7999999999993"/>
    <n v="9380.7999999999993"/>
    <n v="421"/>
    <n v="4.4878901586218663E-2"/>
    <n v="804.85937999999999"/>
    <m/>
  </r>
  <r>
    <x v="2"/>
    <x v="76"/>
    <x v="1"/>
    <x v="202"/>
    <x v="2"/>
    <x v="3"/>
    <x v="3"/>
    <n v="3.8943099999999999"/>
    <n v="8030"/>
    <n v="8000"/>
    <n v="30"/>
    <n v="3.7499999999999999E-3"/>
    <n v="116.8293"/>
    <m/>
  </r>
  <r>
    <x v="2"/>
    <x v="76"/>
    <x v="1"/>
    <x v="202"/>
    <x v="3"/>
    <x v="4"/>
    <x v="4"/>
    <n v="1.9508160000000001"/>
    <n v="9019"/>
    <n v="9000"/>
    <n v="19"/>
    <n v="2.1111111111111109E-3"/>
    <n v="37.065504000000004"/>
    <m/>
  </r>
  <r>
    <x v="2"/>
    <x v="76"/>
    <x v="1"/>
    <x v="202"/>
    <x v="5"/>
    <x v="5"/>
    <x v="5"/>
    <n v="0"/>
    <n v="20"/>
    <m/>
    <n v="20"/>
    <n v="1"/>
    <n v="0"/>
    <m/>
  </r>
  <r>
    <x v="2"/>
    <x v="77"/>
    <x v="2"/>
    <x v="203"/>
    <x v="0"/>
    <x v="1"/>
    <x v="1"/>
    <n v="1.91178"/>
    <n v="10302.6"/>
    <n v="10093.6"/>
    <n v="209"/>
    <n v="2.0706190061028772E-2"/>
    <n v="399.56202000000002"/>
    <m/>
  </r>
  <r>
    <x v="2"/>
    <x v="77"/>
    <x v="2"/>
    <x v="203"/>
    <x v="2"/>
    <x v="3"/>
    <x v="3"/>
    <n v="3.8943099999999999"/>
    <n v="5607"/>
    <n v="5600"/>
    <n v="7"/>
    <n v="1.25E-3"/>
    <n v="27.260169999999999"/>
    <m/>
  </r>
  <r>
    <x v="2"/>
    <x v="77"/>
    <x v="2"/>
    <x v="203"/>
    <x v="5"/>
    <x v="5"/>
    <x v="5"/>
    <n v="0"/>
    <n v="20"/>
    <m/>
    <n v="20"/>
    <n v="1"/>
    <n v="0"/>
    <m/>
  </r>
  <r>
    <x v="2"/>
    <x v="77"/>
    <x v="0"/>
    <x v="204"/>
    <x v="0"/>
    <x v="1"/>
    <x v="1"/>
    <n v="1.91178"/>
    <n v="10919.8"/>
    <n v="10656.8"/>
    <n v="263"/>
    <n v="2.4679078147286242E-2"/>
    <n v="502.79813999999999"/>
    <m/>
  </r>
  <r>
    <x v="2"/>
    <x v="77"/>
    <x v="0"/>
    <x v="204"/>
    <x v="2"/>
    <x v="3"/>
    <x v="3"/>
    <n v="3.8943099999999999"/>
    <n v="8916"/>
    <n v="8800"/>
    <n v="116"/>
    <n v="1.3181818181818182E-2"/>
    <n v="451.73996"/>
    <m/>
  </r>
  <r>
    <x v="2"/>
    <x v="77"/>
    <x v="1"/>
    <x v="205"/>
    <x v="0"/>
    <x v="1"/>
    <x v="1"/>
    <n v="1.91178"/>
    <n v="9643.7999999999993"/>
    <n v="9380.7999999999993"/>
    <n v="263"/>
    <n v="2.8035988401842061E-2"/>
    <n v="502.79813999999999"/>
    <m/>
  </r>
  <r>
    <x v="2"/>
    <x v="77"/>
    <x v="1"/>
    <x v="205"/>
    <x v="2"/>
    <x v="3"/>
    <x v="3"/>
    <n v="3.8943099999999999"/>
    <n v="4025"/>
    <n v="4000"/>
    <n v="25"/>
    <n v="6.2500000000000003E-3"/>
    <n v="97.357749999999996"/>
    <m/>
  </r>
  <r>
    <x v="2"/>
    <x v="77"/>
    <x v="1"/>
    <x v="205"/>
    <x v="5"/>
    <x v="5"/>
    <x v="5"/>
    <n v="0"/>
    <n v="28"/>
    <m/>
    <n v="28"/>
    <n v="1"/>
    <n v="0"/>
    <m/>
  </r>
  <r>
    <x v="2"/>
    <x v="78"/>
    <x v="0"/>
    <x v="206"/>
    <x v="0"/>
    <x v="1"/>
    <x v="1"/>
    <n v="1.91178"/>
    <n v="7367"/>
    <n v="7128"/>
    <n v="239"/>
    <n v="3.3529741863075196E-2"/>
    <n v="456.91541999999998"/>
    <m/>
  </r>
  <r>
    <x v="2"/>
    <x v="78"/>
    <x v="1"/>
    <x v="207"/>
    <x v="0"/>
    <x v="1"/>
    <x v="1"/>
    <n v="1.91178"/>
    <n v="7831.48"/>
    <n v="7476.48"/>
    <n v="355"/>
    <n v="4.7482237630542719E-2"/>
    <n v="678.68190000000004"/>
    <m/>
  </r>
  <r>
    <x v="2"/>
    <x v="78"/>
    <x v="2"/>
    <x v="208"/>
    <x v="0"/>
    <x v="1"/>
    <x v="1"/>
    <n v="1.91178"/>
    <n v="8847.6"/>
    <n v="8553.6"/>
    <n v="294"/>
    <n v="3.4371492704826034E-2"/>
    <n v="562.06331999999998"/>
    <m/>
  </r>
  <r>
    <x v="2"/>
    <x v="79"/>
    <x v="0"/>
    <x v="209"/>
    <x v="3"/>
    <x v="8"/>
    <x v="8"/>
    <n v="1.4516300000000002"/>
    <n v="11027"/>
    <n v="11000"/>
    <n v="27"/>
    <n v="2.4545454545454545E-3"/>
    <n v="39.194010000000006"/>
    <m/>
  </r>
  <r>
    <x v="2"/>
    <x v="79"/>
    <x v="1"/>
    <x v="210"/>
    <x v="3"/>
    <x v="8"/>
    <x v="8"/>
    <n v="1.4516300000000002"/>
    <n v="10013"/>
    <n v="10000"/>
    <n v="13"/>
    <n v="1.2999999999999999E-3"/>
    <n v="18.871190000000002"/>
    <m/>
  </r>
  <r>
    <x v="2"/>
    <x v="80"/>
    <x v="2"/>
    <x v="211"/>
    <x v="0"/>
    <x v="1"/>
    <x v="1"/>
    <n v="1.91178"/>
    <n v="2789.5"/>
    <n v="2587.5"/>
    <n v="202"/>
    <n v="7.8067632850241542E-2"/>
    <n v="386.17955999999998"/>
    <m/>
  </r>
  <r>
    <x v="2"/>
    <x v="80"/>
    <x v="0"/>
    <x v="212"/>
    <x v="0"/>
    <x v="1"/>
    <x v="1"/>
    <n v="1.91178"/>
    <n v="8148.1"/>
    <n v="7727.1"/>
    <n v="421"/>
    <n v="5.4483570809229852E-2"/>
    <n v="804.85937999999999"/>
    <m/>
  </r>
  <r>
    <x v="2"/>
    <x v="80"/>
    <x v="1"/>
    <x v="213"/>
    <x v="0"/>
    <x v="1"/>
    <x v="1"/>
    <n v="1.91178"/>
    <n v="7481.9"/>
    <n v="7163.9"/>
    <n v="318"/>
    <n v="4.4389229330392667E-2"/>
    <n v="607.94604000000004"/>
    <m/>
  </r>
  <r>
    <x v="2"/>
    <x v="80"/>
    <x v="0"/>
    <x v="212"/>
    <x v="3"/>
    <x v="8"/>
    <x v="8"/>
    <n v="1.4516300000000002"/>
    <n v="6012"/>
    <n v="6000"/>
    <n v="12"/>
    <n v="2E-3"/>
    <m/>
    <m/>
  </r>
  <r>
    <x v="2"/>
    <x v="80"/>
    <x v="0"/>
    <x v="212"/>
    <x v="4"/>
    <x v="4"/>
    <x v="4"/>
    <n v="1.9508160000000001"/>
    <n v="2026"/>
    <n v="2000"/>
    <n v="26"/>
    <n v="1.2999999999999999E-2"/>
    <m/>
    <m/>
  </r>
  <r>
    <x v="2"/>
    <x v="80"/>
    <x v="1"/>
    <x v="213"/>
    <x v="3"/>
    <x v="8"/>
    <x v="8"/>
    <n v="1.4516300000000002"/>
    <n v="6022"/>
    <n v="6000"/>
    <n v="22"/>
    <n v="3.6666666666666666E-3"/>
    <n v="31.935860000000005"/>
    <m/>
  </r>
  <r>
    <x v="2"/>
    <x v="81"/>
    <x v="2"/>
    <x v="214"/>
    <x v="4"/>
    <x v="4"/>
    <x v="4"/>
    <n v="1.9508160000000001"/>
    <n v="3"/>
    <m/>
    <n v="3"/>
    <n v="1"/>
    <n v="5.8524480000000008"/>
    <m/>
  </r>
  <r>
    <x v="2"/>
    <x v="81"/>
    <x v="2"/>
    <x v="214"/>
    <x v="0"/>
    <x v="1"/>
    <x v="1"/>
    <n v="1.91178"/>
    <n v="7106.5"/>
    <n v="6796.5"/>
    <n v="310"/>
    <n v="4.5611711910542189E-2"/>
    <n v="592.65179999999998"/>
    <m/>
  </r>
  <r>
    <x v="2"/>
    <x v="81"/>
    <x v="0"/>
    <x v="215"/>
    <x v="0"/>
    <x v="1"/>
    <x v="1"/>
    <n v="1.91178"/>
    <n v="11678.8"/>
    <n v="11360.8"/>
    <n v="318"/>
    <n v="2.7990986550242944E-2"/>
    <n v="607.94604000000004"/>
    <m/>
  </r>
  <r>
    <x v="2"/>
    <x v="81"/>
    <x v="0"/>
    <x v="215"/>
    <x v="2"/>
    <x v="3"/>
    <x v="3"/>
    <n v="3.8943099999999999"/>
    <n v="5672"/>
    <n v="5600"/>
    <n v="72"/>
    <n v="1.2857142857142857E-2"/>
    <n v="280.39031999999997"/>
    <m/>
  </r>
  <r>
    <x v="2"/>
    <x v="81"/>
    <x v="0"/>
    <x v="215"/>
    <x v="3"/>
    <x v="8"/>
    <x v="8"/>
    <n v="1.4516300000000002"/>
    <n v="9042"/>
    <n v="9000"/>
    <n v="42"/>
    <n v="4.6666666666666671E-3"/>
    <n v="60.968460000000007"/>
    <m/>
  </r>
  <r>
    <x v="2"/>
    <x v="81"/>
    <x v="0"/>
    <x v="215"/>
    <x v="5"/>
    <x v="5"/>
    <x v="5"/>
    <n v="0"/>
    <n v="32"/>
    <m/>
    <n v="32"/>
    <n v="1"/>
    <n v="0"/>
    <m/>
  </r>
  <r>
    <x v="2"/>
    <x v="81"/>
    <x v="1"/>
    <x v="216"/>
    <x v="0"/>
    <x v="1"/>
    <x v="1"/>
    <n v="1.91178"/>
    <n v="10896.8"/>
    <n v="10532.8"/>
    <n v="364"/>
    <n v="3.4558711833510558E-2"/>
    <n v="695.88792000000001"/>
    <m/>
  </r>
  <r>
    <x v="2"/>
    <x v="81"/>
    <x v="1"/>
    <x v="216"/>
    <x v="2"/>
    <x v="3"/>
    <x v="3"/>
    <n v="3.8943099999999999"/>
    <n v="5635"/>
    <n v="5600"/>
    <n v="35"/>
    <n v="6.2500000000000003E-3"/>
    <n v="136.30085"/>
    <m/>
  </r>
  <r>
    <x v="2"/>
    <x v="82"/>
    <x v="2"/>
    <x v="217"/>
    <x v="0"/>
    <x v="1"/>
    <x v="1"/>
    <n v="1.91178"/>
    <n v="11116.6"/>
    <n v="10797.6"/>
    <n v="319"/>
    <n v="2.9543602281988587E-2"/>
    <n v="609.85782000000006"/>
    <m/>
  </r>
  <r>
    <x v="2"/>
    <x v="82"/>
    <x v="2"/>
    <x v="217"/>
    <x v="2"/>
    <x v="3"/>
    <x v="3"/>
    <n v="3.8943099999999999"/>
    <n v="3243"/>
    <n v="3200"/>
    <n v="43"/>
    <n v="1.34375E-2"/>
    <n v="167.45533"/>
    <m/>
  </r>
  <r>
    <x v="2"/>
    <x v="82"/>
    <x v="0"/>
    <x v="218"/>
    <x v="0"/>
    <x v="1"/>
    <x v="1"/>
    <n v="1.91178"/>
    <n v="11672.8"/>
    <n v="11360.8"/>
    <n v="312"/>
    <n v="2.7462854728540244E-2"/>
    <n v="596.47536000000002"/>
    <m/>
  </r>
  <r>
    <x v="2"/>
    <x v="82"/>
    <x v="0"/>
    <x v="218"/>
    <x v="2"/>
    <x v="3"/>
    <x v="3"/>
    <n v="3.8943099999999999"/>
    <n v="6497"/>
    <n v="6400"/>
    <n v="97"/>
    <n v="1.515625E-2"/>
    <n v="377.74806999999998"/>
    <m/>
  </r>
  <r>
    <x v="2"/>
    <x v="82"/>
    <x v="0"/>
    <x v="218"/>
    <x v="3"/>
    <x v="8"/>
    <x v="8"/>
    <n v="1.4516300000000002"/>
    <n v="8026"/>
    <n v="8000"/>
    <n v="26"/>
    <n v="3.2499999999999999E-3"/>
    <n v="37.742380000000004"/>
    <m/>
  </r>
  <r>
    <x v="2"/>
    <x v="82"/>
    <x v="1"/>
    <x v="219"/>
    <x v="0"/>
    <x v="1"/>
    <x v="1"/>
    <n v="1.91178"/>
    <n v="4867.72"/>
    <n v="4670.72"/>
    <n v="197"/>
    <n v="4.2177651411345572E-2"/>
    <n v="376.62065999999999"/>
    <m/>
  </r>
  <r>
    <x v="2"/>
    <x v="82"/>
    <x v="1"/>
    <x v="219"/>
    <x v="2"/>
    <x v="3"/>
    <x v="3"/>
    <n v="3.8943099999999999"/>
    <n v="4063"/>
    <n v="4000"/>
    <n v="63"/>
    <n v="1.575E-2"/>
    <n v="245.34153000000001"/>
    <m/>
  </r>
  <r>
    <x v="2"/>
    <x v="82"/>
    <x v="1"/>
    <x v="219"/>
    <x v="3"/>
    <x v="8"/>
    <x v="8"/>
    <n v="1.4516300000000002"/>
    <n v="8012"/>
    <n v="8000"/>
    <n v="12"/>
    <n v="1.5E-3"/>
    <n v="17.419560000000004"/>
    <m/>
  </r>
  <r>
    <x v="2"/>
    <x v="83"/>
    <x v="2"/>
    <x v="220"/>
    <x v="0"/>
    <x v="1"/>
    <x v="1"/>
    <n v="1.91178"/>
    <n v="5475.2"/>
    <n v="5227.2"/>
    <n v="248"/>
    <n v="4.7444138353229262E-2"/>
    <n v="474.12144000000001"/>
    <m/>
  </r>
  <r>
    <x v="2"/>
    <x v="83"/>
    <x v="2"/>
    <x v="220"/>
    <x v="2"/>
    <x v="3"/>
    <x v="3"/>
    <n v="3.8943099999999999"/>
    <n v="3207"/>
    <n v="3200"/>
    <n v="7"/>
    <n v="2.1875000000000002E-3"/>
    <n v="27.260169999999999"/>
    <m/>
  </r>
  <r>
    <x v="2"/>
    <x v="83"/>
    <x v="2"/>
    <x v="220"/>
    <x v="5"/>
    <x v="5"/>
    <x v="5"/>
    <n v="0"/>
    <n v="7"/>
    <m/>
    <n v="7"/>
    <n v="1"/>
    <n v="0"/>
    <m/>
  </r>
  <r>
    <x v="2"/>
    <x v="83"/>
    <x v="0"/>
    <x v="221"/>
    <x v="0"/>
    <x v="1"/>
    <x v="1"/>
    <n v="1.91178"/>
    <n v="11698.2"/>
    <n v="11267.2"/>
    <n v="431"/>
    <n v="3.82526270945754E-2"/>
    <n v="823.97717999999998"/>
    <m/>
  </r>
  <r>
    <x v="2"/>
    <x v="83"/>
    <x v="0"/>
    <x v="221"/>
    <x v="2"/>
    <x v="3"/>
    <x v="3"/>
    <n v="3.8943099999999999"/>
    <n v="5719"/>
    <n v="5600"/>
    <n v="119"/>
    <n v="2.1250000000000002E-2"/>
    <n v="463.42289"/>
    <m/>
  </r>
  <r>
    <x v="2"/>
    <x v="83"/>
    <x v="0"/>
    <x v="221"/>
    <x v="3"/>
    <x v="8"/>
    <x v="8"/>
    <n v="1.4516300000000002"/>
    <n v="6002"/>
    <n v="6000"/>
    <n v="2"/>
    <n v="3.3333333333333332E-4"/>
    <n v="2.9032600000000004"/>
    <m/>
  </r>
  <r>
    <x v="2"/>
    <x v="83"/>
    <x v="1"/>
    <x v="222"/>
    <x v="0"/>
    <x v="1"/>
    <x v="1"/>
    <n v="1.91178"/>
    <n v="10864.6"/>
    <n v="10489.6"/>
    <n v="375"/>
    <n v="3.5749694935936542E-2"/>
    <n v="716.91750000000002"/>
    <m/>
  </r>
  <r>
    <x v="2"/>
    <x v="83"/>
    <x v="1"/>
    <x v="222"/>
    <x v="2"/>
    <x v="3"/>
    <x v="3"/>
    <n v="3.8943099999999999"/>
    <n v="4876"/>
    <n v="4800"/>
    <n v="76"/>
    <n v="1.5833333333333335E-2"/>
    <n v="295.96755999999999"/>
    <m/>
  </r>
  <r>
    <x v="2"/>
    <x v="83"/>
    <x v="1"/>
    <x v="222"/>
    <x v="3"/>
    <x v="8"/>
    <x v="8"/>
    <n v="1.4516300000000002"/>
    <n v="7002"/>
    <n v="7000"/>
    <n v="2"/>
    <n v="2.8571428571428574E-4"/>
    <n v="2.9032600000000004"/>
    <m/>
  </r>
  <r>
    <x v="2"/>
    <x v="83"/>
    <x v="1"/>
    <x v="222"/>
    <x v="5"/>
    <x v="5"/>
    <x v="5"/>
    <n v="0"/>
    <n v="20"/>
    <m/>
    <n v="20"/>
    <n v="1"/>
    <n v="0"/>
    <m/>
  </r>
  <r>
    <x v="2"/>
    <x v="84"/>
    <x v="2"/>
    <x v="223"/>
    <x v="0"/>
    <x v="1"/>
    <x v="1"/>
    <n v="1.91178"/>
    <n v="11778.6"/>
    <n v="11289.6"/>
    <n v="489"/>
    <n v="4.3314200680272107E-2"/>
    <n v="934.86041999999998"/>
    <m/>
  </r>
  <r>
    <x v="2"/>
    <x v="84"/>
    <x v="2"/>
    <x v="223"/>
    <x v="2"/>
    <x v="3"/>
    <x v="3"/>
    <n v="3.8943099999999999"/>
    <n v="5684"/>
    <n v="5600"/>
    <n v="84"/>
    <n v="1.4999999999999999E-2"/>
    <n v="327.12203999999997"/>
    <m/>
  </r>
  <r>
    <x v="2"/>
    <x v="84"/>
    <x v="2"/>
    <x v="223"/>
    <x v="5"/>
    <x v="5"/>
    <x v="5"/>
    <n v="0"/>
    <n v="15"/>
    <m/>
    <n v="15"/>
    <n v="1"/>
    <n v="0"/>
    <m/>
  </r>
  <r>
    <x v="2"/>
    <x v="84"/>
    <x v="0"/>
    <x v="224"/>
    <x v="0"/>
    <x v="1"/>
    <x v="1"/>
    <n v="1.91178"/>
    <n v="8209.7999999999993"/>
    <n v="7852.8"/>
    <n v="357"/>
    <n v="4.5461491442542787E-2"/>
    <n v="682.50545999999997"/>
    <m/>
  </r>
  <r>
    <x v="2"/>
    <x v="84"/>
    <x v="0"/>
    <x v="224"/>
    <x v="2"/>
    <x v="3"/>
    <x v="3"/>
    <n v="3.8943099999999999"/>
    <n v="2518"/>
    <n v="2400"/>
    <n v="118"/>
    <n v="4.9166666666666664E-2"/>
    <n v="459.52857999999998"/>
    <m/>
  </r>
  <r>
    <x v="2"/>
    <x v="84"/>
    <x v="0"/>
    <x v="224"/>
    <x v="3"/>
    <x v="8"/>
    <x v="8"/>
    <n v="1.4516300000000002"/>
    <n v="4055"/>
    <n v="4050"/>
    <n v="5"/>
    <n v="1.2345679012345679E-3"/>
    <n v="7.2581500000000005"/>
    <m/>
  </r>
  <r>
    <x v="2"/>
    <x v="84"/>
    <x v="0"/>
    <x v="224"/>
    <x v="5"/>
    <x v="5"/>
    <x v="5"/>
    <n v="0"/>
    <n v="55"/>
    <m/>
    <n v="55"/>
    <n v="1"/>
    <n v="0"/>
    <m/>
  </r>
  <r>
    <x v="2"/>
    <x v="85"/>
    <x v="0"/>
    <x v="225"/>
    <x v="0"/>
    <x v="0"/>
    <x v="0"/>
    <n v="1.96"/>
    <n v="4335.88"/>
    <n v="3974.88"/>
    <n v="361"/>
    <n v="9.0820351809362793E-2"/>
    <n v="707.56"/>
    <m/>
  </r>
  <r>
    <x v="2"/>
    <x v="85"/>
    <x v="0"/>
    <x v="225"/>
    <x v="5"/>
    <x v="5"/>
    <x v="5"/>
    <n v="0"/>
    <n v="10"/>
    <m/>
    <n v="10"/>
    <n v="1"/>
    <n v="0"/>
    <m/>
  </r>
  <r>
    <x v="2"/>
    <x v="85"/>
    <x v="1"/>
    <x v="226"/>
    <x v="0"/>
    <x v="0"/>
    <x v="0"/>
    <n v="1.96"/>
    <n v="5890.4"/>
    <n v="5678.4"/>
    <n v="212"/>
    <n v="3.733446041138349E-2"/>
    <n v="415.52"/>
    <m/>
  </r>
  <r>
    <x v="2"/>
    <x v="85"/>
    <x v="2"/>
    <x v="227"/>
    <x v="0"/>
    <x v="0"/>
    <x v="0"/>
    <n v="1.96"/>
    <n v="2435.36"/>
    <n v="2271.36"/>
    <n v="164"/>
    <n v="7.2203437588052963E-2"/>
    <n v="321.44"/>
    <m/>
  </r>
  <r>
    <x v="2"/>
    <x v="86"/>
    <x v="1"/>
    <x v="228"/>
    <x v="0"/>
    <x v="0"/>
    <x v="0"/>
    <n v="1.96"/>
    <n v="2843.95"/>
    <n v="2839.2"/>
    <n v="4.75"/>
    <n v="1.6730064806987886E-3"/>
    <n v="9.31"/>
    <m/>
  </r>
  <r>
    <x v="2"/>
    <x v="87"/>
    <x v="2"/>
    <x v="229"/>
    <x v="0"/>
    <x v="0"/>
    <x v="0"/>
    <n v="1.96"/>
    <n v="5528.56"/>
    <n v="5110.5600000000004"/>
    <n v="418"/>
    <n v="8.1791427945274095E-2"/>
    <n v="819.28"/>
    <m/>
  </r>
  <r>
    <x v="2"/>
    <x v="87"/>
    <x v="0"/>
    <x v="230"/>
    <x v="0"/>
    <x v="0"/>
    <x v="0"/>
    <n v="1.96"/>
    <n v="5948.4"/>
    <n v="5678.4"/>
    <n v="270"/>
    <n v="4.7548605240912936E-2"/>
    <n v="529.20000000000005"/>
    <m/>
  </r>
  <r>
    <x v="2"/>
    <x v="87"/>
    <x v="0"/>
    <x v="230"/>
    <x v="4"/>
    <x v="4"/>
    <x v="4"/>
    <n v="1.9508160000000001"/>
    <n v="319"/>
    <n v="250"/>
    <n v="69"/>
    <n v="0.27600000000000002"/>
    <n v="134.60630399999999"/>
    <m/>
  </r>
  <r>
    <x v="2"/>
    <x v="87"/>
    <x v="1"/>
    <x v="231"/>
    <x v="0"/>
    <x v="0"/>
    <x v="0"/>
    <n v="1.96"/>
    <n v="4197.8"/>
    <n v="3751.8"/>
    <n v="446"/>
    <n v="0.11887627272242657"/>
    <n v="874.16"/>
    <m/>
  </r>
  <r>
    <x v="2"/>
    <x v="87"/>
    <x v="1"/>
    <x v="231"/>
    <x v="4"/>
    <x v="4"/>
    <x v="4"/>
    <n v="1.9508160000000001"/>
    <n v="1762"/>
    <n v="1750"/>
    <n v="12"/>
    <n v="6.8571428571428568E-3"/>
    <n v="23.409792000000003"/>
    <m/>
  </r>
  <r>
    <x v="2"/>
    <x v="88"/>
    <x v="2"/>
    <x v="232"/>
    <x v="0"/>
    <x v="0"/>
    <x v="0"/>
    <n v="1.96"/>
    <n v="3870.04"/>
    <n v="3407.04"/>
    <n v="463"/>
    <n v="0.13589508781816476"/>
    <n v="907.48"/>
    <m/>
  </r>
  <r>
    <x v="2"/>
    <x v="88"/>
    <x v="2"/>
    <x v="232"/>
    <x v="2"/>
    <x v="3"/>
    <x v="3"/>
    <n v="3.8943099999999999"/>
    <n v="6475"/>
    <n v="6400"/>
    <n v="75"/>
    <n v="1.171875E-2"/>
    <n v="292.07324999999997"/>
    <m/>
  </r>
  <r>
    <x v="2"/>
    <x v="88"/>
    <x v="0"/>
    <x v="233"/>
    <x v="0"/>
    <x v="0"/>
    <x v="0"/>
    <n v="1.96"/>
    <n v="5440.56"/>
    <n v="5110.5600000000004"/>
    <n v="330"/>
    <n v="6.4572179956795331E-2"/>
    <n v="646.79999999999995"/>
    <m/>
  </r>
  <r>
    <x v="2"/>
    <x v="88"/>
    <x v="0"/>
    <x v="233"/>
    <x v="2"/>
    <x v="3"/>
    <x v="3"/>
    <n v="3.8943099999999999"/>
    <n v="8125"/>
    <n v="8000"/>
    <n v="125"/>
    <n v="1.5625E-2"/>
    <n v="486.78874999999999"/>
    <m/>
  </r>
  <r>
    <x v="2"/>
    <x v="88"/>
    <x v="1"/>
    <x v="234"/>
    <x v="0"/>
    <x v="0"/>
    <x v="0"/>
    <n v="1.96"/>
    <n v="4286.04"/>
    <n v="3407.04"/>
    <n v="879"/>
    <n v="0.25799520991828684"/>
    <n v="1722.84"/>
    <m/>
  </r>
  <r>
    <x v="2"/>
    <x v="88"/>
    <x v="1"/>
    <x v="234"/>
    <x v="2"/>
    <x v="3"/>
    <x v="3"/>
    <n v="3.8943099999999999"/>
    <n v="8060"/>
    <n v="8000"/>
    <n v="60"/>
    <n v="7.4999999999999997E-3"/>
    <n v="233.65860000000001"/>
    <m/>
  </r>
  <r>
    <x v="2"/>
    <x v="88"/>
    <x v="1"/>
    <x v="234"/>
    <x v="5"/>
    <x v="5"/>
    <x v="5"/>
    <n v="0"/>
    <n v="17"/>
    <m/>
    <n v="17"/>
    <n v="1"/>
    <n v="0"/>
    <m/>
  </r>
  <r>
    <x v="2"/>
    <x v="88"/>
    <x v="2"/>
    <x v="232"/>
    <x v="0"/>
    <x v="0"/>
    <x v="0"/>
    <n v="1.96"/>
    <n v="3757.04"/>
    <n v="3407.04"/>
    <n v="350"/>
    <n v="0.1027284681130835"/>
    <n v="686"/>
    <m/>
  </r>
  <r>
    <x v="2"/>
    <x v="88"/>
    <x v="2"/>
    <x v="232"/>
    <x v="2"/>
    <x v="3"/>
    <x v="3"/>
    <n v="3.8943099999999999"/>
    <n v="7206"/>
    <n v="7200"/>
    <n v="6"/>
    <n v="8.3333333333333339E-4"/>
    <n v="23.365859999999998"/>
    <m/>
  </r>
  <r>
    <x v="2"/>
    <x v="88"/>
    <x v="2"/>
    <x v="232"/>
    <x v="5"/>
    <x v="5"/>
    <x v="5"/>
    <n v="0"/>
    <n v="22"/>
    <m/>
    <n v="22"/>
    <n v="1"/>
    <n v="0"/>
    <m/>
  </r>
  <r>
    <x v="3"/>
    <x v="89"/>
    <x v="0"/>
    <x v="235"/>
    <x v="0"/>
    <x v="0"/>
    <x v="0"/>
    <n v="1.96"/>
    <n v="2518.36"/>
    <n v="2271.36"/>
    <n v="247"/>
    <n v="0.10874542124542123"/>
    <n v="484.12"/>
    <m/>
  </r>
  <r>
    <x v="3"/>
    <x v="89"/>
    <x v="0"/>
    <x v="235"/>
    <x v="2"/>
    <x v="3"/>
    <x v="3"/>
    <n v="3.8943099999999999"/>
    <n v="8147"/>
    <n v="8000"/>
    <n v="147"/>
    <n v="1.8374999999999999E-2"/>
    <n v="572.46357"/>
    <m/>
  </r>
  <r>
    <x v="3"/>
    <x v="89"/>
    <x v="1"/>
    <x v="236"/>
    <x v="0"/>
    <x v="1"/>
    <x v="1"/>
    <n v="1.91178"/>
    <n v="5467"/>
    <n v="5152"/>
    <n v="315"/>
    <n v="6.1141304347826088E-2"/>
    <n v="602.21069999999997"/>
    <m/>
  </r>
  <r>
    <x v="3"/>
    <x v="89"/>
    <x v="1"/>
    <x v="236"/>
    <x v="2"/>
    <x v="3"/>
    <x v="3"/>
    <n v="3.8943099999999999"/>
    <n v="6467"/>
    <n v="6400"/>
    <n v="67"/>
    <n v="1.0468750000000001E-2"/>
    <n v="260.91876999999999"/>
    <m/>
  </r>
  <r>
    <x v="3"/>
    <x v="89"/>
    <x v="1"/>
    <x v="236"/>
    <x v="5"/>
    <x v="5"/>
    <x v="5"/>
    <n v="0"/>
    <n v="30"/>
    <m/>
    <n v="30"/>
    <n v="1"/>
    <n v="0"/>
    <m/>
  </r>
  <r>
    <x v="3"/>
    <x v="89"/>
    <x v="2"/>
    <x v="237"/>
    <x v="0"/>
    <x v="0"/>
    <x v="0"/>
    <n v="1.96"/>
    <n v="5382.56"/>
    <n v="5110.5600000000004"/>
    <n v="272"/>
    <n v="5.3223130146207068E-2"/>
    <n v="533.12"/>
    <m/>
  </r>
  <r>
    <x v="3"/>
    <x v="90"/>
    <x v="0"/>
    <x v="238"/>
    <x v="0"/>
    <x v="1"/>
    <x v="1"/>
    <n v="1.91178"/>
    <n v="9705.7999999999993"/>
    <n v="9028.7999999999993"/>
    <n v="677"/>
    <n v="7.4982278929647359E-2"/>
    <n v="1294.2750599999999"/>
    <m/>
  </r>
  <r>
    <x v="3"/>
    <x v="90"/>
    <x v="0"/>
    <x v="238"/>
    <x v="2"/>
    <x v="3"/>
    <x v="3"/>
    <n v="3.8943099999999999"/>
    <n v="8093"/>
    <n v="8000"/>
    <n v="93"/>
    <n v="1.1625E-2"/>
    <n v="362.17082999999997"/>
    <m/>
  </r>
  <r>
    <x v="3"/>
    <x v="90"/>
    <x v="1"/>
    <x v="239"/>
    <x v="0"/>
    <x v="1"/>
    <x v="1"/>
    <n v="1.91178"/>
    <n v="9424.2000000000007"/>
    <n v="8967.2000000000007"/>
    <n v="457"/>
    <n v="5.0963511464002138E-2"/>
    <n v="873.68345999999997"/>
    <m/>
  </r>
  <r>
    <x v="3"/>
    <x v="90"/>
    <x v="1"/>
    <x v="239"/>
    <x v="2"/>
    <x v="3"/>
    <x v="3"/>
    <n v="3.8943099999999999"/>
    <n v="7298"/>
    <n v="7200"/>
    <n v="98"/>
    <n v="1.361111111111111E-2"/>
    <n v="381.64238"/>
    <m/>
  </r>
  <r>
    <x v="3"/>
    <x v="90"/>
    <x v="1"/>
    <x v="239"/>
    <x v="3"/>
    <x v="4"/>
    <x v="4"/>
    <n v="1.9508160000000001"/>
    <n v="2018"/>
    <n v="2000"/>
    <n v="18"/>
    <n v="8.9999999999999993E-3"/>
    <n v="35.114688000000001"/>
    <m/>
  </r>
  <r>
    <x v="3"/>
    <x v="90"/>
    <x v="1"/>
    <x v="239"/>
    <x v="5"/>
    <x v="5"/>
    <x v="5"/>
    <n v="0"/>
    <n v="220"/>
    <m/>
    <n v="220"/>
    <n v="1"/>
    <n v="0"/>
    <m/>
  </r>
  <r>
    <x v="3"/>
    <x v="90"/>
    <x v="2"/>
    <x v="240"/>
    <x v="0"/>
    <x v="1"/>
    <x v="1"/>
    <n v="1.91178"/>
    <n v="6409"/>
    <n v="6116"/>
    <n v="293"/>
    <n v="4.7907128842380638E-2"/>
    <n v="560.15153999999995"/>
    <m/>
  </r>
  <r>
    <x v="3"/>
    <x v="90"/>
    <x v="2"/>
    <x v="240"/>
    <x v="5"/>
    <x v="5"/>
    <x v="5"/>
    <n v="0"/>
    <n v="10"/>
    <m/>
    <n v="10"/>
    <n v="1"/>
    <n v="0"/>
    <m/>
  </r>
  <r>
    <x v="3"/>
    <x v="91"/>
    <x v="0"/>
    <x v="241"/>
    <x v="0"/>
    <x v="1"/>
    <x v="1"/>
    <n v="1.91178"/>
    <n v="7634.2"/>
    <n v="7163.2"/>
    <n v="471"/>
    <n v="6.575273620728167E-2"/>
    <n v="900.44838000000004"/>
    <m/>
  </r>
  <r>
    <x v="3"/>
    <x v="91"/>
    <x v="0"/>
    <x v="241"/>
    <x v="2"/>
    <x v="3"/>
    <x v="3"/>
    <n v="3.8943099999999999"/>
    <n v="4851"/>
    <n v="4800"/>
    <n v="51"/>
    <n v="1.0625000000000001E-2"/>
    <n v="198.60981000000001"/>
    <m/>
  </r>
  <r>
    <x v="3"/>
    <x v="91"/>
    <x v="0"/>
    <x v="241"/>
    <x v="3"/>
    <x v="4"/>
    <x v="4"/>
    <n v="1.9508160000000001"/>
    <n v="10018"/>
    <n v="10000"/>
    <n v="18"/>
    <n v="1.8E-3"/>
    <n v="35.114688000000001"/>
    <m/>
  </r>
  <r>
    <x v="3"/>
    <x v="91"/>
    <x v="1"/>
    <x v="242"/>
    <x v="0"/>
    <x v="1"/>
    <x v="1"/>
    <n v="1.91178"/>
    <n v="7664.6"/>
    <n v="7541.6"/>
    <n v="123"/>
    <n v="1.6309536437891164E-2"/>
    <n v="235.14894000000001"/>
    <m/>
  </r>
  <r>
    <x v="3"/>
    <x v="91"/>
    <x v="1"/>
    <x v="242"/>
    <x v="3"/>
    <x v="4"/>
    <x v="4"/>
    <n v="1.9508160000000001"/>
    <n v="9042"/>
    <n v="9000"/>
    <n v="42"/>
    <n v="4.6666666666666671E-3"/>
    <n v="81.934272000000007"/>
    <m/>
  </r>
  <r>
    <x v="3"/>
    <x v="91"/>
    <x v="1"/>
    <x v="242"/>
    <x v="5"/>
    <x v="5"/>
    <x v="5"/>
    <n v="0"/>
    <n v="25"/>
    <m/>
    <n v="25"/>
    <n v="1"/>
    <n v="0"/>
    <m/>
  </r>
  <r>
    <x v="3"/>
    <x v="91"/>
    <x v="2"/>
    <x v="243"/>
    <x v="0"/>
    <x v="1"/>
    <x v="1"/>
    <n v="1.91178"/>
    <n v="2515.4"/>
    <n v="2138.4"/>
    <n v="377"/>
    <n v="0.17630003741114852"/>
    <n v="720.74106000000006"/>
    <m/>
  </r>
  <r>
    <x v="3"/>
    <x v="92"/>
    <x v="0"/>
    <x v="244"/>
    <x v="3"/>
    <x v="4"/>
    <x v="4"/>
    <n v="1.9508160000000001"/>
    <n v="7007"/>
    <n v="7000"/>
    <n v="7"/>
    <n v="1E-3"/>
    <n v="13.655712000000001"/>
    <m/>
  </r>
  <r>
    <x v="3"/>
    <x v="92"/>
    <x v="1"/>
    <x v="245"/>
    <x v="3"/>
    <x v="4"/>
    <x v="4"/>
    <n v="1.9508160000000001"/>
    <n v="9018"/>
    <n v="9000"/>
    <n v="18"/>
    <n v="2E-3"/>
    <n v="35.114688000000001"/>
    <m/>
  </r>
  <r>
    <x v="3"/>
    <x v="92"/>
    <x v="1"/>
    <x v="245"/>
    <x v="5"/>
    <x v="5"/>
    <x v="5"/>
    <n v="0"/>
    <n v="10"/>
    <m/>
    <n v="10"/>
    <n v="1"/>
    <n v="0"/>
    <m/>
  </r>
  <r>
    <x v="3"/>
    <x v="91"/>
    <x v="2"/>
    <x v="243"/>
    <x v="0"/>
    <x v="1"/>
    <x v="1"/>
    <n v="1.91178"/>
    <n v="2316"/>
    <n v="2138"/>
    <n v="178"/>
    <n v="8.3255378858746495E-2"/>
    <n v="340.29684000000003"/>
    <m/>
  </r>
  <r>
    <x v="3"/>
    <x v="93"/>
    <x v="1"/>
    <x v="246"/>
    <x v="3"/>
    <x v="4"/>
    <x v="4"/>
    <n v="1.9508160000000001"/>
    <n v="9002"/>
    <n v="9000"/>
    <n v="2"/>
    <n v="2.2222222222222223E-4"/>
    <n v="3.9016320000000002"/>
    <m/>
  </r>
  <r>
    <x v="3"/>
    <x v="93"/>
    <x v="0"/>
    <x v="247"/>
    <x v="3"/>
    <x v="4"/>
    <x v="4"/>
    <n v="1.9508160000000001"/>
    <n v="10025"/>
    <n v="10000"/>
    <n v="25"/>
    <n v="2.5000000000000001E-3"/>
    <n v="48.770400000000002"/>
    <m/>
  </r>
  <r>
    <x v="3"/>
    <x v="94"/>
    <x v="2"/>
    <x v="248"/>
    <x v="0"/>
    <x v="1"/>
    <x v="1"/>
    <n v="1.91178"/>
    <n v="6432"/>
    <n v="6116"/>
    <n v="316"/>
    <n v="5.1667756703727925E-2"/>
    <n v="604.12248"/>
    <m/>
  </r>
  <r>
    <x v="3"/>
    <x v="94"/>
    <x v="2"/>
    <x v="248"/>
    <x v="4"/>
    <x v="4"/>
    <x v="4"/>
    <n v="1.9508160000000001"/>
    <n v="1006"/>
    <n v="1000"/>
    <n v="6"/>
    <n v="6.0000000000000001E-3"/>
    <n v="11.704896000000002"/>
    <m/>
  </r>
  <r>
    <x v="3"/>
    <x v="94"/>
    <x v="0"/>
    <x v="249"/>
    <x v="0"/>
    <x v="1"/>
    <x v="1"/>
    <n v="1.91178"/>
    <n v="10025.799999999999"/>
    <n v="9688.7999999999993"/>
    <n v="337"/>
    <n v="3.4782429196598137E-2"/>
    <n v="644.26985999999999"/>
    <m/>
  </r>
  <r>
    <x v="3"/>
    <x v="94"/>
    <x v="0"/>
    <x v="249"/>
    <x v="4"/>
    <x v="4"/>
    <x v="4"/>
    <n v="1.9508160000000001"/>
    <n v="2038"/>
    <n v="2000"/>
    <n v="38"/>
    <n v="1.9E-2"/>
    <n v="74.131008000000008"/>
    <m/>
  </r>
  <r>
    <x v="3"/>
    <x v="94"/>
    <x v="1"/>
    <x v="250"/>
    <x v="0"/>
    <x v="1"/>
    <x v="1"/>
    <n v="1.91178"/>
    <n v="10449.4"/>
    <n v="10014.4"/>
    <n v="435"/>
    <n v="4.343745007189647E-2"/>
    <n v="831.62430000000006"/>
    <m/>
  </r>
  <r>
    <x v="3"/>
    <x v="94"/>
    <x v="2"/>
    <x v="248"/>
    <x v="3"/>
    <x v="4"/>
    <x v="4"/>
    <n v="1.9508160000000001"/>
    <n v="8137"/>
    <n v="8000"/>
    <n v="137"/>
    <n v="1.7125000000000001E-2"/>
    <n v="267.26179200000001"/>
    <m/>
  </r>
  <r>
    <x v="3"/>
    <x v="94"/>
    <x v="1"/>
    <x v="250"/>
    <x v="4"/>
    <x v="4"/>
    <x v="4"/>
    <n v="1.9508160000000001"/>
    <n v="1018"/>
    <n v="1000"/>
    <n v="18"/>
    <n v="1.7999999999999999E-2"/>
    <n v="35.114688000000001"/>
    <m/>
  </r>
  <r>
    <x v="3"/>
    <x v="94"/>
    <x v="1"/>
    <x v="250"/>
    <x v="5"/>
    <x v="5"/>
    <x v="5"/>
    <n v="0"/>
    <n v="27"/>
    <m/>
    <n v="27"/>
    <n v="1"/>
    <n v="0"/>
    <m/>
  </r>
  <r>
    <x v="3"/>
    <x v="95"/>
    <x v="2"/>
    <x v="251"/>
    <x v="0"/>
    <x v="1"/>
    <x v="1"/>
    <n v="1.91178"/>
    <n v="10761.8"/>
    <n v="10304.799999999999"/>
    <n v="457"/>
    <n v="4.43482648862666E-2"/>
    <n v="873.68345999999997"/>
    <m/>
  </r>
  <r>
    <x v="3"/>
    <x v="95"/>
    <x v="2"/>
    <x v="251"/>
    <x v="3"/>
    <x v="4"/>
    <x v="4"/>
    <n v="1.9508160000000001"/>
    <n v="9137"/>
    <n v="9000"/>
    <n v="137"/>
    <n v="1.5222222222222222E-2"/>
    <n v="267.26179200000001"/>
    <m/>
  </r>
  <r>
    <x v="3"/>
    <x v="95"/>
    <x v="2"/>
    <x v="251"/>
    <x v="5"/>
    <x v="5"/>
    <x v="5"/>
    <n v="0"/>
    <n v="5"/>
    <m/>
    <n v="5"/>
    <n v="1"/>
    <n v="0"/>
    <m/>
  </r>
  <r>
    <x v="3"/>
    <x v="95"/>
    <x v="0"/>
    <x v="252"/>
    <x v="0"/>
    <x v="1"/>
    <x v="1"/>
    <n v="1.91178"/>
    <n v="10609"/>
    <n v="10260"/>
    <n v="349"/>
    <n v="3.4015594541910332E-2"/>
    <n v="667.21122000000003"/>
    <m/>
  </r>
  <r>
    <x v="3"/>
    <x v="95"/>
    <x v="0"/>
    <x v="252"/>
    <x v="3"/>
    <x v="4"/>
    <x v="4"/>
    <n v="1.9508160000000001"/>
    <n v="10057"/>
    <n v="10000"/>
    <n v="57"/>
    <n v="5.7000000000000002E-3"/>
    <n v="111.19651200000001"/>
    <m/>
  </r>
  <r>
    <x v="3"/>
    <x v="95"/>
    <x v="0"/>
    <x v="252"/>
    <x v="4"/>
    <x v="4"/>
    <x v="4"/>
    <n v="1.9508160000000001"/>
    <n v="2028"/>
    <n v="2000"/>
    <n v="28"/>
    <n v="1.4E-2"/>
    <n v="54.622848000000005"/>
    <m/>
  </r>
  <r>
    <x v="3"/>
    <x v="95"/>
    <x v="1"/>
    <x v="253"/>
    <x v="0"/>
    <x v="1"/>
    <x v="1"/>
    <n v="1.91178"/>
    <n v="12148.6"/>
    <n v="11685.6"/>
    <n v="463"/>
    <n v="3.9621414390360786E-2"/>
    <n v="885.15413999999998"/>
    <m/>
  </r>
  <r>
    <x v="3"/>
    <x v="96"/>
    <x v="2"/>
    <x v="254"/>
    <x v="3"/>
    <x v="4"/>
    <x v="4"/>
    <n v="1.9508160000000001"/>
    <n v="27"/>
    <m/>
    <n v="27"/>
    <n v="1"/>
    <n v="52.672032000000002"/>
    <m/>
  </r>
  <r>
    <x v="3"/>
    <x v="95"/>
    <x v="1"/>
    <x v="253"/>
    <x v="4"/>
    <x v="4"/>
    <x v="4"/>
    <n v="1.9508160000000001"/>
    <n v="1016"/>
    <n v="1000"/>
    <n v="16"/>
    <n v="1.6E-2"/>
    <n v="31.213056000000002"/>
    <m/>
  </r>
  <r>
    <x v="3"/>
    <x v="95"/>
    <x v="1"/>
    <x v="253"/>
    <x v="5"/>
    <x v="5"/>
    <x v="5"/>
    <n v="0"/>
    <n v="10"/>
    <m/>
    <n v="10"/>
    <n v="1"/>
    <n v="0"/>
    <m/>
  </r>
  <r>
    <x v="3"/>
    <x v="96"/>
    <x v="2"/>
    <x v="254"/>
    <x v="0"/>
    <x v="1"/>
    <x v="1"/>
    <n v="1.91178"/>
    <n v="7758.2"/>
    <n v="7063.2"/>
    <n v="695"/>
    <n v="9.8397326990599165E-2"/>
    <n v="1328.6871000000001"/>
    <m/>
  </r>
  <r>
    <x v="3"/>
    <x v="96"/>
    <x v="2"/>
    <x v="254"/>
    <x v="4"/>
    <x v="4"/>
    <x v="4"/>
    <n v="1.9508160000000001"/>
    <n v="2007"/>
    <n v="2000"/>
    <n v="7"/>
    <n v="3.5000000000000001E-3"/>
    <n v="13.655712000000001"/>
    <m/>
  </r>
  <r>
    <x v="3"/>
    <x v="96"/>
    <x v="0"/>
    <x v="255"/>
    <x v="0"/>
    <x v="1"/>
    <x v="1"/>
    <n v="1.91178"/>
    <n v="8831.6"/>
    <n v="8121.6"/>
    <n v="710"/>
    <n v="8.7421197793538213E-2"/>
    <n v="1357.3638000000001"/>
    <m/>
  </r>
  <r>
    <x v="3"/>
    <x v="96"/>
    <x v="0"/>
    <x v="255"/>
    <x v="3"/>
    <x v="4"/>
    <x v="4"/>
    <n v="1.9508160000000001"/>
    <n v="4024"/>
    <n v="4000"/>
    <n v="24"/>
    <n v="6.0000000000000001E-3"/>
    <n v="46.819584000000006"/>
    <m/>
  </r>
  <r>
    <x v="3"/>
    <x v="96"/>
    <x v="0"/>
    <x v="255"/>
    <x v="4"/>
    <x v="4"/>
    <x v="4"/>
    <n v="1.9508160000000001"/>
    <n v="1021"/>
    <n v="1000"/>
    <n v="21"/>
    <n v="2.1000000000000001E-2"/>
    <n v="40.967136000000004"/>
    <m/>
  </r>
  <r>
    <x v="3"/>
    <x v="96"/>
    <x v="1"/>
    <x v="256"/>
    <x v="0"/>
    <x v="1"/>
    <x v="1"/>
    <n v="1.91178"/>
    <n v="8501"/>
    <n v="7776"/>
    <n v="725"/>
    <n v="9.3235596707818932E-2"/>
    <n v="1386.0405000000001"/>
    <m/>
  </r>
  <r>
    <x v="3"/>
    <x v="96"/>
    <x v="1"/>
    <x v="256"/>
    <x v="3"/>
    <x v="4"/>
    <x v="4"/>
    <n v="1.9508160000000001"/>
    <n v="8181"/>
    <n v="8000"/>
    <n v="181"/>
    <n v="2.2624999999999999E-2"/>
    <n v="353.09769600000004"/>
    <m/>
  </r>
  <r>
    <x v="3"/>
    <x v="97"/>
    <x v="2"/>
    <x v="257"/>
    <x v="0"/>
    <x v="1"/>
    <x v="1"/>
    <n v="1.91178"/>
    <n v="7957.2"/>
    <n v="7063.2"/>
    <n v="894"/>
    <n v="0.12657152565409446"/>
    <n v="1709.13132"/>
    <m/>
  </r>
  <r>
    <x v="3"/>
    <x v="97"/>
    <x v="0"/>
    <x v="258"/>
    <x v="0"/>
    <x v="1"/>
    <x v="1"/>
    <n v="1.91178"/>
    <n v="7870.6"/>
    <n v="6717.6"/>
    <n v="1153"/>
    <n v="0.17163868048112421"/>
    <n v="2204.2823400000002"/>
    <m/>
  </r>
  <r>
    <x v="3"/>
    <x v="97"/>
    <x v="0"/>
    <x v="258"/>
    <x v="3"/>
    <x v="4"/>
    <x v="4"/>
    <n v="1.9508160000000001"/>
    <n v="8019"/>
    <n v="8000"/>
    <n v="19"/>
    <n v="2.3749999999999999E-3"/>
    <n v="37.065504000000004"/>
    <m/>
  </r>
  <r>
    <x v="3"/>
    <x v="97"/>
    <x v="0"/>
    <x v="258"/>
    <x v="4"/>
    <x v="4"/>
    <x v="4"/>
    <n v="1.9508160000000001"/>
    <n v="2098"/>
    <n v="2000"/>
    <n v="98"/>
    <n v="4.9000000000000002E-2"/>
    <n v="191.179968"/>
    <m/>
  </r>
  <r>
    <x v="3"/>
    <x v="97"/>
    <x v="0"/>
    <x v="258"/>
    <x v="5"/>
    <x v="5"/>
    <x v="5"/>
    <n v="0"/>
    <n v="20"/>
    <m/>
    <n v="20"/>
    <n v="1"/>
    <n v="0"/>
    <m/>
  </r>
  <r>
    <x v="3"/>
    <x v="97"/>
    <x v="1"/>
    <x v="259"/>
    <x v="0"/>
    <x v="1"/>
    <x v="1"/>
    <n v="1.91178"/>
    <n v="6442.6"/>
    <n v="5637.6"/>
    <n v="805"/>
    <n v="0.14279125869164183"/>
    <n v="1538.9829"/>
    <m/>
  </r>
  <r>
    <x v="3"/>
    <x v="97"/>
    <x v="1"/>
    <x v="259"/>
    <x v="3"/>
    <x v="4"/>
    <x v="4"/>
    <n v="1.9508160000000001"/>
    <n v="9006"/>
    <n v="9000"/>
    <n v="6"/>
    <n v="6.6666666666666664E-4"/>
    <n v="11.704896000000002"/>
    <m/>
  </r>
  <r>
    <x v="3"/>
    <x v="98"/>
    <x v="2"/>
    <x v="260"/>
    <x v="0"/>
    <x v="1"/>
    <x v="1"/>
    <n v="1.91178"/>
    <n v="8450.4"/>
    <n v="8258.4"/>
    <n v="192"/>
    <n v="2.3249055507120024E-2"/>
    <n v="367.06175999999999"/>
    <m/>
  </r>
  <r>
    <x v="3"/>
    <x v="98"/>
    <x v="2"/>
    <x v="260"/>
    <x v="4"/>
    <x v="4"/>
    <x v="4"/>
    <n v="1.9508160000000001"/>
    <n v="3002"/>
    <n v="3000"/>
    <n v="2"/>
    <n v="6.6666666666666664E-4"/>
    <n v="3.9016320000000002"/>
    <m/>
  </r>
  <r>
    <x v="3"/>
    <x v="98"/>
    <x v="0"/>
    <x v="261"/>
    <x v="0"/>
    <x v="1"/>
    <x v="1"/>
    <n v="1.91178"/>
    <n v="7127.4"/>
    <n v="6890.4"/>
    <n v="237"/>
    <n v="3.439568094740509E-2"/>
    <n v="453.09186"/>
    <m/>
  </r>
  <r>
    <x v="3"/>
    <x v="98"/>
    <x v="0"/>
    <x v="261"/>
    <x v="3"/>
    <x v="4"/>
    <x v="4"/>
    <n v="1.9508160000000001"/>
    <n v="6097"/>
    <n v="6000"/>
    <n v="97"/>
    <n v="1.6166666666666666E-2"/>
    <n v="189.229152"/>
    <m/>
  </r>
  <r>
    <x v="3"/>
    <x v="98"/>
    <x v="0"/>
    <x v="261"/>
    <x v="4"/>
    <x v="4"/>
    <x v="4"/>
    <n v="1.9508160000000001"/>
    <n v="3015"/>
    <n v="3000"/>
    <n v="15"/>
    <n v="5.0000000000000001E-3"/>
    <n v="29.262240000000002"/>
    <m/>
  </r>
  <r>
    <x v="3"/>
    <x v="99"/>
    <x v="1"/>
    <x v="262"/>
    <x v="3"/>
    <x v="4"/>
    <x v="4"/>
    <n v="1.9508160000000001"/>
    <n v="18052"/>
    <n v="18000"/>
    <n v="52"/>
    <n v="2.8888888888888888E-3"/>
    <n v="101.44243200000001"/>
    <m/>
  </r>
  <r>
    <x v="3"/>
    <x v="99"/>
    <x v="1"/>
    <x v="262"/>
    <x v="4"/>
    <x v="4"/>
    <x v="4"/>
    <n v="1.9508160000000001"/>
    <n v="3003"/>
    <n v="3000"/>
    <n v="3"/>
    <n v="1E-3"/>
    <n v="5.8524480000000008"/>
    <m/>
  </r>
  <r>
    <x v="3"/>
    <x v="100"/>
    <x v="2"/>
    <x v="263"/>
    <x v="3"/>
    <x v="4"/>
    <x v="4"/>
    <n v="1.9508160000000001"/>
    <n v="4009"/>
    <n v="4000"/>
    <n v="9"/>
    <n v="2.2499999999999998E-3"/>
    <n v="17.557344000000001"/>
    <m/>
  </r>
  <r>
    <x v="3"/>
    <x v="101"/>
    <x v="2"/>
    <x v="264"/>
    <x v="0"/>
    <x v="6"/>
    <x v="6"/>
    <n v="1.9184100000000002"/>
    <n v="97"/>
    <n v="0"/>
    <n v="97"/>
    <n v="1"/>
    <n v="186.08577000000002"/>
    <m/>
  </r>
  <r>
    <x v="3"/>
    <x v="101"/>
    <x v="0"/>
    <x v="265"/>
    <x v="0"/>
    <x v="6"/>
    <x v="6"/>
    <n v="1.9184100000000002"/>
    <n v="3327.2"/>
    <n v="2851.2"/>
    <n v="476"/>
    <n v="0.16694725028058363"/>
    <n v="913.16316000000006"/>
    <m/>
  </r>
  <r>
    <x v="3"/>
    <x v="101"/>
    <x v="0"/>
    <x v="265"/>
    <x v="5"/>
    <x v="5"/>
    <x v="5"/>
    <n v="0"/>
    <n v="5"/>
    <m/>
    <n v="5"/>
    <n v="1"/>
    <n v="0"/>
    <m/>
  </r>
  <r>
    <x v="3"/>
    <x v="101"/>
    <x v="1"/>
    <x v="266"/>
    <x v="0"/>
    <x v="6"/>
    <x v="6"/>
    <n v="1.9184100000000002"/>
    <n v="6192.4"/>
    <n v="5702.4"/>
    <n v="490"/>
    <n v="8.59287317620651E-2"/>
    <n v="940.0209000000001"/>
    <m/>
  </r>
  <r>
    <x v="3"/>
    <x v="101"/>
    <x v="1"/>
    <x v="266"/>
    <x v="5"/>
    <x v="5"/>
    <x v="5"/>
    <n v="0"/>
    <n v="3"/>
    <m/>
    <n v="3"/>
    <n v="1"/>
    <n v="0"/>
    <m/>
  </r>
  <r>
    <x v="3"/>
    <x v="102"/>
    <x v="2"/>
    <x v="267"/>
    <x v="0"/>
    <x v="6"/>
    <x v="6"/>
    <n v="1.9184100000000002"/>
    <n v="7334"/>
    <n v="7128"/>
    <n v="206"/>
    <n v="2.8900112233445567E-2"/>
    <n v="395.19246000000004"/>
    <m/>
  </r>
  <r>
    <x v="3"/>
    <x v="102"/>
    <x v="0"/>
    <x v="268"/>
    <x v="0"/>
    <x v="0"/>
    <x v="0"/>
    <n v="1.96"/>
    <n v="3926"/>
    <n v="3600"/>
    <n v="326"/>
    <n v="9.0555555555555556E-2"/>
    <n v="638.96"/>
    <m/>
  </r>
  <r>
    <x v="3"/>
    <x v="102"/>
    <x v="0"/>
    <x v="268"/>
    <x v="3"/>
    <x v="4"/>
    <x v="4"/>
    <n v="1.9508160000000001"/>
    <n v="7074"/>
    <n v="7000"/>
    <n v="74"/>
    <n v="1.0571428571428572E-2"/>
    <n v="144.36038400000001"/>
    <m/>
  </r>
  <r>
    <x v="3"/>
    <x v="102"/>
    <x v="1"/>
    <x v="269"/>
    <x v="0"/>
    <x v="0"/>
    <x v="0"/>
    <n v="1.96"/>
    <n v="2918"/>
    <n v="2160"/>
    <n v="758"/>
    <n v="0.35092592592592592"/>
    <n v="1485.68"/>
    <m/>
  </r>
  <r>
    <x v="3"/>
    <x v="102"/>
    <x v="1"/>
    <x v="269"/>
    <x v="5"/>
    <x v="5"/>
    <x v="5"/>
    <n v="0"/>
    <n v="5"/>
    <m/>
    <n v="5"/>
    <n v="1"/>
    <n v="0"/>
    <m/>
  </r>
  <r>
    <x v="3"/>
    <x v="103"/>
    <x v="2"/>
    <x v="270"/>
    <x v="0"/>
    <x v="0"/>
    <x v="0"/>
    <n v="1.96"/>
    <n v="2552"/>
    <n v="2160"/>
    <n v="392"/>
    <n v="0.18148148148148149"/>
    <n v="768.31999999999994"/>
    <m/>
  </r>
  <r>
    <x v="3"/>
    <x v="103"/>
    <x v="0"/>
    <x v="271"/>
    <x v="0"/>
    <x v="0"/>
    <x v="0"/>
    <n v="1.96"/>
    <n v="6386"/>
    <n v="5760"/>
    <n v="626"/>
    <n v="0.10868055555555556"/>
    <n v="1226.96"/>
    <m/>
  </r>
  <r>
    <x v="3"/>
    <x v="103"/>
    <x v="0"/>
    <x v="271"/>
    <x v="3"/>
    <x v="4"/>
    <x v="4"/>
    <n v="1.9508160000000001"/>
    <n v="20074"/>
    <n v="20000"/>
    <n v="74"/>
    <n v="3.7000000000000002E-3"/>
    <n v="144.36038400000001"/>
    <m/>
  </r>
  <r>
    <x v="3"/>
    <x v="103"/>
    <x v="1"/>
    <x v="272"/>
    <x v="0"/>
    <x v="1"/>
    <x v="1"/>
    <n v="1.91178"/>
    <n v="3065.6"/>
    <n v="2225.6"/>
    <n v="840"/>
    <n v="0.37742631200575127"/>
    <n v="1605.8951999999999"/>
    <m/>
  </r>
  <r>
    <x v="3"/>
    <x v="103"/>
    <x v="1"/>
    <x v="272"/>
    <x v="5"/>
    <x v="5"/>
    <x v="5"/>
    <n v="0"/>
    <n v="5"/>
    <m/>
    <n v="5"/>
    <n v="1"/>
    <n v="0"/>
    <m/>
  </r>
  <r>
    <x v="3"/>
    <x v="104"/>
    <x v="2"/>
    <x v="273"/>
    <x v="0"/>
    <x v="1"/>
    <x v="1"/>
    <n v="1.91178"/>
    <n v="8623.4"/>
    <n v="8102.4"/>
    <n v="521"/>
    <n v="6.4301935229067936E-2"/>
    <n v="996.03737999999998"/>
    <m/>
  </r>
  <r>
    <x v="3"/>
    <x v="104"/>
    <x v="0"/>
    <x v="274"/>
    <x v="0"/>
    <x v="1"/>
    <x v="1"/>
    <n v="1.91178"/>
    <n v="5850.8"/>
    <n v="5512.8"/>
    <n v="338"/>
    <n v="6.1311856044115508E-2"/>
    <n v="646.18164000000002"/>
    <m/>
  </r>
  <r>
    <x v="3"/>
    <x v="104"/>
    <x v="1"/>
    <x v="275"/>
    <x v="0"/>
    <x v="1"/>
    <x v="1"/>
    <n v="1.91178"/>
    <n v="7688"/>
    <n v="7200"/>
    <n v="488"/>
    <n v="6.7777777777777784E-2"/>
    <n v="932.94864000000007"/>
    <m/>
  </r>
  <r>
    <x v="3"/>
    <x v="105"/>
    <x v="2"/>
    <x v="276"/>
    <x v="0"/>
    <x v="1"/>
    <x v="1"/>
    <n v="1.91178"/>
    <n v="503"/>
    <n v="400"/>
    <n v="103"/>
    <n v="0.25750000000000001"/>
    <n v="196.91334000000001"/>
    <m/>
  </r>
  <r>
    <x v="3"/>
    <x v="105"/>
    <x v="2"/>
    <x v="276"/>
    <x v="3"/>
    <x v="4"/>
    <x v="4"/>
    <n v="1.9508160000000001"/>
    <n v="7018"/>
    <n v="7000"/>
    <n v="18"/>
    <n v="2.5714285714285713E-3"/>
    <n v="35.114688000000001"/>
    <m/>
  </r>
  <r>
    <x v="3"/>
    <x v="105"/>
    <x v="2"/>
    <x v="276"/>
    <x v="4"/>
    <x v="4"/>
    <x v="4"/>
    <n v="1.9508160000000001"/>
    <n v="1002"/>
    <n v="1000"/>
    <n v="2"/>
    <n v="2E-3"/>
    <n v="3.9016320000000002"/>
    <m/>
  </r>
  <r>
    <x v="3"/>
    <x v="105"/>
    <x v="0"/>
    <x v="277"/>
    <x v="0"/>
    <x v="1"/>
    <x v="1"/>
    <n v="1.91178"/>
    <n v="9196"/>
    <n v="8800"/>
    <n v="396"/>
    <n v="4.4999999999999998E-2"/>
    <n v="757.06488000000002"/>
    <m/>
  </r>
  <r>
    <x v="3"/>
    <x v="105"/>
    <x v="0"/>
    <x v="277"/>
    <x v="1"/>
    <x v="2"/>
    <x v="2"/>
    <n v="2.08013"/>
    <n v="7039"/>
    <n v="6720"/>
    <n v="319"/>
    <n v="4.7470238095238093E-2"/>
    <n v="663.56146999999999"/>
    <m/>
  </r>
  <r>
    <x v="3"/>
    <x v="105"/>
    <x v="0"/>
    <x v="277"/>
    <x v="3"/>
    <x v="4"/>
    <x v="4"/>
    <n v="1.9508160000000001"/>
    <n v="8118"/>
    <n v="8000"/>
    <n v="118"/>
    <n v="1.4749999999999999E-2"/>
    <n v="230.19628800000001"/>
    <m/>
  </r>
  <r>
    <x v="3"/>
    <x v="105"/>
    <x v="0"/>
    <x v="277"/>
    <x v="5"/>
    <x v="5"/>
    <x v="5"/>
    <n v="0"/>
    <n v="5"/>
    <m/>
    <n v="5"/>
    <n v="1"/>
    <n v="0"/>
    <m/>
  </r>
  <r>
    <x v="3"/>
    <x v="105"/>
    <x v="1"/>
    <x v="278"/>
    <x v="0"/>
    <x v="1"/>
    <x v="1"/>
    <n v="1.91178"/>
    <n v="8526"/>
    <n v="8000"/>
    <n v="526"/>
    <n v="6.5750000000000003E-2"/>
    <n v="1005.59628"/>
    <m/>
  </r>
  <r>
    <x v="3"/>
    <x v="105"/>
    <x v="1"/>
    <x v="278"/>
    <x v="1"/>
    <x v="2"/>
    <x v="2"/>
    <n v="2.08013"/>
    <n v="6946"/>
    <n v="6720"/>
    <n v="226"/>
    <n v="3.3630952380952379E-2"/>
    <n v="470.10937999999999"/>
    <m/>
  </r>
  <r>
    <x v="3"/>
    <x v="106"/>
    <x v="1"/>
    <x v="279"/>
    <x v="3"/>
    <x v="4"/>
    <x v="4"/>
    <n v="1.9508160000000001"/>
    <n v="9029"/>
    <n v="9000"/>
    <n v="29"/>
    <n v="3.2222222222222222E-3"/>
    <n v="56.573664000000001"/>
    <m/>
  </r>
  <r>
    <x v="3"/>
    <x v="105"/>
    <x v="1"/>
    <x v="278"/>
    <x v="5"/>
    <x v="5"/>
    <x v="5"/>
    <n v="0"/>
    <n v="15"/>
    <m/>
    <n v="15"/>
    <n v="1"/>
    <n v="0"/>
    <m/>
  </r>
  <r>
    <x v="3"/>
    <x v="106"/>
    <x v="0"/>
    <x v="280"/>
    <x v="3"/>
    <x v="4"/>
    <x v="4"/>
    <n v="1.9508160000000001"/>
    <n v="10206"/>
    <n v="10000"/>
    <n v="206"/>
    <n v="2.06E-2"/>
    <n v="401.86809600000004"/>
    <m/>
  </r>
  <r>
    <x v="3"/>
    <x v="106"/>
    <x v="0"/>
    <x v="280"/>
    <x v="5"/>
    <x v="5"/>
    <x v="5"/>
    <n v="0"/>
    <n v="13"/>
    <m/>
    <n v="13"/>
    <n v="1"/>
    <n v="0"/>
    <m/>
  </r>
  <r>
    <x v="3"/>
    <x v="107"/>
    <x v="1"/>
    <x v="281"/>
    <x v="0"/>
    <x v="1"/>
    <x v="1"/>
    <n v="1.91178"/>
    <n v="90"/>
    <n v="0"/>
    <n v="90"/>
    <n v="1"/>
    <n v="172.06020000000001"/>
    <m/>
  </r>
  <r>
    <x v="3"/>
    <x v="107"/>
    <x v="1"/>
    <x v="281"/>
    <x v="3"/>
    <x v="4"/>
    <x v="4"/>
    <n v="1.9508160000000001"/>
    <n v="11011"/>
    <n v="11000"/>
    <n v="11"/>
    <n v="1E-3"/>
    <n v="21.458976"/>
    <m/>
  </r>
  <r>
    <x v="3"/>
    <x v="107"/>
    <x v="0"/>
    <x v="282"/>
    <x v="3"/>
    <x v="4"/>
    <x v="4"/>
    <n v="1.9508160000000001"/>
    <n v="8026"/>
    <n v="8000"/>
    <n v="26"/>
    <n v="3.2499999999999999E-3"/>
    <n v="50.721216000000005"/>
    <m/>
  </r>
  <r>
    <x v="3"/>
    <x v="107"/>
    <x v="0"/>
    <x v="282"/>
    <x v="4"/>
    <x v="4"/>
    <x v="4"/>
    <n v="1.9508160000000001"/>
    <n v="2031"/>
    <n v="2000"/>
    <n v="31"/>
    <n v="1.55E-2"/>
    <n v="60.475296"/>
    <m/>
  </r>
  <r>
    <x v="3"/>
    <x v="108"/>
    <x v="1"/>
    <x v="283"/>
    <x v="0"/>
    <x v="1"/>
    <x v="1"/>
    <n v="1.91178"/>
    <n v="5932.8"/>
    <n v="5680.8"/>
    <n v="252"/>
    <n v="4.4359949302915078E-2"/>
    <n v="481.76856000000004"/>
    <m/>
  </r>
  <r>
    <x v="3"/>
    <x v="108"/>
    <x v="2"/>
    <x v="284"/>
    <x v="1"/>
    <x v="2"/>
    <x v="2"/>
    <n v="2.08013"/>
    <n v="7909"/>
    <n v="7680"/>
    <n v="229"/>
    <n v="2.9817708333333335E-2"/>
    <n v="476.34977000000003"/>
    <m/>
  </r>
  <r>
    <x v="3"/>
    <x v="108"/>
    <x v="0"/>
    <x v="285"/>
    <x v="4"/>
    <x v="4"/>
    <x v="4"/>
    <n v="1.9508160000000001"/>
    <n v="2011"/>
    <n v="2000"/>
    <n v="11"/>
    <n v="5.4999999999999997E-3"/>
    <n v="21.458976"/>
    <m/>
  </r>
  <r>
    <x v="3"/>
    <x v="108"/>
    <x v="0"/>
    <x v="285"/>
    <x v="0"/>
    <x v="1"/>
    <x v="1"/>
    <n v="1.91178"/>
    <n v="5514"/>
    <n v="4968"/>
    <n v="546"/>
    <n v="0.10990338164251208"/>
    <n v="1043.83188"/>
    <m/>
  </r>
  <r>
    <x v="3"/>
    <x v="108"/>
    <x v="0"/>
    <x v="285"/>
    <x v="1"/>
    <x v="2"/>
    <x v="2"/>
    <n v="2.08013"/>
    <n v="7798"/>
    <n v="7680"/>
    <n v="118"/>
    <n v="1.5364583333333333E-2"/>
    <n v="245.45534000000001"/>
    <m/>
  </r>
  <r>
    <x v="3"/>
    <x v="108"/>
    <x v="1"/>
    <x v="283"/>
    <x v="0"/>
    <x v="1"/>
    <x v="1"/>
    <n v="1.91178"/>
    <n v="5931.8"/>
    <n v="5680.8"/>
    <n v="251"/>
    <n v="4.4183917758062241E-2"/>
    <n v="479.85678000000001"/>
    <m/>
  </r>
  <r>
    <x v="3"/>
    <x v="108"/>
    <x v="1"/>
    <x v="283"/>
    <x v="3"/>
    <x v="4"/>
    <x v="4"/>
    <n v="1.9508160000000001"/>
    <n v="10023"/>
    <n v="10000"/>
    <n v="23"/>
    <n v="2.3E-3"/>
    <n v="44.868768000000003"/>
    <m/>
  </r>
  <r>
    <x v="3"/>
    <x v="109"/>
    <x v="2"/>
    <x v="286"/>
    <x v="0"/>
    <x v="1"/>
    <x v="1"/>
    <n v="1.91178"/>
    <n v="4966.76"/>
    <n v="4709.76"/>
    <n v="257"/>
    <n v="5.456753635004756E-2"/>
    <n v="491.32746000000003"/>
    <m/>
  </r>
  <r>
    <x v="3"/>
    <x v="109"/>
    <x v="2"/>
    <x v="286"/>
    <x v="1"/>
    <x v="2"/>
    <x v="2"/>
    <n v="2.08013"/>
    <n v="6830"/>
    <n v="6720"/>
    <n v="110"/>
    <n v="1.636904761904762E-2"/>
    <n v="228.8143"/>
    <m/>
  </r>
  <r>
    <x v="3"/>
    <x v="109"/>
    <x v="2"/>
    <x v="286"/>
    <x v="4"/>
    <x v="4"/>
    <x v="4"/>
    <n v="1.9508160000000001"/>
    <n v="2004"/>
    <n v="2000"/>
    <n v="4"/>
    <n v="2E-3"/>
    <n v="7.8032640000000004"/>
    <m/>
  </r>
  <r>
    <x v="3"/>
    <x v="109"/>
    <x v="2"/>
    <x v="286"/>
    <x v="5"/>
    <x v="5"/>
    <x v="5"/>
    <n v="0"/>
    <n v="5"/>
    <m/>
    <n v="5"/>
    <n v="1"/>
    <n v="0"/>
    <m/>
  </r>
  <r>
    <x v="3"/>
    <x v="109"/>
    <x v="0"/>
    <x v="287"/>
    <x v="0"/>
    <x v="1"/>
    <x v="1"/>
    <n v="1.91178"/>
    <n v="5995.4"/>
    <n v="5702.4"/>
    <n v="293"/>
    <n v="5.1381874298540971E-2"/>
    <n v="560.15153999999995"/>
    <m/>
  </r>
  <r>
    <x v="3"/>
    <x v="109"/>
    <x v="0"/>
    <x v="287"/>
    <x v="1"/>
    <x v="2"/>
    <x v="2"/>
    <n v="2.08013"/>
    <n v="2261"/>
    <n v="1920"/>
    <n v="341"/>
    <n v="0.17760416666666667"/>
    <n v="709.32433000000003"/>
    <m/>
  </r>
  <r>
    <x v="3"/>
    <x v="109"/>
    <x v="0"/>
    <x v="287"/>
    <x v="4"/>
    <x v="4"/>
    <x v="4"/>
    <n v="1.9508160000000001"/>
    <n v="2070"/>
    <n v="2000"/>
    <n v="70"/>
    <n v="3.5000000000000003E-2"/>
    <n v="136.55712"/>
    <m/>
  </r>
  <r>
    <x v="3"/>
    <x v="109"/>
    <x v="1"/>
    <x v="288"/>
    <x v="0"/>
    <x v="1"/>
    <x v="1"/>
    <n v="1.91178"/>
    <n v="7544"/>
    <n v="7128"/>
    <n v="416"/>
    <n v="5.8361391694725026E-2"/>
    <n v="795.30047999999999"/>
    <m/>
  </r>
  <r>
    <x v="3"/>
    <x v="109"/>
    <x v="1"/>
    <x v="288"/>
    <x v="1"/>
    <x v="2"/>
    <x v="2"/>
    <n v="2.08013"/>
    <n v="5863"/>
    <n v="5760"/>
    <n v="103"/>
    <n v="1.7881944444444443E-2"/>
    <n v="214.25339"/>
    <m/>
  </r>
  <r>
    <x v="3"/>
    <x v="109"/>
    <x v="1"/>
    <x v="288"/>
    <x v="3"/>
    <x v="4"/>
    <x v="4"/>
    <n v="1.9508160000000001"/>
    <n v="9026"/>
    <n v="9000"/>
    <n v="26"/>
    <n v="2.8888888888888888E-3"/>
    <n v="50.721216000000005"/>
    <m/>
  </r>
  <r>
    <x v="3"/>
    <x v="110"/>
    <x v="2"/>
    <x v="289"/>
    <x v="0"/>
    <x v="1"/>
    <x v="1"/>
    <n v="1.91178"/>
    <n v="8212.7999999999993"/>
    <n v="7840.8"/>
    <n v="372"/>
    <n v="4.7444138353229262E-2"/>
    <n v="711.18216000000007"/>
    <m/>
  </r>
  <r>
    <x v="3"/>
    <x v="110"/>
    <x v="2"/>
    <x v="289"/>
    <x v="1"/>
    <x v="2"/>
    <x v="2"/>
    <n v="2.08013"/>
    <n v="6810"/>
    <n v="6720"/>
    <n v="90"/>
    <n v="1.3392857142857142E-2"/>
    <n v="187.21170000000001"/>
    <m/>
  </r>
  <r>
    <x v="3"/>
    <x v="110"/>
    <x v="2"/>
    <x v="289"/>
    <x v="5"/>
    <x v="5"/>
    <x v="5"/>
    <n v="0"/>
    <n v="80"/>
    <m/>
    <n v="80"/>
    <n v="1"/>
    <n v="0"/>
    <m/>
  </r>
  <r>
    <x v="3"/>
    <x v="110"/>
    <x v="0"/>
    <x v="290"/>
    <x v="0"/>
    <x v="1"/>
    <x v="1"/>
    <n v="1.91178"/>
    <n v="9070.6"/>
    <n v="8553.6"/>
    <n v="517"/>
    <n v="6.0442386831275716E-2"/>
    <n v="988.39026000000001"/>
    <m/>
  </r>
  <r>
    <x v="3"/>
    <x v="110"/>
    <x v="0"/>
    <x v="290"/>
    <x v="1"/>
    <x v="2"/>
    <x v="2"/>
    <n v="2.08013"/>
    <n v="6905"/>
    <n v="6720"/>
    <n v="185"/>
    <n v="2.7529761904761904E-2"/>
    <n v="384.82405"/>
    <m/>
  </r>
  <r>
    <x v="3"/>
    <x v="110"/>
    <x v="0"/>
    <x v="290"/>
    <x v="3"/>
    <x v="4"/>
    <x v="4"/>
    <n v="1.9508160000000001"/>
    <n v="10009"/>
    <n v="10000"/>
    <n v="9"/>
    <n v="8.9999999999999998E-4"/>
    <n v="17.557344000000001"/>
    <m/>
  </r>
  <r>
    <x v="3"/>
    <x v="110"/>
    <x v="0"/>
    <x v="290"/>
    <x v="4"/>
    <x v="4"/>
    <x v="4"/>
    <n v="1.9508160000000001"/>
    <n v="3089"/>
    <n v="3000"/>
    <n v="89"/>
    <n v="2.9666666666666668E-2"/>
    <n v="173.622624"/>
    <m/>
  </r>
  <r>
    <x v="3"/>
    <x v="110"/>
    <x v="1"/>
    <x v="291"/>
    <x v="0"/>
    <x v="1"/>
    <x v="1"/>
    <n v="1.91178"/>
    <n v="6159.4"/>
    <n v="5702.4"/>
    <n v="457"/>
    <n v="8.0141694725028065E-2"/>
    <n v="873.68345999999997"/>
    <m/>
  </r>
  <r>
    <x v="3"/>
    <x v="110"/>
    <x v="1"/>
    <x v="291"/>
    <x v="1"/>
    <x v="2"/>
    <x v="2"/>
    <n v="2.08013"/>
    <n v="6907"/>
    <n v="6720"/>
    <n v="187"/>
    <n v="2.7827380952380951E-2"/>
    <n v="388.98430999999999"/>
    <m/>
  </r>
  <r>
    <x v="3"/>
    <x v="110"/>
    <x v="1"/>
    <x v="291"/>
    <x v="5"/>
    <x v="5"/>
    <x v="5"/>
    <n v="0"/>
    <n v="10"/>
    <m/>
    <n v="10"/>
    <n v="1"/>
    <n v="0"/>
    <m/>
  </r>
  <r>
    <x v="3"/>
    <x v="111"/>
    <x v="2"/>
    <x v="292"/>
    <x v="0"/>
    <x v="1"/>
    <x v="1"/>
    <n v="1.91178"/>
    <n v="8094.8"/>
    <n v="7840.8"/>
    <n v="254"/>
    <n v="3.239465360677482E-2"/>
    <n v="485.59212000000002"/>
    <m/>
  </r>
  <r>
    <x v="3"/>
    <x v="111"/>
    <x v="2"/>
    <x v="292"/>
    <x v="1"/>
    <x v="2"/>
    <x v="2"/>
    <n v="2.08013"/>
    <n v="3910"/>
    <n v="3840"/>
    <n v="70"/>
    <n v="1.8229166666666668E-2"/>
    <n v="145.60910000000001"/>
    <m/>
  </r>
  <r>
    <x v="3"/>
    <x v="111"/>
    <x v="0"/>
    <x v="293"/>
    <x v="0"/>
    <x v="1"/>
    <x v="1"/>
    <n v="1.91178"/>
    <n v="2422.4"/>
    <n v="2138.4"/>
    <n v="284"/>
    <n v="0.1328095772540217"/>
    <n v="542.94551999999999"/>
    <m/>
  </r>
  <r>
    <x v="3"/>
    <x v="111"/>
    <x v="0"/>
    <x v="293"/>
    <x v="1"/>
    <x v="11"/>
    <x v="11"/>
    <n v="0"/>
    <n v="449"/>
    <n v="0"/>
    <n v="449"/>
    <n v="1"/>
    <n v="0"/>
    <m/>
  </r>
  <r>
    <x v="3"/>
    <x v="112"/>
    <x v="2"/>
    <x v="294"/>
    <x v="0"/>
    <x v="1"/>
    <x v="1"/>
    <n v="1.91178"/>
    <n v="66"/>
    <n v="0"/>
    <n v="66"/>
    <n v="1"/>
    <n v="126.17748"/>
    <m/>
  </r>
  <r>
    <x v="3"/>
    <x v="112"/>
    <x v="0"/>
    <x v="295"/>
    <x v="3"/>
    <x v="4"/>
    <x v="4"/>
    <n v="1.9508160000000001"/>
    <n v="8007"/>
    <n v="8000"/>
    <n v="7"/>
    <n v="8.7500000000000002E-4"/>
    <n v="13.655712000000001"/>
    <m/>
  </r>
  <r>
    <x v="3"/>
    <x v="112"/>
    <x v="1"/>
    <x v="296"/>
    <x v="3"/>
    <x v="4"/>
    <x v="4"/>
    <n v="1.9508160000000001"/>
    <n v="10005"/>
    <n v="10000"/>
    <n v="5"/>
    <n v="5.0000000000000001E-4"/>
    <n v="9.7540800000000001"/>
    <m/>
  </r>
  <r>
    <x v="3"/>
    <x v="113"/>
    <x v="0"/>
    <x v="297"/>
    <x v="3"/>
    <x v="4"/>
    <x v="4"/>
    <n v="1.9508160000000001"/>
    <n v="4014"/>
    <n v="4000"/>
    <n v="14"/>
    <n v="3.5000000000000001E-3"/>
    <n v="27.311424000000002"/>
    <m/>
  </r>
  <r>
    <x v="3"/>
    <x v="113"/>
    <x v="1"/>
    <x v="298"/>
    <x v="3"/>
    <x v="4"/>
    <x v="4"/>
    <n v="1.9508160000000001"/>
    <n v="8056"/>
    <n v="8000"/>
    <n v="56"/>
    <n v="7.0000000000000001E-3"/>
    <n v="109.24569600000001"/>
    <m/>
  </r>
  <r>
    <x v="3"/>
    <x v="113"/>
    <x v="2"/>
    <x v="299"/>
    <x v="5"/>
    <x v="5"/>
    <x v="5"/>
    <n v="0"/>
    <n v="60"/>
    <m/>
    <n v="60"/>
    <n v="1"/>
    <n v="0"/>
    <m/>
  </r>
  <r>
    <x v="3"/>
    <x v="114"/>
    <x v="2"/>
    <x v="300"/>
    <x v="0"/>
    <x v="11"/>
    <x v="11"/>
    <n v="0"/>
    <n v="112"/>
    <n v="0"/>
    <n v="112"/>
    <n v="1"/>
    <n v="0"/>
    <m/>
  </r>
  <r>
    <x v="3"/>
    <x v="114"/>
    <x v="2"/>
    <x v="300"/>
    <x v="1"/>
    <x v="11"/>
    <x v="11"/>
    <n v="0"/>
    <n v="112"/>
    <n v="0"/>
    <n v="112"/>
    <n v="1"/>
    <n v="0"/>
    <m/>
  </r>
  <r>
    <x v="3"/>
    <x v="115"/>
    <x v="0"/>
    <x v="301"/>
    <x v="3"/>
    <x v="4"/>
    <x v="4"/>
    <n v="1.9508160000000001"/>
    <n v="16065"/>
    <n v="16000"/>
    <n v="65"/>
    <n v="4.0625000000000001E-3"/>
    <n v="126.80304000000001"/>
    <m/>
  </r>
  <r>
    <x v="3"/>
    <x v="115"/>
    <x v="2"/>
    <x v="302"/>
    <x v="5"/>
    <x v="5"/>
    <x v="5"/>
    <n v="0"/>
    <n v="20"/>
    <m/>
    <n v="20"/>
    <n v="1"/>
    <n v="0"/>
    <m/>
  </r>
  <r>
    <x v="3"/>
    <x v="114"/>
    <x v="0"/>
    <x v="303"/>
    <x v="0"/>
    <x v="12"/>
    <x v="12"/>
    <n v="0"/>
    <n v="1297"/>
    <n v="720"/>
    <n v="577"/>
    <n v="0.80138888888888893"/>
    <n v="0"/>
    <m/>
  </r>
  <r>
    <x v="3"/>
    <x v="114"/>
    <x v="0"/>
    <x v="303"/>
    <x v="1"/>
    <x v="11"/>
    <x v="11"/>
    <n v="0"/>
    <n v="205"/>
    <n v="0"/>
    <n v="205"/>
    <n v="1"/>
    <n v="0"/>
    <m/>
  </r>
  <r>
    <x v="3"/>
    <x v="114"/>
    <x v="0"/>
    <x v="303"/>
    <x v="3"/>
    <x v="4"/>
    <x v="4"/>
    <n v="1.9508160000000001"/>
    <n v="8007"/>
    <n v="8000"/>
    <n v="7"/>
    <n v="8.7500000000000002E-4"/>
    <n v="13.655712000000001"/>
    <m/>
  </r>
  <r>
    <x v="3"/>
    <x v="114"/>
    <x v="1"/>
    <x v="304"/>
    <x v="0"/>
    <x v="12"/>
    <x v="12"/>
    <n v="0"/>
    <n v="4629"/>
    <n v="4320"/>
    <n v="309"/>
    <n v="7.1527777777777773E-2"/>
    <n v="0"/>
    <m/>
  </r>
  <r>
    <x v="3"/>
    <x v="114"/>
    <x v="1"/>
    <x v="304"/>
    <x v="1"/>
    <x v="11"/>
    <x v="11"/>
    <n v="0"/>
    <n v="32"/>
    <n v="0"/>
    <n v="32"/>
    <n v="1"/>
    <n v="0"/>
    <m/>
  </r>
  <r>
    <x v="3"/>
    <x v="116"/>
    <x v="2"/>
    <x v="305"/>
    <x v="0"/>
    <x v="12"/>
    <x v="12"/>
    <n v="0"/>
    <n v="11255"/>
    <n v="10800"/>
    <n v="455"/>
    <n v="4.2129629629629628E-2"/>
    <n v="0"/>
    <m/>
  </r>
  <r>
    <x v="3"/>
    <x v="116"/>
    <x v="2"/>
    <x v="305"/>
    <x v="1"/>
    <x v="4"/>
    <x v="4"/>
    <n v="1.9508160000000001"/>
    <n v="4203"/>
    <n v="4000"/>
    <n v="203"/>
    <n v="5.0750000000000003E-2"/>
    <n v="396.015648"/>
    <m/>
  </r>
  <r>
    <x v="3"/>
    <x v="116"/>
    <x v="0"/>
    <x v="306"/>
    <x v="0"/>
    <x v="12"/>
    <x v="12"/>
    <n v="0"/>
    <n v="6088"/>
    <n v="5418"/>
    <n v="670"/>
    <n v="0.12366186784791436"/>
    <n v="0"/>
    <m/>
  </r>
  <r>
    <x v="3"/>
    <x v="116"/>
    <x v="0"/>
    <x v="306"/>
    <x v="3"/>
    <x v="4"/>
    <x v="4"/>
    <n v="1.9508160000000001"/>
    <n v="7051"/>
    <n v="7000"/>
    <n v="51"/>
    <n v="7.285714285714286E-3"/>
    <n v="99.491616000000008"/>
    <m/>
  </r>
  <r>
    <x v="3"/>
    <x v="116"/>
    <x v="0"/>
    <x v="306"/>
    <x v="5"/>
    <x v="5"/>
    <x v="5"/>
    <n v="0"/>
    <n v="15"/>
    <m/>
    <n v="15"/>
    <n v="1"/>
    <n v="0"/>
    <m/>
  </r>
  <r>
    <x v="3"/>
    <x v="116"/>
    <x v="1"/>
    <x v="307"/>
    <x v="5"/>
    <x v="5"/>
    <x v="5"/>
    <n v="0"/>
    <n v="10"/>
    <m/>
    <n v="10"/>
    <n v="1"/>
    <n v="0"/>
    <m/>
  </r>
  <r>
    <x v="3"/>
    <x v="116"/>
    <x v="1"/>
    <x v="307"/>
    <x v="1"/>
    <x v="4"/>
    <x v="4"/>
    <n v="1.9508160000000001"/>
    <n v="5026"/>
    <n v="5000"/>
    <n v="26"/>
    <n v="5.1999999999999998E-3"/>
    <n v="50.721216000000005"/>
    <m/>
  </r>
  <r>
    <x v="3"/>
    <x v="117"/>
    <x v="1"/>
    <x v="308"/>
    <x v="5"/>
    <x v="5"/>
    <x v="5"/>
    <n v="0"/>
    <n v="7"/>
    <m/>
    <n v="7"/>
    <n v="1"/>
    <n v="0"/>
    <m/>
  </r>
  <r>
    <x v="3"/>
    <x v="117"/>
    <x v="0"/>
    <x v="309"/>
    <x v="1"/>
    <x v="4"/>
    <x v="4"/>
    <n v="1.9508160000000001"/>
    <n v="2041"/>
    <n v="2000"/>
    <n v="41"/>
    <n v="2.0500000000000001E-2"/>
    <n v="79.983456000000004"/>
    <m/>
  </r>
  <r>
    <x v="3"/>
    <x v="117"/>
    <x v="0"/>
    <x v="309"/>
    <x v="3"/>
    <x v="4"/>
    <x v="4"/>
    <n v="1.9508160000000001"/>
    <n v="8366"/>
    <n v="8000"/>
    <n v="366"/>
    <n v="4.5749999999999999E-2"/>
    <n v="713.99865599999998"/>
    <m/>
  </r>
  <r>
    <x v="3"/>
    <x v="117"/>
    <x v="1"/>
    <x v="308"/>
    <x v="3"/>
    <x v="4"/>
    <x v="4"/>
    <n v="1.9508160000000001"/>
    <n v="10004"/>
    <n v="10000"/>
    <n v="4"/>
    <n v="4.0000000000000002E-4"/>
    <n v="7.8032640000000004"/>
    <m/>
  </r>
  <r>
    <x v="3"/>
    <x v="117"/>
    <x v="1"/>
    <x v="308"/>
    <x v="5"/>
    <x v="5"/>
    <x v="5"/>
    <n v="0"/>
    <n v="20"/>
    <m/>
    <n v="20"/>
    <n v="1"/>
    <n v="0"/>
    <m/>
  </r>
  <r>
    <x v="3"/>
    <x v="118"/>
    <x v="0"/>
    <x v="310"/>
    <x v="0"/>
    <x v="1"/>
    <x v="1"/>
    <n v="1.91178"/>
    <n v="4070"/>
    <n v="3564"/>
    <n v="506"/>
    <n v="0.1419753086419753"/>
    <n v="967.36068"/>
    <m/>
  </r>
  <r>
    <x v="3"/>
    <x v="118"/>
    <x v="0"/>
    <x v="310"/>
    <x v="1"/>
    <x v="4"/>
    <x v="4"/>
    <n v="1.9508160000000001"/>
    <n v="1020"/>
    <n v="1000"/>
    <n v="20"/>
    <n v="0.02"/>
    <n v="39.01632"/>
    <m/>
  </r>
  <r>
    <x v="3"/>
    <x v="118"/>
    <x v="0"/>
    <x v="310"/>
    <x v="3"/>
    <x v="4"/>
    <x v="4"/>
    <n v="1.9508160000000001"/>
    <n v="7370"/>
    <n v="7000"/>
    <n v="370"/>
    <n v="5.2857142857142859E-2"/>
    <n v="721.80192"/>
    <m/>
  </r>
  <r>
    <x v="3"/>
    <x v="118"/>
    <x v="1"/>
    <x v="311"/>
    <x v="5"/>
    <x v="5"/>
    <x v="5"/>
    <n v="0"/>
    <n v="10"/>
    <m/>
    <n v="10"/>
    <n v="1"/>
    <n v="0"/>
    <m/>
  </r>
  <r>
    <x v="4"/>
    <x v="119"/>
    <x v="2"/>
    <x v="312"/>
    <x v="0"/>
    <x v="1"/>
    <x v="1"/>
    <n v="1.91178"/>
    <n v="6850.2"/>
    <n v="6415.2"/>
    <n v="435"/>
    <n v="6.7807706696595582E-2"/>
    <n v="831.62430000000006"/>
    <m/>
  </r>
  <r>
    <x v="4"/>
    <x v="119"/>
    <x v="2"/>
    <x v="312"/>
    <x v="5"/>
    <x v="5"/>
    <x v="5"/>
    <n v="0"/>
    <n v="30"/>
    <m/>
    <n v="30"/>
    <n v="1"/>
    <n v="0"/>
    <m/>
  </r>
  <r>
    <x v="4"/>
    <x v="119"/>
    <x v="0"/>
    <x v="313"/>
    <x v="0"/>
    <x v="1"/>
    <x v="1"/>
    <n v="1.91178"/>
    <n v="7603.4"/>
    <n v="5702.4"/>
    <n v="1901"/>
    <n v="0.33336840628507297"/>
    <n v="3634.29378"/>
    <m/>
  </r>
  <r>
    <x v="4"/>
    <x v="119"/>
    <x v="0"/>
    <x v="313"/>
    <x v="1"/>
    <x v="4"/>
    <x v="4"/>
    <n v="1.9508160000000001"/>
    <n v="1468"/>
    <n v="875"/>
    <n v="593"/>
    <n v="0.67771428571428571"/>
    <n v="1156.8338880000001"/>
    <m/>
  </r>
  <r>
    <x v="4"/>
    <x v="119"/>
    <x v="0"/>
    <x v="313"/>
    <x v="5"/>
    <x v="5"/>
    <x v="5"/>
    <n v="0"/>
    <n v="5"/>
    <n v="0"/>
    <n v="5"/>
    <n v="1"/>
    <n v="0"/>
    <m/>
  </r>
  <r>
    <x v="4"/>
    <x v="119"/>
    <x v="1"/>
    <x v="314"/>
    <x v="0"/>
    <x v="1"/>
    <x v="1"/>
    <n v="1.91178"/>
    <n v="7111"/>
    <n v="5702"/>
    <n v="1409"/>
    <n v="0.24710627849877237"/>
    <m/>
    <m/>
  </r>
  <r>
    <x v="5"/>
    <x v="120"/>
    <x v="2"/>
    <x v="315"/>
    <x v="0"/>
    <x v="1"/>
    <x v="13"/>
    <m/>
    <m/>
    <n v="0"/>
    <n v="435"/>
    <m/>
    <m/>
    <m/>
  </r>
  <r>
    <x v="4"/>
    <x v="120"/>
    <x v="0"/>
    <x v="316"/>
    <x v="3"/>
    <x v="4"/>
    <x v="4"/>
    <n v="1.9508160000000001"/>
    <n v="8155"/>
    <n v="8000"/>
    <n v="155"/>
    <n v="1.9375E-2"/>
    <n v="302.37648000000002"/>
    <m/>
  </r>
  <r>
    <x v="4"/>
    <x v="121"/>
    <x v="1"/>
    <x v="317"/>
    <x v="5"/>
    <x v="5"/>
    <x v="5"/>
    <n v="0"/>
    <n v="25"/>
    <m/>
    <n v="25"/>
    <n v="1"/>
    <n v="0"/>
    <m/>
  </r>
  <r>
    <x v="4"/>
    <x v="122"/>
    <x v="2"/>
    <x v="318"/>
    <x v="0"/>
    <x v="1"/>
    <x v="1"/>
    <n v="1.91178"/>
    <n v="3989"/>
    <n v="3564"/>
    <n v="425"/>
    <n v="0.11924803591470258"/>
    <n v="812.50649999999996"/>
    <m/>
  </r>
  <r>
    <x v="4"/>
    <x v="122"/>
    <x v="2"/>
    <x v="318"/>
    <x v="1"/>
    <x v="9"/>
    <x v="9"/>
    <n v="1.21353"/>
    <n v="2245"/>
    <n v="2000"/>
    <n v="245"/>
    <n v="0.1225"/>
    <n v="297.31484999999998"/>
    <m/>
  </r>
  <r>
    <x v="4"/>
    <x v="122"/>
    <x v="0"/>
    <x v="319"/>
    <x v="0"/>
    <x v="1"/>
    <x v="1"/>
    <n v="1.91178"/>
    <n v="7862"/>
    <n v="7128"/>
    <n v="734"/>
    <n v="0.10297418630751964"/>
    <n v="1403.2465199999999"/>
    <m/>
  </r>
  <r>
    <x v="4"/>
    <x v="122"/>
    <x v="0"/>
    <x v="319"/>
    <x v="2"/>
    <x v="3"/>
    <x v="3"/>
    <n v="3.8943099999999999"/>
    <n v="4095"/>
    <n v="4000"/>
    <n v="95"/>
    <n v="2.375E-2"/>
    <n v="369.95945"/>
    <m/>
  </r>
  <r>
    <x v="4"/>
    <x v="122"/>
    <x v="1"/>
    <x v="320"/>
    <x v="1"/>
    <x v="9"/>
    <x v="9"/>
    <n v="1.21353"/>
    <n v="5046"/>
    <n v="5000"/>
    <n v="46"/>
    <n v="9.1999999999999998E-3"/>
    <n v="55.822380000000003"/>
    <m/>
  </r>
  <r>
    <x v="4"/>
    <x v="122"/>
    <x v="1"/>
    <x v="320"/>
    <x v="2"/>
    <x v="3"/>
    <x v="3"/>
    <n v="3.8943099999999999"/>
    <n v="2440"/>
    <n v="2400"/>
    <n v="40"/>
    <n v="1.6666666666666666E-2"/>
    <n v="155.7724"/>
    <m/>
  </r>
  <r>
    <x v="4"/>
    <x v="122"/>
    <x v="1"/>
    <x v="320"/>
    <x v="3"/>
    <x v="8"/>
    <x v="8"/>
    <n v="1.4516300000000002"/>
    <n v="5018"/>
    <n v="5000"/>
    <n v="18"/>
    <n v="3.5999999999999999E-3"/>
    <n v="26.129340000000003"/>
    <m/>
  </r>
  <r>
    <x v="4"/>
    <x v="123"/>
    <x v="2"/>
    <x v="321"/>
    <x v="0"/>
    <x v="1"/>
    <x v="1"/>
    <n v="1.91178"/>
    <n v="152"/>
    <n v="0"/>
    <n v="152"/>
    <n v="1"/>
    <n v="290.59055999999998"/>
    <m/>
  </r>
  <r>
    <x v="4"/>
    <x v="123"/>
    <x v="2"/>
    <x v="321"/>
    <x v="1"/>
    <x v="4"/>
    <x v="4"/>
    <n v="1.9508160000000001"/>
    <n v="1073"/>
    <n v="1000"/>
    <n v="73"/>
    <n v="7.2999999999999995E-2"/>
    <n v="142.40956800000001"/>
    <m/>
  </r>
  <r>
    <x v="4"/>
    <x v="123"/>
    <x v="2"/>
    <x v="321"/>
    <x v="2"/>
    <x v="3"/>
    <x v="3"/>
    <n v="3.8943099999999999"/>
    <n v="4153"/>
    <n v="4000"/>
    <n v="153"/>
    <n v="3.8249999999999999E-2"/>
    <n v="595.82943"/>
    <m/>
  </r>
  <r>
    <x v="4"/>
    <x v="123"/>
    <x v="2"/>
    <x v="321"/>
    <x v="5"/>
    <x v="5"/>
    <x v="5"/>
    <n v="0"/>
    <n v="13"/>
    <m/>
    <n v="13"/>
    <n v="1"/>
    <n v="0"/>
    <m/>
  </r>
  <r>
    <x v="4"/>
    <x v="123"/>
    <x v="0"/>
    <x v="322"/>
    <x v="0"/>
    <x v="1"/>
    <x v="1"/>
    <n v="1.91178"/>
    <n v="9823.4"/>
    <n v="9266.4"/>
    <n v="557"/>
    <n v="6.0109643442976778E-2"/>
    <n v="1064.8614600000001"/>
    <m/>
  </r>
  <r>
    <x v="4"/>
    <x v="123"/>
    <x v="0"/>
    <x v="322"/>
    <x v="1"/>
    <x v="4"/>
    <x v="4"/>
    <n v="1.9508160000000001"/>
    <n v="6019"/>
    <n v="6000"/>
    <n v="19"/>
    <n v="3.1666666666666666E-3"/>
    <n v="37.065504000000004"/>
    <m/>
  </r>
  <r>
    <x v="4"/>
    <x v="123"/>
    <x v="0"/>
    <x v="322"/>
    <x v="2"/>
    <x v="3"/>
    <x v="3"/>
    <n v="3.8943099999999999"/>
    <n v="7325"/>
    <n v="7200"/>
    <n v="125"/>
    <n v="1.7361111111111112E-2"/>
    <n v="486.78874999999999"/>
    <m/>
  </r>
  <r>
    <x v="4"/>
    <x v="123"/>
    <x v="1"/>
    <x v="323"/>
    <x v="1"/>
    <x v="4"/>
    <x v="4"/>
    <n v="1.9508160000000001"/>
    <n v="3050"/>
    <n v="3000"/>
    <n v="50"/>
    <n v="1.6666666666666666E-2"/>
    <n v="97.540800000000004"/>
    <m/>
  </r>
  <r>
    <x v="4"/>
    <x v="123"/>
    <x v="1"/>
    <x v="323"/>
    <x v="3"/>
    <x v="8"/>
    <x v="8"/>
    <n v="1.4516300000000002"/>
    <n v="6030"/>
    <n v="6000"/>
    <n v="30"/>
    <n v="5.0000000000000001E-3"/>
    <n v="43.548900000000003"/>
    <m/>
  </r>
  <r>
    <x v="4"/>
    <x v="124"/>
    <x v="2"/>
    <x v="324"/>
    <x v="2"/>
    <x v="3"/>
    <x v="3"/>
    <n v="3.8943099999999999"/>
    <n v="7333"/>
    <n v="7200"/>
    <n v="133"/>
    <n v="1.8472222222222223E-2"/>
    <n v="517.94322999999997"/>
    <m/>
  </r>
  <r>
    <x v="4"/>
    <x v="124"/>
    <x v="1"/>
    <x v="325"/>
    <x v="1"/>
    <x v="4"/>
    <x v="4"/>
    <n v="1.9508160000000001"/>
    <n v="4115"/>
    <n v="4000"/>
    <n v="115"/>
    <n v="2.8750000000000001E-2"/>
    <n v="224.34384"/>
    <m/>
  </r>
  <r>
    <x v="4"/>
    <x v="124"/>
    <x v="0"/>
    <x v="326"/>
    <x v="0"/>
    <x v="1"/>
    <x v="1"/>
    <n v="1.91178"/>
    <n v="5515.6"/>
    <n v="4989.6000000000004"/>
    <n v="526"/>
    <n v="0.10541927208593875"/>
    <n v="1005.59628"/>
    <m/>
  </r>
  <r>
    <x v="4"/>
    <x v="124"/>
    <x v="0"/>
    <x v="326"/>
    <x v="1"/>
    <x v="4"/>
    <x v="4"/>
    <n v="1.9508160000000001"/>
    <n v="4071"/>
    <n v="4000"/>
    <n v="71"/>
    <n v="1.7749999999999998E-2"/>
    <n v="138.507936"/>
    <m/>
  </r>
  <r>
    <x v="4"/>
    <x v="124"/>
    <x v="0"/>
    <x v="326"/>
    <x v="2"/>
    <x v="3"/>
    <x v="3"/>
    <n v="3.8943099999999999"/>
    <n v="8132"/>
    <n v="8000"/>
    <n v="132"/>
    <n v="1.6500000000000001E-2"/>
    <n v="514.04891999999995"/>
    <m/>
  </r>
  <r>
    <x v="4"/>
    <x v="124"/>
    <x v="0"/>
    <x v="326"/>
    <x v="3"/>
    <x v="8"/>
    <x v="8"/>
    <n v="1.4516300000000002"/>
    <n v="9045"/>
    <n v="9000"/>
    <n v="45"/>
    <n v="5.0000000000000001E-3"/>
    <n v="65.323350000000005"/>
    <m/>
  </r>
  <r>
    <x v="4"/>
    <x v="124"/>
    <x v="1"/>
    <x v="325"/>
    <x v="1"/>
    <x v="4"/>
    <x v="4"/>
    <n v="1.9508160000000001"/>
    <n v="4066"/>
    <n v="4000"/>
    <n v="66"/>
    <n v="1.6500000000000001E-2"/>
    <n v="128.75385600000001"/>
    <m/>
  </r>
  <r>
    <x v="4"/>
    <x v="124"/>
    <x v="1"/>
    <x v="325"/>
    <x v="2"/>
    <x v="3"/>
    <x v="3"/>
    <n v="3.8943099999999999"/>
    <n v="4815"/>
    <n v="4800"/>
    <n v="15"/>
    <n v="3.1250000000000002E-3"/>
    <n v="58.414650000000002"/>
    <m/>
  </r>
  <r>
    <x v="4"/>
    <x v="124"/>
    <x v="1"/>
    <x v="325"/>
    <x v="5"/>
    <x v="5"/>
    <x v="5"/>
    <n v="0"/>
    <n v="7"/>
    <m/>
    <n v="7"/>
    <n v="1"/>
    <n v="0"/>
    <m/>
  </r>
  <r>
    <x v="4"/>
    <x v="125"/>
    <x v="2"/>
    <x v="327"/>
    <x v="0"/>
    <x v="1"/>
    <x v="1"/>
    <n v="1.91178"/>
    <n v="4519.8"/>
    <n v="4276.8"/>
    <n v="243"/>
    <n v="5.6818181818181816E-2"/>
    <n v="464.56254000000001"/>
    <m/>
  </r>
  <r>
    <x v="4"/>
    <x v="125"/>
    <x v="2"/>
    <x v="327"/>
    <x v="1"/>
    <x v="4"/>
    <x v="4"/>
    <n v="1.9508160000000001"/>
    <n v="4067"/>
    <n v="4000"/>
    <n v="67"/>
    <n v="1.6750000000000001E-2"/>
    <n v="130.70467200000002"/>
    <m/>
  </r>
  <r>
    <x v="4"/>
    <x v="125"/>
    <x v="2"/>
    <x v="327"/>
    <x v="2"/>
    <x v="3"/>
    <x v="3"/>
    <n v="3.8943099999999999"/>
    <n v="6435"/>
    <n v="6400"/>
    <n v="35"/>
    <n v="5.4687499999999997E-3"/>
    <n v="136.30085"/>
    <m/>
  </r>
  <r>
    <x v="4"/>
    <x v="125"/>
    <x v="0"/>
    <x v="328"/>
    <x v="1"/>
    <x v="4"/>
    <x v="4"/>
    <n v="1.9508160000000001"/>
    <n v="4219"/>
    <n v="4000"/>
    <n v="219"/>
    <n v="5.475E-2"/>
    <n v="427.22870400000005"/>
    <m/>
  </r>
  <r>
    <x v="4"/>
    <x v="125"/>
    <x v="0"/>
    <x v="328"/>
    <x v="2"/>
    <x v="3"/>
    <x v="3"/>
    <n v="3.8943099999999999"/>
    <n v="7364"/>
    <n v="7200"/>
    <n v="164"/>
    <n v="2.2777777777777779E-2"/>
    <n v="638.66683999999998"/>
    <m/>
  </r>
  <r>
    <x v="4"/>
    <x v="125"/>
    <x v="0"/>
    <x v="328"/>
    <x v="3"/>
    <x v="8"/>
    <x v="8"/>
    <n v="1.4516300000000002"/>
    <n v="8060"/>
    <n v="8000"/>
    <n v="60"/>
    <n v="7.4999999999999997E-3"/>
    <n v="87.097800000000007"/>
    <m/>
  </r>
  <r>
    <x v="4"/>
    <x v="125"/>
    <x v="1"/>
    <x v="329"/>
    <x v="1"/>
    <x v="4"/>
    <x v="4"/>
    <n v="1.9508160000000001"/>
    <n v="4092"/>
    <n v="4000"/>
    <n v="92"/>
    <n v="2.3E-2"/>
    <n v="179.47507200000001"/>
    <m/>
  </r>
  <r>
    <x v="4"/>
    <x v="125"/>
    <x v="1"/>
    <x v="329"/>
    <x v="2"/>
    <x v="3"/>
    <x v="3"/>
    <n v="3.8943099999999999"/>
    <n v="3300"/>
    <n v="3200"/>
    <n v="100"/>
    <n v="3.125E-2"/>
    <n v="389.43099999999998"/>
    <m/>
  </r>
  <r>
    <x v="4"/>
    <x v="125"/>
    <x v="1"/>
    <x v="329"/>
    <x v="3"/>
    <x v="8"/>
    <x v="8"/>
    <n v="1.4516300000000002"/>
    <n v="2238"/>
    <n v="2175"/>
    <n v="63"/>
    <n v="2.8965517241379312E-2"/>
    <n v="91.452690000000018"/>
    <m/>
  </r>
  <r>
    <x v="4"/>
    <x v="126"/>
    <x v="2"/>
    <x v="330"/>
    <x v="0"/>
    <x v="0"/>
    <x v="0"/>
    <n v="1.96"/>
    <n v="2698"/>
    <n v="2106"/>
    <n v="592"/>
    <n v="0.28110161443494774"/>
    <n v="1160.32"/>
    <m/>
  </r>
  <r>
    <x v="4"/>
    <x v="126"/>
    <x v="2"/>
    <x v="330"/>
    <x v="1"/>
    <x v="4"/>
    <x v="4"/>
    <n v="1.9508160000000001"/>
    <n v="4013"/>
    <n v="4000"/>
    <n v="13"/>
    <n v="3.2499999999999999E-3"/>
    <n v="25.360608000000003"/>
    <m/>
  </r>
  <r>
    <x v="4"/>
    <x v="126"/>
    <x v="0"/>
    <x v="331"/>
    <x v="0"/>
    <x v="0"/>
    <x v="0"/>
    <n v="1.96"/>
    <n v="6199"/>
    <n v="5760"/>
    <n v="439"/>
    <n v="7.6215277777777785E-2"/>
    <n v="860.43999999999994"/>
    <m/>
  </r>
  <r>
    <x v="4"/>
    <x v="126"/>
    <x v="0"/>
    <x v="331"/>
    <x v="4"/>
    <x v="4"/>
    <x v="4"/>
    <n v="1.9508160000000001"/>
    <n v="1209"/>
    <n v="1000"/>
    <n v="209"/>
    <n v="0.20899999999999999"/>
    <n v="407.72054400000002"/>
    <m/>
  </r>
  <r>
    <x v="4"/>
    <x v="126"/>
    <x v="1"/>
    <x v="332"/>
    <x v="1"/>
    <x v="4"/>
    <x v="4"/>
    <n v="1.9508160000000001"/>
    <n v="5069"/>
    <n v="5000"/>
    <n v="69"/>
    <n v="1.38E-2"/>
    <n v="134.60630399999999"/>
    <m/>
  </r>
  <r>
    <x v="4"/>
    <x v="127"/>
    <x v="2"/>
    <x v="333"/>
    <x v="4"/>
    <x v="4"/>
    <x v="4"/>
    <n v="1.9508160000000001"/>
    <n v="3025"/>
    <n v="3000"/>
    <n v="25"/>
    <n v="8.3333333333333332E-3"/>
    <n v="48.770400000000002"/>
    <m/>
  </r>
  <r>
    <x v="4"/>
    <x v="127"/>
    <x v="2"/>
    <x v="333"/>
    <x v="5"/>
    <x v="5"/>
    <x v="5"/>
    <n v="0"/>
    <n v="3"/>
    <m/>
    <n v="3"/>
    <n v="1"/>
    <n v="0"/>
    <m/>
  </r>
  <r>
    <x v="4"/>
    <x v="127"/>
    <x v="0"/>
    <x v="334"/>
    <x v="1"/>
    <x v="4"/>
    <x v="4"/>
    <n v="1.9508160000000001"/>
    <n v="17047"/>
    <n v="17000"/>
    <n v="47"/>
    <n v="2.7647058823529413E-3"/>
    <n v="91.688352000000009"/>
    <m/>
  </r>
  <r>
    <x v="4"/>
    <x v="128"/>
    <x v="2"/>
    <x v="335"/>
    <x v="1"/>
    <x v="4"/>
    <x v="4"/>
    <n v="1.9508160000000001"/>
    <n v="15115"/>
    <n v="15000"/>
    <n v="115"/>
    <n v="7.6666666666666662E-3"/>
    <n v="224.34384"/>
    <m/>
  </r>
  <r>
    <x v="4"/>
    <x v="129"/>
    <x v="2"/>
    <x v="336"/>
    <x v="0"/>
    <x v="0"/>
    <x v="0"/>
    <n v="1.96"/>
    <n v="1484.84"/>
    <n v="1287.8399999999999"/>
    <n v="197"/>
    <n v="0.15296931295813146"/>
    <n v="386.12"/>
    <m/>
  </r>
  <r>
    <x v="4"/>
    <x v="129"/>
    <x v="2"/>
    <x v="336"/>
    <x v="1"/>
    <x v="4"/>
    <x v="4"/>
    <n v="1.9508160000000001"/>
    <n v="231"/>
    <n v="0"/>
    <n v="231"/>
    <n v="1"/>
    <n v="450.63849600000003"/>
    <m/>
  </r>
  <r>
    <x v="4"/>
    <x v="129"/>
    <x v="0"/>
    <x v="337"/>
    <x v="0"/>
    <x v="0"/>
    <x v="0"/>
    <n v="1.96"/>
    <n v="3651.84"/>
    <n v="2727.84"/>
    <n v="924"/>
    <n v="0.33872954425479501"/>
    <n v="1811.04"/>
    <m/>
  </r>
  <r>
    <x v="4"/>
    <x v="129"/>
    <x v="0"/>
    <x v="337"/>
    <x v="1"/>
    <x v="4"/>
    <x v="4"/>
    <n v="1.9508160000000001"/>
    <n v="2147"/>
    <n v="2000"/>
    <n v="147"/>
    <n v="7.3499999999999996E-2"/>
    <n v="286.76995199999999"/>
    <m/>
  </r>
  <r>
    <x v="4"/>
    <x v="129"/>
    <x v="0"/>
    <x v="337"/>
    <x v="4"/>
    <x v="4"/>
    <x v="4"/>
    <n v="1.9508160000000001"/>
    <n v="1011"/>
    <n v="1000"/>
    <n v="11"/>
    <n v="1.0999999999999999E-2"/>
    <n v="21.458976"/>
    <m/>
  </r>
  <r>
    <x v="4"/>
    <x v="129"/>
    <x v="1"/>
    <x v="338"/>
    <x v="0"/>
    <x v="0"/>
    <x v="0"/>
    <n v="1.96"/>
    <n v="2676.52"/>
    <n v="2423.52"/>
    <n v="253"/>
    <n v="0.10439360929557008"/>
    <n v="495.88"/>
    <m/>
  </r>
  <r>
    <x v="4"/>
    <x v="129"/>
    <x v="1"/>
    <x v="338"/>
    <x v="1"/>
    <x v="4"/>
    <x v="4"/>
    <n v="1.9508160000000001"/>
    <n v="1256"/>
    <n v="1000"/>
    <n v="256"/>
    <n v="0.25600000000000001"/>
    <n v="499.40889600000003"/>
    <m/>
  </r>
  <r>
    <x v="4"/>
    <x v="129"/>
    <x v="1"/>
    <x v="338"/>
    <x v="2"/>
    <x v="3"/>
    <x v="3"/>
    <n v="3.8943099999999999"/>
    <n v="4084"/>
    <n v="4000"/>
    <n v="84"/>
    <n v="2.1000000000000001E-2"/>
    <n v="327.12203999999997"/>
    <m/>
  </r>
  <r>
    <x v="4"/>
    <x v="129"/>
    <x v="1"/>
    <x v="338"/>
    <x v="4"/>
    <x v="4"/>
    <x v="4"/>
    <n v="1.9508160000000001"/>
    <n v="2003"/>
    <n v="2000"/>
    <n v="3"/>
    <n v="1.5E-3"/>
    <n v="5.8524480000000008"/>
    <m/>
  </r>
  <r>
    <x v="4"/>
    <x v="129"/>
    <x v="1"/>
    <x v="338"/>
    <x v="5"/>
    <x v="5"/>
    <x v="5"/>
    <n v="0"/>
    <n v="23"/>
    <m/>
    <n v="23"/>
    <n v="1"/>
    <n v="0"/>
    <m/>
  </r>
  <r>
    <x v="4"/>
    <x v="130"/>
    <x v="2"/>
    <x v="339"/>
    <x v="0"/>
    <x v="0"/>
    <x v="0"/>
    <n v="1.96"/>
    <n v="3943.84"/>
    <n v="3447.84"/>
    <n v="496"/>
    <n v="0.14385818367441644"/>
    <n v="972.16"/>
    <m/>
  </r>
  <r>
    <x v="4"/>
    <x v="130"/>
    <x v="2"/>
    <x v="339"/>
    <x v="1"/>
    <x v="4"/>
    <x v="4"/>
    <n v="1.9508160000000001"/>
    <n v="1004"/>
    <n v="1000"/>
    <n v="4"/>
    <n v="4.0000000000000001E-3"/>
    <n v="7.8032640000000004"/>
    <m/>
  </r>
  <r>
    <x v="4"/>
    <x v="130"/>
    <x v="2"/>
    <x v="339"/>
    <x v="2"/>
    <x v="3"/>
    <x v="3"/>
    <n v="3.8943099999999999"/>
    <n v="5700"/>
    <n v="5600"/>
    <n v="100"/>
    <n v="1.7857142857142856E-2"/>
    <n v="389.43099999999998"/>
    <m/>
  </r>
  <r>
    <x v="4"/>
    <x v="130"/>
    <x v="0"/>
    <x v="340"/>
    <x v="0"/>
    <x v="0"/>
    <x v="0"/>
    <n v="1.96"/>
    <n v="5444.84"/>
    <n v="4887.84"/>
    <n v="557"/>
    <n v="0.1139562669809159"/>
    <n v="1091.72"/>
    <m/>
  </r>
  <r>
    <x v="4"/>
    <x v="130"/>
    <x v="0"/>
    <x v="340"/>
    <x v="1"/>
    <x v="4"/>
    <x v="4"/>
    <n v="1.9508160000000001"/>
    <n v="2066"/>
    <n v="2000"/>
    <n v="66"/>
    <n v="3.3000000000000002E-2"/>
    <n v="128.75385600000001"/>
    <m/>
  </r>
  <r>
    <x v="4"/>
    <x v="130"/>
    <x v="0"/>
    <x v="340"/>
    <x v="2"/>
    <x v="3"/>
    <x v="3"/>
    <n v="3.8943099999999999"/>
    <n v="8120"/>
    <n v="8000"/>
    <n v="120"/>
    <n v="1.4999999999999999E-2"/>
    <n v="467.31720000000001"/>
    <m/>
  </r>
  <r>
    <x v="4"/>
    <x v="130"/>
    <x v="0"/>
    <x v="340"/>
    <x v="3"/>
    <x v="8"/>
    <x v="8"/>
    <n v="1.4516300000000002"/>
    <n v="8013"/>
    <n v="8000"/>
    <n v="13"/>
    <n v="1.6249999999999999E-3"/>
    <n v="18.871190000000002"/>
    <m/>
  </r>
  <r>
    <x v="4"/>
    <x v="130"/>
    <x v="1"/>
    <x v="341"/>
    <x v="0"/>
    <x v="0"/>
    <x v="0"/>
    <n v="1.96"/>
    <n v="3299.84"/>
    <n v="2727.84"/>
    <n v="572"/>
    <n v="0.20968971787201593"/>
    <n v="1121.1199999999999"/>
    <m/>
  </r>
  <r>
    <x v="4"/>
    <x v="130"/>
    <x v="1"/>
    <x v="341"/>
    <x v="1"/>
    <x v="4"/>
    <x v="4"/>
    <n v="1.9508160000000001"/>
    <n v="2050"/>
    <n v="2000"/>
    <n v="50"/>
    <n v="2.5000000000000001E-2"/>
    <n v="97.540800000000004"/>
    <m/>
  </r>
  <r>
    <x v="4"/>
    <x v="130"/>
    <x v="1"/>
    <x v="341"/>
    <x v="2"/>
    <x v="3"/>
    <x v="3"/>
    <n v="3.8943099999999999"/>
    <n v="5800"/>
    <n v="5600"/>
    <n v="200"/>
    <n v="3.5714285714285712E-2"/>
    <n v="778.86199999999997"/>
    <m/>
  </r>
  <r>
    <x v="4"/>
    <x v="130"/>
    <x v="1"/>
    <x v="341"/>
    <x v="5"/>
    <x v="5"/>
    <x v="5"/>
    <n v="0"/>
    <n v="10"/>
    <m/>
    <n v="10"/>
    <n v="1"/>
    <n v="0"/>
    <m/>
  </r>
  <r>
    <x v="4"/>
    <x v="131"/>
    <x v="2"/>
    <x v="342"/>
    <x v="0"/>
    <x v="0"/>
    <x v="0"/>
    <n v="1.96"/>
    <n v="2529"/>
    <n v="2160"/>
    <n v="369"/>
    <n v="0.17083333333333334"/>
    <n v="723.24"/>
    <m/>
  </r>
  <r>
    <x v="4"/>
    <x v="131"/>
    <x v="2"/>
    <x v="342"/>
    <x v="1"/>
    <x v="4"/>
    <x v="4"/>
    <n v="1.9508160000000001"/>
    <n v="2046"/>
    <n v="2000"/>
    <n v="46"/>
    <n v="2.3E-2"/>
    <n v="89.737536000000006"/>
    <m/>
  </r>
  <r>
    <x v="4"/>
    <x v="131"/>
    <x v="2"/>
    <x v="342"/>
    <x v="2"/>
    <x v="3"/>
    <x v="3"/>
    <n v="3.8943099999999999"/>
    <n v="7287"/>
    <n v="7200"/>
    <n v="87"/>
    <n v="1.2083333333333333E-2"/>
    <n v="338.80496999999997"/>
    <m/>
  </r>
  <r>
    <x v="4"/>
    <x v="131"/>
    <x v="0"/>
    <x v="343"/>
    <x v="0"/>
    <x v="0"/>
    <x v="0"/>
    <n v="1.96"/>
    <n v="3474.68"/>
    <n v="3295.68"/>
    <n v="179"/>
    <n v="5.4313525585008259E-2"/>
    <n v="350.84"/>
    <m/>
  </r>
  <r>
    <x v="4"/>
    <x v="131"/>
    <x v="0"/>
    <x v="343"/>
    <x v="1"/>
    <x v="4"/>
    <x v="4"/>
    <n v="1.9508160000000001"/>
    <n v="38"/>
    <n v="0"/>
    <n v="38"/>
    <n v="1"/>
    <n v="74.131008000000008"/>
    <m/>
  </r>
  <r>
    <x v="4"/>
    <x v="131"/>
    <x v="0"/>
    <x v="343"/>
    <x v="2"/>
    <x v="3"/>
    <x v="3"/>
    <n v="3.8943099999999999"/>
    <n v="8106"/>
    <n v="8000"/>
    <n v="106"/>
    <n v="1.325E-2"/>
    <n v="412.79685999999998"/>
    <m/>
  </r>
  <r>
    <x v="4"/>
    <x v="131"/>
    <x v="1"/>
    <x v="344"/>
    <x v="0"/>
    <x v="0"/>
    <x v="0"/>
    <n v="1.96"/>
    <n v="4103.68"/>
    <n v="4015.68"/>
    <n v="88"/>
    <n v="2.1914096740776157E-2"/>
    <n v="172.48"/>
    <m/>
  </r>
  <r>
    <x v="4"/>
    <x v="131"/>
    <x v="1"/>
    <x v="344"/>
    <x v="2"/>
    <x v="3"/>
    <x v="3"/>
    <n v="3.8943099999999999"/>
    <n v="5903"/>
    <n v="5600"/>
    <n v="303"/>
    <n v="5.4107142857142861E-2"/>
    <n v="1179.9759300000001"/>
    <m/>
  </r>
  <r>
    <x v="4"/>
    <x v="131"/>
    <x v="1"/>
    <x v="344"/>
    <x v="3"/>
    <x v="8"/>
    <x v="8"/>
    <n v="1.4516300000000002"/>
    <n v="10011"/>
    <n v="10000"/>
    <n v="11"/>
    <n v="1.1000000000000001E-3"/>
    <n v="15.967930000000003"/>
    <m/>
  </r>
  <r>
    <x v="4"/>
    <x v="132"/>
    <x v="2"/>
    <x v="345"/>
    <x v="0"/>
    <x v="0"/>
    <x v="0"/>
    <n v="1.96"/>
    <n v="4858.5200000000004"/>
    <n v="4583.5200000000004"/>
    <n v="275"/>
    <n v="5.9997556463154952E-2"/>
    <n v="539"/>
    <m/>
  </r>
  <r>
    <x v="4"/>
    <x v="132"/>
    <x v="2"/>
    <x v="345"/>
    <x v="1"/>
    <x v="4"/>
    <x v="4"/>
    <n v="1.9508160000000001"/>
    <n v="5043"/>
    <n v="5000"/>
    <n v="43"/>
    <n v="8.6E-3"/>
    <n v="83.88508800000001"/>
    <m/>
  </r>
  <r>
    <x v="4"/>
    <x v="132"/>
    <x v="2"/>
    <x v="345"/>
    <x v="2"/>
    <x v="3"/>
    <x v="3"/>
    <n v="3.8943099999999999"/>
    <n v="7223"/>
    <n v="7200"/>
    <n v="23"/>
    <n v="3.1944444444444446E-3"/>
    <n v="89.569130000000001"/>
    <m/>
  </r>
  <r>
    <x v="4"/>
    <x v="132"/>
    <x v="0"/>
    <x v="346"/>
    <x v="0"/>
    <x v="0"/>
    <x v="0"/>
    <n v="1.96"/>
    <n v="5836.52"/>
    <n v="5303.52"/>
    <n v="533"/>
    <n v="0.10049929103689624"/>
    <n v="1044.68"/>
    <m/>
  </r>
  <r>
    <x v="4"/>
    <x v="132"/>
    <x v="0"/>
    <x v="346"/>
    <x v="1"/>
    <x v="4"/>
    <x v="4"/>
    <n v="1.9508160000000001"/>
    <n v="3024"/>
    <n v="3000"/>
    <n v="24"/>
    <n v="8.0000000000000002E-3"/>
    <n v="46.819584000000006"/>
    <m/>
  </r>
  <r>
    <x v="4"/>
    <x v="132"/>
    <x v="0"/>
    <x v="346"/>
    <x v="2"/>
    <x v="3"/>
    <x v="3"/>
    <n v="3.8943099999999999"/>
    <n v="7302"/>
    <n v="7200"/>
    <n v="102"/>
    <n v="1.4166666666666666E-2"/>
    <n v="397.21962000000002"/>
    <m/>
  </r>
  <r>
    <x v="4"/>
    <x v="132"/>
    <x v="0"/>
    <x v="346"/>
    <x v="3"/>
    <x v="8"/>
    <x v="8"/>
    <n v="1.4516300000000002"/>
    <n v="3007"/>
    <n v="3000"/>
    <n v="7"/>
    <n v="2.3333333333333335E-3"/>
    <n v="10.161410000000002"/>
    <m/>
  </r>
  <r>
    <x v="4"/>
    <x v="132"/>
    <x v="1"/>
    <x v="347"/>
    <x v="0"/>
    <x v="0"/>
    <x v="0"/>
    <n v="1.96"/>
    <n v="4414.68"/>
    <n v="4015.68"/>
    <n v="399"/>
    <n v="9.9360506813291893E-2"/>
    <n v="782.04"/>
    <m/>
  </r>
  <r>
    <x v="4"/>
    <x v="132"/>
    <x v="1"/>
    <x v="347"/>
    <x v="2"/>
    <x v="3"/>
    <x v="3"/>
    <n v="3.8943099999999999"/>
    <n v="4263"/>
    <n v="4000"/>
    <n v="263"/>
    <n v="6.5750000000000003E-2"/>
    <n v="1024.20353"/>
    <m/>
  </r>
  <r>
    <x v="4"/>
    <x v="132"/>
    <x v="1"/>
    <x v="347"/>
    <x v="3"/>
    <x v="8"/>
    <x v="8"/>
    <n v="1.4516300000000002"/>
    <n v="8007"/>
    <n v="8000"/>
    <n v="7"/>
    <n v="8.7500000000000002E-4"/>
    <n v="10.161410000000002"/>
    <m/>
  </r>
  <r>
    <x v="4"/>
    <x v="133"/>
    <x v="2"/>
    <x v="348"/>
    <x v="0"/>
    <x v="0"/>
    <x v="0"/>
    <n v="1.96"/>
    <n v="4282.5200000000004"/>
    <n v="3863.52"/>
    <n v="419"/>
    <n v="0.10845032509214395"/>
    <n v="821.24"/>
    <m/>
  </r>
  <r>
    <x v="4"/>
    <x v="133"/>
    <x v="0"/>
    <x v="349"/>
    <x v="0"/>
    <x v="0"/>
    <x v="0"/>
    <n v="1.96"/>
    <n v="4694.68"/>
    <n v="4015.68"/>
    <n v="679"/>
    <n v="0.16908717826121605"/>
    <n v="1330.84"/>
    <m/>
  </r>
  <r>
    <x v="4"/>
    <x v="133"/>
    <x v="0"/>
    <x v="349"/>
    <x v="4"/>
    <x v="4"/>
    <x v="4"/>
    <n v="1.9508160000000001"/>
    <n v="1022"/>
    <n v="1000"/>
    <n v="22"/>
    <n v="2.1999999999999999E-2"/>
    <n v="42.917952"/>
    <m/>
  </r>
  <r>
    <x v="4"/>
    <x v="133"/>
    <x v="0"/>
    <x v="349"/>
    <x v="3"/>
    <x v="8"/>
    <x v="8"/>
    <n v="1.4516300000000002"/>
    <n v="3520"/>
    <n v="3400"/>
    <n v="120"/>
    <n v="3.5294117647058823E-2"/>
    <n v="174.19560000000001"/>
    <m/>
  </r>
  <r>
    <x v="4"/>
    <x v="133"/>
    <x v="0"/>
    <x v="349"/>
    <x v="3"/>
    <x v="4"/>
    <x v="4"/>
    <n v="1.9508160000000001"/>
    <n v="2002"/>
    <n v="2000"/>
    <n v="2"/>
    <n v="1E-3"/>
    <n v="3.9016320000000002"/>
    <m/>
  </r>
  <r>
    <x v="4"/>
    <x v="133"/>
    <x v="1"/>
    <x v="350"/>
    <x v="1"/>
    <x v="4"/>
    <x v="4"/>
    <n v="1.9508160000000001"/>
    <n v="5120"/>
    <n v="5000"/>
    <n v="120"/>
    <n v="2.4E-2"/>
    <n v="234.09792000000002"/>
    <m/>
  </r>
  <r>
    <x v="4"/>
    <x v="133"/>
    <x v="1"/>
    <x v="350"/>
    <x v="3"/>
    <x v="4"/>
    <x v="4"/>
    <n v="1.9508160000000001"/>
    <n v="8003"/>
    <n v="8000"/>
    <n v="3"/>
    <n v="3.7500000000000001E-4"/>
    <n v="5.8524480000000008"/>
    <m/>
  </r>
  <r>
    <x v="4"/>
    <x v="134"/>
    <x v="1"/>
    <x v="351"/>
    <x v="1"/>
    <x v="4"/>
    <x v="4"/>
    <n v="1.9508160000000001"/>
    <n v="8038"/>
    <n v="8000"/>
    <n v="38"/>
    <n v="4.7499999999999999E-3"/>
    <n v="74.131008000000008"/>
    <m/>
  </r>
  <r>
    <x v="4"/>
    <x v="134"/>
    <x v="1"/>
    <x v="351"/>
    <x v="3"/>
    <x v="4"/>
    <x v="4"/>
    <n v="1.9508160000000001"/>
    <n v="9041"/>
    <n v="9000"/>
    <n v="41"/>
    <n v="4.5555555555555557E-3"/>
    <n v="79.983456000000004"/>
    <m/>
  </r>
  <r>
    <x v="4"/>
    <x v="135"/>
    <x v="0"/>
    <x v="352"/>
    <x v="3"/>
    <x v="4"/>
    <x v="4"/>
    <n v="1.9508160000000001"/>
    <n v="8018"/>
    <n v="8000"/>
    <n v="18"/>
    <n v="2.2499999999999998E-3"/>
    <n v="35.114688000000001"/>
    <m/>
  </r>
  <r>
    <x v="4"/>
    <x v="136"/>
    <x v="2"/>
    <x v="353"/>
    <x v="0"/>
    <x v="2"/>
    <x v="2"/>
    <n v="2.08013"/>
    <n v="3972"/>
    <n v="3840"/>
    <n v="132"/>
    <n v="3.4375000000000003E-2"/>
    <n v="274.57715999999999"/>
    <m/>
  </r>
  <r>
    <x v="4"/>
    <x v="136"/>
    <x v="2"/>
    <x v="353"/>
    <x v="1"/>
    <x v="4"/>
    <x v="4"/>
    <n v="1.9508160000000001"/>
    <n v="8230"/>
    <n v="8000"/>
    <n v="230"/>
    <n v="2.8750000000000001E-2"/>
    <n v="448.68768"/>
    <m/>
  </r>
  <r>
    <x v="4"/>
    <x v="136"/>
    <x v="0"/>
    <x v="354"/>
    <x v="0"/>
    <x v="2"/>
    <x v="2"/>
    <n v="2.08013"/>
    <n v="406"/>
    <n v="300"/>
    <n v="106"/>
    <n v="0.35333333333333333"/>
    <n v="220.49378000000002"/>
    <m/>
  </r>
  <r>
    <x v="4"/>
    <x v="136"/>
    <x v="0"/>
    <x v="354"/>
    <x v="2"/>
    <x v="3"/>
    <x v="3"/>
    <n v="3.8943099999999999"/>
    <n v="4845"/>
    <n v="4800"/>
    <n v="45"/>
    <n v="9.3749999999999997E-3"/>
    <n v="175.24394999999998"/>
    <m/>
  </r>
  <r>
    <x v="4"/>
    <x v="136"/>
    <x v="0"/>
    <x v="354"/>
    <x v="3"/>
    <x v="4"/>
    <x v="4"/>
    <n v="1.9508160000000001"/>
    <n v="7015"/>
    <n v="7000"/>
    <n v="15"/>
    <n v="2.142857142857143E-3"/>
    <n v="29.262240000000002"/>
    <m/>
  </r>
  <r>
    <x v="4"/>
    <x v="136"/>
    <x v="0"/>
    <x v="354"/>
    <x v="5"/>
    <x v="5"/>
    <x v="5"/>
    <n v="0"/>
    <n v="5"/>
    <m/>
    <n v="5"/>
    <n v="1"/>
    <n v="0"/>
    <m/>
  </r>
  <r>
    <x v="4"/>
    <x v="136"/>
    <x v="1"/>
    <x v="355"/>
    <x v="0"/>
    <x v="0"/>
    <x v="0"/>
    <n v="1.96"/>
    <n v="1009.84"/>
    <n v="567.84"/>
    <n v="442"/>
    <n v="0.7783882783882784"/>
    <n v="866.31999999999994"/>
    <m/>
  </r>
  <r>
    <x v="4"/>
    <x v="136"/>
    <x v="1"/>
    <x v="355"/>
    <x v="2"/>
    <x v="3"/>
    <x v="3"/>
    <n v="3.8943099999999999"/>
    <n v="4857"/>
    <n v="4800"/>
    <n v="57"/>
    <n v="1.1875E-2"/>
    <n v="221.97567000000001"/>
    <m/>
  </r>
  <r>
    <x v="4"/>
    <x v="136"/>
    <x v="1"/>
    <x v="355"/>
    <x v="3"/>
    <x v="4"/>
    <x v="4"/>
    <n v="1.9508160000000001"/>
    <n v="7033"/>
    <n v="7000"/>
    <n v="33"/>
    <n v="4.7142857142857143E-3"/>
    <n v="64.376928000000007"/>
    <m/>
  </r>
  <r>
    <x v="4"/>
    <x v="137"/>
    <x v="2"/>
    <x v="356"/>
    <x v="0"/>
    <x v="0"/>
    <x v="0"/>
    <n v="1.96"/>
    <n v="3311.2"/>
    <n v="2839.2"/>
    <n v="472"/>
    <n v="0.16624401239785858"/>
    <n v="925.12"/>
    <m/>
  </r>
  <r>
    <x v="4"/>
    <x v="137"/>
    <x v="2"/>
    <x v="356"/>
    <x v="2"/>
    <x v="3"/>
    <x v="3"/>
    <n v="3.8943099999999999"/>
    <n v="4854"/>
    <n v="4800"/>
    <n v="54"/>
    <n v="1.125E-2"/>
    <n v="210.29274000000001"/>
    <m/>
  </r>
  <r>
    <x v="4"/>
    <x v="137"/>
    <x v="2"/>
    <x v="356"/>
    <x v="5"/>
    <x v="5"/>
    <x v="5"/>
    <n v="0"/>
    <n v="20"/>
    <m/>
    <n v="20"/>
    <n v="1"/>
    <n v="0"/>
    <m/>
  </r>
  <r>
    <x v="4"/>
    <x v="137"/>
    <x v="0"/>
    <x v="357"/>
    <x v="0"/>
    <x v="0"/>
    <x v="0"/>
    <n v="1.96"/>
    <n v="1962.52"/>
    <n v="1703.52"/>
    <n v="259"/>
    <n v="0.15203813280736359"/>
    <n v="507.64"/>
    <m/>
  </r>
  <r>
    <x v="4"/>
    <x v="137"/>
    <x v="0"/>
    <x v="357"/>
    <x v="2"/>
    <x v="3"/>
    <x v="3"/>
    <n v="3.8943099999999999"/>
    <n v="4906"/>
    <n v="4800"/>
    <n v="106"/>
    <n v="2.2083333333333333E-2"/>
    <n v="412.79685999999998"/>
    <m/>
  </r>
  <r>
    <x v="4"/>
    <x v="137"/>
    <x v="0"/>
    <x v="357"/>
    <x v="3"/>
    <x v="4"/>
    <x v="4"/>
    <n v="1.9508160000000001"/>
    <n v="7024"/>
    <n v="7000"/>
    <n v="24"/>
    <n v="3.4285714285714284E-3"/>
    <n v="46.819584000000006"/>
    <m/>
  </r>
  <r>
    <x v="4"/>
    <x v="137"/>
    <x v="1"/>
    <x v="358"/>
    <x v="0"/>
    <x v="0"/>
    <x v="0"/>
    <n v="1.96"/>
    <n v="1965.52"/>
    <n v="1703.52"/>
    <n v="262"/>
    <n v="0.15379919226073072"/>
    <n v="513.52"/>
    <m/>
  </r>
  <r>
    <x v="4"/>
    <x v="137"/>
    <x v="1"/>
    <x v="358"/>
    <x v="2"/>
    <x v="3"/>
    <x v="3"/>
    <n v="3.8943099999999999"/>
    <n v="5743"/>
    <n v="5600"/>
    <n v="143"/>
    <n v="2.5535714285714287E-2"/>
    <n v="556.88633000000004"/>
    <m/>
  </r>
  <r>
    <x v="4"/>
    <x v="138"/>
    <x v="2"/>
    <x v="359"/>
    <x v="0"/>
    <x v="0"/>
    <x v="0"/>
    <n v="1.96"/>
    <n v="2577.36"/>
    <n v="2271.36"/>
    <n v="306"/>
    <n v="0.13472104818258665"/>
    <n v="599.76"/>
    <m/>
  </r>
  <r>
    <x v="4"/>
    <x v="138"/>
    <x v="2"/>
    <x v="359"/>
    <x v="2"/>
    <x v="3"/>
    <x v="3"/>
    <n v="3.8943099999999999"/>
    <n v="5688"/>
    <n v="5600"/>
    <n v="88"/>
    <n v="1.5714285714285715E-2"/>
    <n v="342.69927999999999"/>
    <m/>
  </r>
  <r>
    <x v="4"/>
    <x v="138"/>
    <x v="2"/>
    <x v="359"/>
    <x v="5"/>
    <x v="5"/>
    <x v="5"/>
    <n v="0"/>
    <n v="25"/>
    <m/>
    <n v="25"/>
    <n v="1"/>
    <n v="0"/>
    <m/>
  </r>
  <r>
    <x v="4"/>
    <x v="138"/>
    <x v="0"/>
    <x v="360"/>
    <x v="0"/>
    <x v="0"/>
    <x v="0"/>
    <n v="1.96"/>
    <n v="1973.52"/>
    <n v="1703.52"/>
    <n v="270"/>
    <n v="0.15849535080304311"/>
    <n v="529.20000000000005"/>
    <m/>
  </r>
  <r>
    <x v="4"/>
    <x v="138"/>
    <x v="0"/>
    <x v="360"/>
    <x v="2"/>
    <x v="3"/>
    <x v="3"/>
    <n v="3.8943099999999999"/>
    <n v="6407"/>
    <n v="6400"/>
    <n v="7"/>
    <n v="1.0937500000000001E-3"/>
    <n v="27.260169999999999"/>
    <m/>
  </r>
  <r>
    <x v="4"/>
    <x v="138"/>
    <x v="0"/>
    <x v="360"/>
    <x v="3"/>
    <x v="4"/>
    <x v="4"/>
    <n v="1.9508160000000001"/>
    <n v="8037"/>
    <n v="8000"/>
    <n v="37"/>
    <n v="4.6249999999999998E-3"/>
    <n v="72.180192000000005"/>
    <m/>
  </r>
  <r>
    <x v="4"/>
    <x v="138"/>
    <x v="1"/>
    <x v="361"/>
    <x v="0"/>
    <x v="2"/>
    <x v="2"/>
    <n v="2.08013"/>
    <n v="6840"/>
    <n v="6720"/>
    <n v="120"/>
    <n v="1.7857142857142856E-2"/>
    <n v="249.6156"/>
    <m/>
  </r>
  <r>
    <x v="4"/>
    <x v="138"/>
    <x v="1"/>
    <x v="361"/>
    <x v="1"/>
    <x v="4"/>
    <x v="4"/>
    <n v="1.9508160000000001"/>
    <n v="1029"/>
    <n v="1000"/>
    <n v="29"/>
    <n v="2.9000000000000001E-2"/>
    <n v="56.573664000000001"/>
    <m/>
  </r>
  <r>
    <x v="4"/>
    <x v="138"/>
    <x v="1"/>
    <x v="361"/>
    <x v="2"/>
    <x v="3"/>
    <x v="3"/>
    <n v="3.8943099999999999"/>
    <n v="4810"/>
    <n v="4800"/>
    <n v="10"/>
    <n v="2.0833333333333333E-3"/>
    <n v="38.943100000000001"/>
    <m/>
  </r>
  <r>
    <x v="4"/>
    <x v="139"/>
    <x v="2"/>
    <x v="362"/>
    <x v="0"/>
    <x v="2"/>
    <x v="2"/>
    <n v="2.08013"/>
    <n v="8803"/>
    <n v="8640"/>
    <n v="163"/>
    <n v="1.8865740740740742E-2"/>
    <n v="339.06119000000001"/>
    <m/>
  </r>
  <r>
    <x v="4"/>
    <x v="139"/>
    <x v="2"/>
    <x v="362"/>
    <x v="2"/>
    <x v="3"/>
    <x v="3"/>
    <n v="3.8943099999999999"/>
    <n v="5675"/>
    <n v="5600"/>
    <n v="75"/>
    <n v="1.3392857142857142E-2"/>
    <n v="292.07324999999997"/>
    <m/>
  </r>
  <r>
    <x v="4"/>
    <x v="139"/>
    <x v="0"/>
    <x v="363"/>
    <x v="1"/>
    <x v="4"/>
    <x v="4"/>
    <n v="1.9508160000000001"/>
    <n v="4069"/>
    <n v="4000"/>
    <n v="69"/>
    <n v="1.7250000000000001E-2"/>
    <n v="134.60630399999999"/>
    <m/>
  </r>
  <r>
    <x v="4"/>
    <x v="139"/>
    <x v="0"/>
    <x v="363"/>
    <x v="2"/>
    <x v="3"/>
    <x v="3"/>
    <n v="3.8943099999999999"/>
    <n v="6553"/>
    <n v="6400"/>
    <n v="153"/>
    <n v="2.390625E-2"/>
    <n v="595.82943"/>
    <m/>
  </r>
  <r>
    <x v="4"/>
    <x v="139"/>
    <x v="0"/>
    <x v="363"/>
    <x v="3"/>
    <x v="4"/>
    <x v="4"/>
    <n v="1.9508160000000001"/>
    <n v="7025"/>
    <n v="7000"/>
    <n v="25"/>
    <n v="3.5714285714285713E-3"/>
    <n v="48.770400000000002"/>
    <m/>
  </r>
  <r>
    <x v="4"/>
    <x v="139"/>
    <x v="0"/>
    <x v="363"/>
    <x v="5"/>
    <x v="5"/>
    <x v="5"/>
    <n v="0"/>
    <n v="55"/>
    <m/>
    <n v="55"/>
    <n v="1"/>
    <n v="0"/>
    <m/>
  </r>
  <r>
    <x v="4"/>
    <x v="139"/>
    <x v="1"/>
    <x v="364"/>
    <x v="0"/>
    <x v="2"/>
    <x v="2"/>
    <n v="2.08013"/>
    <n v="6834"/>
    <n v="6720"/>
    <n v="114"/>
    <n v="1.6964285714285713E-2"/>
    <n v="237.13481999999999"/>
    <m/>
  </r>
  <r>
    <x v="4"/>
    <x v="139"/>
    <x v="1"/>
    <x v="364"/>
    <x v="2"/>
    <x v="3"/>
    <x v="3"/>
    <n v="3.8943099999999999"/>
    <n v="5113"/>
    <n v="4800"/>
    <n v="313"/>
    <n v="6.5208333333333326E-2"/>
    <n v="1218.91903"/>
    <m/>
  </r>
  <r>
    <x v="4"/>
    <x v="140"/>
    <x v="2"/>
    <x v="365"/>
    <x v="0"/>
    <x v="2"/>
    <x v="2"/>
    <n v="2.08013"/>
    <n v="6945"/>
    <n v="6720"/>
    <n v="225"/>
    <n v="3.3482142857142856E-2"/>
    <n v="468.02924999999999"/>
    <m/>
  </r>
  <r>
    <x v="4"/>
    <x v="140"/>
    <x v="2"/>
    <x v="365"/>
    <x v="1"/>
    <x v="4"/>
    <x v="4"/>
    <n v="1.9508160000000001"/>
    <n v="3049"/>
    <n v="3000"/>
    <n v="49"/>
    <n v="1.6333333333333332E-2"/>
    <n v="95.589984000000001"/>
    <m/>
  </r>
  <r>
    <x v="4"/>
    <x v="140"/>
    <x v="0"/>
    <x v="366"/>
    <x v="0"/>
    <x v="2"/>
    <x v="2"/>
    <n v="2.08013"/>
    <n v="8760"/>
    <n v="8640"/>
    <n v="120"/>
    <n v="1.3888888888888888E-2"/>
    <n v="249.6156"/>
    <m/>
  </r>
  <r>
    <x v="4"/>
    <x v="140"/>
    <x v="0"/>
    <x v="366"/>
    <x v="3"/>
    <x v="4"/>
    <x v="4"/>
    <n v="1.9508160000000001"/>
    <n v="7059"/>
    <n v="7000"/>
    <n v="59"/>
    <n v="8.4285714285714294E-3"/>
    <n v="115.098144"/>
    <m/>
  </r>
  <r>
    <x v="4"/>
    <x v="140"/>
    <x v="1"/>
    <x v="367"/>
    <x v="3"/>
    <x v="4"/>
    <x v="4"/>
    <n v="1.9508160000000001"/>
    <n v="9047"/>
    <n v="9000"/>
    <n v="47"/>
    <n v="5.2222222222222218E-3"/>
    <n v="91.688352000000009"/>
    <m/>
  </r>
  <r>
    <x v="4"/>
    <x v="141"/>
    <x v="0"/>
    <x v="368"/>
    <x v="3"/>
    <x v="4"/>
    <x v="4"/>
    <n v="1.9508160000000001"/>
    <n v="9021"/>
    <n v="9000"/>
    <n v="21"/>
    <n v="2.3333333333333335E-3"/>
    <n v="40.967136000000004"/>
    <m/>
  </r>
  <r>
    <x v="4"/>
    <x v="141"/>
    <x v="1"/>
    <x v="369"/>
    <x v="3"/>
    <x v="4"/>
    <x v="4"/>
    <n v="1.9508160000000001"/>
    <n v="10023"/>
    <n v="10000"/>
    <n v="23"/>
    <n v="2.3E-3"/>
    <n v="44.868768000000003"/>
    <m/>
  </r>
  <r>
    <x v="4"/>
    <x v="141"/>
    <x v="2"/>
    <x v="370"/>
    <x v="5"/>
    <x v="5"/>
    <x v="5"/>
    <n v="0"/>
    <n v="20"/>
    <m/>
    <n v="20"/>
    <n v="1"/>
    <n v="0"/>
    <m/>
  </r>
  <r>
    <x v="4"/>
    <x v="142"/>
    <x v="0"/>
    <x v="371"/>
    <x v="3"/>
    <x v="4"/>
    <x v="4"/>
    <n v="1.9508160000000001"/>
    <n v="9089"/>
    <n v="9000"/>
    <n v="89"/>
    <n v="9.888888888888888E-3"/>
    <n v="173.622624"/>
    <m/>
  </r>
  <r>
    <x v="4"/>
    <x v="142"/>
    <x v="1"/>
    <x v="372"/>
    <x v="3"/>
    <x v="4"/>
    <x v="4"/>
    <n v="1.9508160000000001"/>
    <n v="7025"/>
    <n v="7000"/>
    <n v="25"/>
    <n v="3.5714285714285713E-3"/>
    <n v="48.770400000000002"/>
    <m/>
  </r>
  <r>
    <x v="4"/>
    <x v="143"/>
    <x v="2"/>
    <x v="373"/>
    <x v="0"/>
    <x v="1"/>
    <x v="1"/>
    <n v="1.91178"/>
    <n v="2890.8"/>
    <n v="2312.8000000000002"/>
    <n v="578"/>
    <n v="0.24991352473192666"/>
    <n v="1105.00884"/>
    <m/>
  </r>
  <r>
    <x v="4"/>
    <x v="143"/>
    <x v="2"/>
    <x v="373"/>
    <x v="4"/>
    <x v="4"/>
    <x v="4"/>
    <n v="1.9508160000000001"/>
    <n v="1010"/>
    <n v="1000"/>
    <n v="10"/>
    <n v="0.01"/>
    <n v="19.50816"/>
    <m/>
  </r>
  <r>
    <x v="4"/>
    <x v="143"/>
    <x v="0"/>
    <x v="374"/>
    <x v="0"/>
    <x v="1"/>
    <x v="1"/>
    <n v="1.91178"/>
    <n v="7474.73"/>
    <n v="6910.73"/>
    <n v="564"/>
    <n v="8.1612217522606154E-2"/>
    <n v="1078.2439200000001"/>
    <m/>
  </r>
  <r>
    <x v="4"/>
    <x v="143"/>
    <x v="1"/>
    <x v="375"/>
    <x v="3"/>
    <x v="4"/>
    <x v="4"/>
    <n v="1.9508160000000001"/>
    <n v="12035"/>
    <n v="12000"/>
    <n v="35"/>
    <n v="2.9166666666666668E-3"/>
    <n v="68.278559999999999"/>
    <m/>
  </r>
  <r>
    <x v="4"/>
    <x v="143"/>
    <x v="1"/>
    <x v="375"/>
    <x v="0"/>
    <x v="1"/>
    <x v="1"/>
    <n v="1.91178"/>
    <n v="5953.9"/>
    <n v="5451.9"/>
    <n v="502"/>
    <n v="9.2077991159045483E-2"/>
    <n v="959.71356000000003"/>
    <m/>
  </r>
  <r>
    <x v="4"/>
    <x v="144"/>
    <x v="2"/>
    <x v="376"/>
    <x v="0"/>
    <x v="1"/>
    <x v="1"/>
    <n v="1.91178"/>
    <n v="8941.23"/>
    <n v="8624.23"/>
    <n v="317"/>
    <n v="3.6756904674388323E-2"/>
    <n v="606.03426000000002"/>
    <m/>
  </r>
  <r>
    <x v="4"/>
    <x v="144"/>
    <x v="2"/>
    <x v="376"/>
    <x v="4"/>
    <x v="4"/>
    <x v="4"/>
    <n v="1.9508160000000001"/>
    <n v="2042"/>
    <n v="2000"/>
    <n v="42"/>
    <n v="2.1000000000000001E-2"/>
    <n v="81.934272000000007"/>
    <m/>
  </r>
  <r>
    <x v="4"/>
    <x v="144"/>
    <x v="0"/>
    <x v="377"/>
    <x v="0"/>
    <x v="1"/>
    <x v="1"/>
    <n v="1.91178"/>
    <n v="7504.65"/>
    <n v="6708.65"/>
    <n v="796"/>
    <n v="0.11865278409217951"/>
    <n v="1521.7768800000001"/>
    <m/>
  </r>
  <r>
    <x v="4"/>
    <x v="144"/>
    <x v="0"/>
    <x v="377"/>
    <x v="3"/>
    <x v="4"/>
    <x v="4"/>
    <n v="1.9508160000000001"/>
    <n v="6041"/>
    <n v="6000"/>
    <n v="41"/>
    <n v="6.8333333333333336E-3"/>
    <n v="79.983456000000004"/>
    <m/>
  </r>
  <r>
    <x v="4"/>
    <x v="144"/>
    <x v="0"/>
    <x v="377"/>
    <x v="4"/>
    <x v="4"/>
    <x v="4"/>
    <n v="1.9508160000000001"/>
    <n v="1031"/>
    <n v="1000"/>
    <n v="31"/>
    <n v="3.1E-2"/>
    <n v="60.475296"/>
    <m/>
  </r>
  <r>
    <x v="4"/>
    <x v="144"/>
    <x v="1"/>
    <x v="378"/>
    <x v="0"/>
    <x v="1"/>
    <x v="1"/>
    <n v="1.91178"/>
    <n v="10209.379999999999"/>
    <n v="9619.3799999999992"/>
    <n v="590"/>
    <n v="6.1334514282625291E-2"/>
    <n v="1127.9502"/>
    <m/>
  </r>
  <r>
    <x v="4"/>
    <x v="144"/>
    <x v="1"/>
    <x v="378"/>
    <x v="4"/>
    <x v="4"/>
    <x v="4"/>
    <n v="1.9508160000000001"/>
    <n v="3007"/>
    <n v="3000"/>
    <n v="7"/>
    <n v="2.3333333333333335E-3"/>
    <n v="13.655712000000001"/>
    <m/>
  </r>
  <r>
    <x v="4"/>
    <x v="145"/>
    <x v="2"/>
    <x v="379"/>
    <x v="0"/>
    <x v="1"/>
    <x v="1"/>
    <n v="1.91178"/>
    <n v="3202.6"/>
    <n v="2705.6"/>
    <n v="497"/>
    <n v="0.18369308101714962"/>
    <n v="950.15466000000004"/>
    <m/>
  </r>
  <r>
    <x v="4"/>
    <x v="145"/>
    <x v="0"/>
    <x v="380"/>
    <x v="3"/>
    <x v="4"/>
    <x v="4"/>
    <n v="1.9508160000000001"/>
    <n v="7014"/>
    <n v="7000"/>
    <n v="14"/>
    <n v="2E-3"/>
    <n v="27.311424000000002"/>
    <m/>
  </r>
  <r>
    <x v="4"/>
    <x v="145"/>
    <x v="0"/>
    <x v="380"/>
    <x v="0"/>
    <x v="1"/>
    <x v="1"/>
    <n v="1.91178"/>
    <n v="8180.83"/>
    <n v="7649.83"/>
    <n v="531"/>
    <n v="6.9413307223820664E-2"/>
    <n v="1015.15518"/>
    <m/>
  </r>
  <r>
    <x v="4"/>
    <x v="145"/>
    <x v="1"/>
    <x v="381"/>
    <x v="3"/>
    <x v="4"/>
    <x v="4"/>
    <n v="1.9508160000000001"/>
    <n v="9019"/>
    <n v="9000"/>
    <n v="19"/>
    <n v="2.1111111111111109E-3"/>
    <n v="37.065504000000004"/>
    <m/>
  </r>
  <r>
    <x v="4"/>
    <x v="145"/>
    <x v="1"/>
    <x v="381"/>
    <x v="0"/>
    <x v="1"/>
    <x v="1"/>
    <n v="1.91178"/>
    <n v="7573"/>
    <n v="6991"/>
    <n v="582"/>
    <n v="8.3249892719210419E-2"/>
    <n v="1112.6559600000001"/>
    <m/>
  </r>
  <r>
    <x v="4"/>
    <x v="146"/>
    <x v="2"/>
    <x v="382"/>
    <x v="1"/>
    <x v="4"/>
    <x v="4"/>
    <n v="1.9508160000000001"/>
    <n v="3070"/>
    <n v="3000"/>
    <n v="70"/>
    <n v="2.3333333333333334E-2"/>
    <n v="136.55712"/>
    <m/>
  </r>
  <r>
    <x v="4"/>
    <x v="146"/>
    <x v="2"/>
    <x v="382"/>
    <x v="0"/>
    <x v="1"/>
    <x v="1"/>
    <n v="1.91178"/>
    <n v="6641.03"/>
    <n v="6137.03"/>
    <n v="504"/>
    <n v="8.2124415230168349E-2"/>
    <n v="963.53712000000007"/>
    <m/>
  </r>
  <r>
    <x v="4"/>
    <x v="146"/>
    <x v="2"/>
    <x v="382"/>
    <x v="4"/>
    <x v="4"/>
    <x v="4"/>
    <n v="1.9508160000000001"/>
    <n v="1027"/>
    <n v="1000"/>
    <n v="27"/>
    <n v="2.7E-2"/>
    <n v="52.672032000000002"/>
    <m/>
  </r>
  <r>
    <x v="4"/>
    <x v="146"/>
    <x v="0"/>
    <x v="383"/>
    <x v="0"/>
    <x v="1"/>
    <x v="1"/>
    <n v="1.91178"/>
    <n v="9386.58"/>
    <n v="8906.58"/>
    <n v="480"/>
    <n v="5.3892739974266218E-2"/>
    <n v="917.65440000000001"/>
    <m/>
  </r>
  <r>
    <x v="4"/>
    <x v="146"/>
    <x v="0"/>
    <x v="383"/>
    <x v="1"/>
    <x v="4"/>
    <x v="4"/>
    <n v="1.9508160000000001"/>
    <n v="2016"/>
    <n v="2000"/>
    <n v="16"/>
    <n v="8.0000000000000002E-3"/>
    <n v="31.213056000000002"/>
    <m/>
  </r>
  <r>
    <x v="4"/>
    <x v="146"/>
    <x v="0"/>
    <x v="383"/>
    <x v="3"/>
    <x v="4"/>
    <x v="4"/>
    <n v="1.9508160000000001"/>
    <n v="8042"/>
    <n v="8000"/>
    <n v="42"/>
    <n v="5.2500000000000003E-3"/>
    <n v="81.934272000000007"/>
    <m/>
  </r>
  <r>
    <x v="4"/>
    <x v="146"/>
    <x v="0"/>
    <x v="383"/>
    <x v="4"/>
    <x v="4"/>
    <x v="4"/>
    <n v="1.9508160000000001"/>
    <n v="1004"/>
    <n v="1000"/>
    <n v="4"/>
    <n v="4.0000000000000001E-3"/>
    <n v="7.8032640000000004"/>
    <m/>
  </r>
  <r>
    <x v="4"/>
    <x v="146"/>
    <x v="0"/>
    <x v="383"/>
    <x v="5"/>
    <x v="5"/>
    <x v="5"/>
    <n v="0"/>
    <n v="25"/>
    <m/>
    <n v="25"/>
    <n v="1"/>
    <n v="0"/>
    <m/>
  </r>
  <r>
    <x v="4"/>
    <x v="146"/>
    <x v="1"/>
    <x v="384"/>
    <x v="0"/>
    <x v="1"/>
    <x v="1"/>
    <n v="1.91178"/>
    <n v="9914.18"/>
    <n v="9532.18"/>
    <n v="382"/>
    <n v="4.007477827737202E-2"/>
    <n v="730.29996000000006"/>
    <m/>
  </r>
  <r>
    <x v="4"/>
    <x v="147"/>
    <x v="2"/>
    <x v="385"/>
    <x v="0"/>
    <x v="1"/>
    <x v="1"/>
    <n v="1.91178"/>
    <n v="7751.4"/>
    <n v="7165.4"/>
    <n v="586"/>
    <n v="8.1781896335166221E-2"/>
    <n v="1120.3030799999999"/>
    <m/>
  </r>
  <r>
    <x v="4"/>
    <x v="147"/>
    <x v="0"/>
    <x v="386"/>
    <x v="6"/>
    <x v="5"/>
    <x v="5"/>
    <n v="0"/>
    <n v="400"/>
    <m/>
    <n v="400"/>
    <n v="1"/>
    <n v="0"/>
    <m/>
  </r>
  <r>
    <x v="4"/>
    <x v="147"/>
    <x v="0"/>
    <x v="386"/>
    <x v="5"/>
    <x v="5"/>
    <x v="5"/>
    <n v="0"/>
    <n v="30"/>
    <m/>
    <n v="30"/>
    <n v="1"/>
    <n v="0"/>
    <m/>
  </r>
  <r>
    <x v="4"/>
    <x v="147"/>
    <x v="0"/>
    <x v="386"/>
    <x v="6"/>
    <x v="5"/>
    <x v="5"/>
    <n v="0"/>
    <n v="1044"/>
    <m/>
    <n v="1044"/>
    <n v="1"/>
    <n v="0"/>
    <m/>
  </r>
  <r>
    <x v="4"/>
    <x v="148"/>
    <x v="1"/>
    <x v="387"/>
    <x v="3"/>
    <x v="7"/>
    <x v="7"/>
    <n v="1.5820799999999999"/>
    <n v="5038"/>
    <n v="5000"/>
    <n v="38"/>
    <n v="7.6E-3"/>
    <n v="60.119039999999998"/>
    <m/>
  </r>
  <r>
    <x v="4"/>
    <x v="148"/>
    <x v="0"/>
    <x v="388"/>
    <x v="3"/>
    <x v="7"/>
    <x v="7"/>
    <n v="1.5820799999999999"/>
    <n v="5168"/>
    <n v="5000"/>
    <n v="168"/>
    <n v="3.3599999999999998E-2"/>
    <n v="265.78944000000001"/>
    <m/>
  </r>
  <r>
    <x v="6"/>
    <x v="149"/>
    <x v="0"/>
    <x v="389"/>
    <x v="1"/>
    <x v="4"/>
    <x v="4"/>
    <n v="1.9508160000000001"/>
    <n v="5042"/>
    <n v="5000"/>
    <n v="42"/>
    <n v="8.3999999999999995E-3"/>
    <n v="81.934272000000007"/>
    <m/>
  </r>
  <r>
    <x v="6"/>
    <x v="149"/>
    <x v="0"/>
    <x v="389"/>
    <x v="3"/>
    <x v="7"/>
    <x v="7"/>
    <n v="1.5820799999999999"/>
    <n v="8036"/>
    <n v="8000"/>
    <n v="36"/>
    <n v="4.4999999999999997E-3"/>
    <n v="56.954879999999996"/>
    <m/>
  </r>
  <r>
    <x v="6"/>
    <x v="149"/>
    <x v="1"/>
    <x v="390"/>
    <x v="1"/>
    <x v="4"/>
    <x v="4"/>
    <n v="1.9508160000000001"/>
    <n v="5031"/>
    <n v="5000"/>
    <n v="31"/>
    <n v="6.1999999999999998E-3"/>
    <n v="60.475296"/>
    <m/>
  </r>
  <r>
    <x v="6"/>
    <x v="149"/>
    <x v="1"/>
    <x v="390"/>
    <x v="2"/>
    <x v="3"/>
    <x v="3"/>
    <n v="3.8943099999999999"/>
    <n v="3240"/>
    <n v="3200"/>
    <n v="40"/>
    <n v="1.2500000000000001E-2"/>
    <n v="155.7724"/>
    <m/>
  </r>
  <r>
    <x v="6"/>
    <x v="149"/>
    <x v="1"/>
    <x v="390"/>
    <x v="3"/>
    <x v="7"/>
    <x v="7"/>
    <n v="1.5820799999999999"/>
    <n v="8045"/>
    <n v="8000"/>
    <n v="45"/>
    <n v="5.6249999999999998E-3"/>
    <n v="71.193600000000004"/>
    <m/>
  </r>
  <r>
    <x v="6"/>
    <x v="149"/>
    <x v="1"/>
    <x v="390"/>
    <x v="5"/>
    <x v="5"/>
    <x v="5"/>
    <n v="0"/>
    <n v="38"/>
    <m/>
    <n v="38"/>
    <n v="1"/>
    <n v="0"/>
    <m/>
  </r>
  <r>
    <x v="6"/>
    <x v="150"/>
    <x v="2"/>
    <x v="391"/>
    <x v="0"/>
    <x v="1"/>
    <x v="1"/>
    <n v="1.91178"/>
    <n v="2580"/>
    <n v="2160"/>
    <n v="420"/>
    <n v="0.19444444444444445"/>
    <n v="802.94759999999997"/>
    <m/>
  </r>
  <r>
    <x v="6"/>
    <x v="150"/>
    <x v="2"/>
    <x v="391"/>
    <x v="2"/>
    <x v="3"/>
    <x v="3"/>
    <n v="3.8943099999999999"/>
    <n v="3274"/>
    <n v="3200"/>
    <n v="74"/>
    <n v="2.3125E-2"/>
    <n v="288.17894000000001"/>
    <m/>
  </r>
  <r>
    <x v="6"/>
    <x v="150"/>
    <x v="2"/>
    <x v="391"/>
    <x v="5"/>
    <x v="5"/>
    <x v="5"/>
    <n v="0"/>
    <n v="127"/>
    <m/>
    <n v="127"/>
    <n v="1"/>
    <n v="0"/>
    <m/>
  </r>
  <r>
    <x v="6"/>
    <x v="150"/>
    <x v="0"/>
    <x v="392"/>
    <x v="0"/>
    <x v="1"/>
    <x v="1"/>
    <n v="1.91178"/>
    <n v="900"/>
    <n v="720"/>
    <n v="180"/>
    <n v="0.25"/>
    <n v="344.12040000000002"/>
    <m/>
  </r>
  <r>
    <x v="6"/>
    <x v="150"/>
    <x v="0"/>
    <x v="392"/>
    <x v="0"/>
    <x v="1"/>
    <x v="1"/>
    <n v="1.91178"/>
    <n v="74"/>
    <n v="0"/>
    <n v="74"/>
    <n v="1"/>
    <n v="141.47172"/>
    <m/>
  </r>
  <r>
    <x v="6"/>
    <x v="150"/>
    <x v="0"/>
    <x v="392"/>
    <x v="3"/>
    <x v="7"/>
    <x v="7"/>
    <n v="1.5820799999999999"/>
    <n v="8009"/>
    <n v="8000"/>
    <n v="9"/>
    <n v="1.1249999999999999E-3"/>
    <n v="14.238719999999999"/>
    <m/>
  </r>
  <r>
    <x v="6"/>
    <x v="150"/>
    <x v="0"/>
    <x v="392"/>
    <x v="5"/>
    <x v="5"/>
    <x v="5"/>
    <n v="0"/>
    <n v="2"/>
    <m/>
    <n v="2"/>
    <n v="1"/>
    <n v="0"/>
    <m/>
  </r>
  <r>
    <x v="6"/>
    <x v="150"/>
    <x v="1"/>
    <x v="393"/>
    <x v="0"/>
    <x v="1"/>
    <x v="1"/>
    <n v="1.91178"/>
    <n v="280"/>
    <n v="0"/>
    <n v="280"/>
    <n v="1"/>
    <n v="535.29840000000002"/>
    <m/>
  </r>
  <r>
    <x v="6"/>
    <x v="150"/>
    <x v="1"/>
    <x v="393"/>
    <x v="0"/>
    <x v="1"/>
    <x v="1"/>
    <n v="1.91178"/>
    <n v="44"/>
    <n v="0"/>
    <n v="44"/>
    <n v="1"/>
    <n v="84.118319999999997"/>
    <m/>
  </r>
  <r>
    <x v="6"/>
    <x v="150"/>
    <x v="1"/>
    <x v="393"/>
    <x v="2"/>
    <x v="3"/>
    <x v="3"/>
    <n v="3.8943099999999999"/>
    <n v="6462"/>
    <n v="6400"/>
    <n v="62"/>
    <n v="9.6874999999999999E-3"/>
    <n v="241.44721999999999"/>
    <m/>
  </r>
  <r>
    <x v="6"/>
    <x v="151"/>
    <x v="2"/>
    <x v="394"/>
    <x v="0"/>
    <x v="13"/>
    <x v="14"/>
    <n v="0"/>
    <n v="1655"/>
    <n v="1440"/>
    <n v="215"/>
    <n v="0.14930555555555555"/>
    <n v="0"/>
    <m/>
  </r>
  <r>
    <x v="6"/>
    <x v="151"/>
    <x v="2"/>
    <x v="394"/>
    <x v="1"/>
    <x v="4"/>
    <x v="4"/>
    <n v="1.9508160000000001"/>
    <n v="30"/>
    <n v="0"/>
    <n v="30"/>
    <n v="1"/>
    <n v="58.524480000000004"/>
    <m/>
  </r>
  <r>
    <x v="6"/>
    <x v="151"/>
    <x v="2"/>
    <x v="394"/>
    <x v="2"/>
    <x v="3"/>
    <x v="3"/>
    <n v="3.8943099999999999"/>
    <n v="7357"/>
    <n v="7200"/>
    <n v="157"/>
    <n v="2.1805555555555557E-2"/>
    <n v="611.40666999999996"/>
    <m/>
  </r>
  <r>
    <x v="6"/>
    <x v="151"/>
    <x v="2"/>
    <x v="394"/>
    <x v="5"/>
    <x v="5"/>
    <x v="5"/>
    <n v="0"/>
    <n v="20"/>
    <m/>
    <n v="20"/>
    <n v="1"/>
    <n v="0"/>
    <m/>
  </r>
  <r>
    <x v="6"/>
    <x v="151"/>
    <x v="0"/>
    <x v="395"/>
    <x v="0"/>
    <x v="13"/>
    <x v="14"/>
    <n v="0"/>
    <n v="4869.8"/>
    <n v="4276.8"/>
    <n v="593"/>
    <n v="0.13865506921062476"/>
    <n v="0"/>
    <m/>
  </r>
  <r>
    <x v="6"/>
    <x v="151"/>
    <x v="0"/>
    <x v="395"/>
    <x v="2"/>
    <x v="3"/>
    <x v="3"/>
    <n v="3.8943099999999999"/>
    <n v="8157"/>
    <n v="8000"/>
    <n v="157"/>
    <n v="1.9625E-2"/>
    <n v="611.40666999999996"/>
    <m/>
  </r>
  <r>
    <x v="6"/>
    <x v="151"/>
    <x v="0"/>
    <x v="395"/>
    <x v="4"/>
    <x v="4"/>
    <x v="4"/>
    <n v="1.9508160000000001"/>
    <n v="1004"/>
    <n v="1000"/>
    <n v="4"/>
    <n v="4.0000000000000001E-3"/>
    <n v="7.8032640000000004"/>
    <m/>
  </r>
  <r>
    <x v="6"/>
    <x v="151"/>
    <x v="1"/>
    <x v="396"/>
    <x v="0"/>
    <x v="13"/>
    <x v="14"/>
    <n v="0"/>
    <n v="3181.2"/>
    <n v="2851.2"/>
    <n v="330"/>
    <n v="0.11574074074074074"/>
    <n v="0"/>
    <m/>
  </r>
  <r>
    <x v="6"/>
    <x v="151"/>
    <x v="1"/>
    <x v="396"/>
    <x v="1"/>
    <x v="4"/>
    <x v="4"/>
    <n v="1.9508160000000001"/>
    <n v="2014"/>
    <n v="2000"/>
    <n v="14"/>
    <n v="7.0000000000000001E-3"/>
    <n v="27.311424000000002"/>
    <m/>
  </r>
  <r>
    <x v="6"/>
    <x v="151"/>
    <x v="1"/>
    <x v="396"/>
    <x v="2"/>
    <x v="3"/>
    <x v="3"/>
    <n v="3.8943099999999999"/>
    <n v="7230"/>
    <n v="7200"/>
    <n v="30"/>
    <n v="4.1666666666666666E-3"/>
    <n v="116.8293"/>
    <m/>
  </r>
  <r>
    <x v="6"/>
    <x v="152"/>
    <x v="2"/>
    <x v="397"/>
    <x v="0"/>
    <x v="13"/>
    <x v="14"/>
    <n v="0"/>
    <n v="685"/>
    <n v="0"/>
    <n v="685"/>
    <n v="1"/>
    <n v="0"/>
    <m/>
  </r>
  <r>
    <x v="6"/>
    <x v="152"/>
    <x v="2"/>
    <x v="397"/>
    <x v="5"/>
    <x v="5"/>
    <x v="5"/>
    <n v="0"/>
    <n v="5"/>
    <m/>
    <n v="5"/>
    <n v="1"/>
    <n v="0"/>
    <m/>
  </r>
  <r>
    <x v="6"/>
    <x v="152"/>
    <x v="0"/>
    <x v="398"/>
    <x v="2"/>
    <x v="3"/>
    <x v="3"/>
    <n v="3.8943099999999999"/>
    <n v="7301"/>
    <n v="7200"/>
    <n v="101"/>
    <n v="1.4027777777777778E-2"/>
    <n v="393.32531"/>
    <m/>
  </r>
  <r>
    <x v="6"/>
    <x v="152"/>
    <x v="1"/>
    <x v="399"/>
    <x v="2"/>
    <x v="3"/>
    <x v="3"/>
    <n v="3.8943099999999999"/>
    <n v="6483"/>
    <n v="6400"/>
    <n v="83"/>
    <n v="1.2968749999999999E-2"/>
    <n v="323.22773000000001"/>
    <m/>
  </r>
  <r>
    <x v="6"/>
    <x v="153"/>
    <x v="2"/>
    <x v="400"/>
    <x v="0"/>
    <x v="1"/>
    <x v="1"/>
    <n v="1.91178"/>
    <n v="279"/>
    <n v="0"/>
    <n v="279"/>
    <n v="1"/>
    <n v="533.38661999999999"/>
    <m/>
  </r>
  <r>
    <x v="6"/>
    <x v="153"/>
    <x v="0"/>
    <x v="401"/>
    <x v="0"/>
    <x v="1"/>
    <x v="1"/>
    <n v="1.91178"/>
    <n v="1581.6"/>
    <n v="1425.6"/>
    <n v="156"/>
    <n v="0.10942760942760943"/>
    <n v="298.23768000000001"/>
    <m/>
  </r>
  <r>
    <x v="6"/>
    <x v="153"/>
    <x v="1"/>
    <x v="402"/>
    <x v="0"/>
    <x v="1"/>
    <x v="1"/>
    <n v="1.91178"/>
    <n v="1338"/>
    <n v="1069"/>
    <n v="269"/>
    <n v="0.25163704396632369"/>
    <n v="514.26882000000001"/>
    <m/>
  </r>
  <r>
    <x v="6"/>
    <x v="153"/>
    <x v="1"/>
    <x v="402"/>
    <x v="0"/>
    <x v="1"/>
    <x v="1"/>
    <n v="1.91178"/>
    <n v="1113"/>
    <n v="1069"/>
    <n v="44"/>
    <n v="4.11599625818522E-2"/>
    <n v="84.118319999999997"/>
    <m/>
  </r>
  <r>
    <x v="6"/>
    <x v="153"/>
    <x v="1"/>
    <x v="402"/>
    <x v="3"/>
    <x v="14"/>
    <x v="15"/>
    <n v="0"/>
    <n v="3014"/>
    <n v="3000"/>
    <n v="14"/>
    <n v="4.6666666666666671E-3"/>
    <n v="0"/>
    <m/>
  </r>
  <r>
    <x v="6"/>
    <x v="154"/>
    <x v="2"/>
    <x v="403"/>
    <x v="1"/>
    <x v="4"/>
    <x v="4"/>
    <n v="1.9508160000000001"/>
    <n v="6027"/>
    <n v="6000"/>
    <n v="27"/>
    <n v="4.4999999999999997E-3"/>
    <n v="52.672032000000002"/>
    <m/>
  </r>
  <r>
    <x v="6"/>
    <x v="154"/>
    <x v="0"/>
    <x v="404"/>
    <x v="1"/>
    <x v="4"/>
    <x v="4"/>
    <n v="1.9508160000000001"/>
    <n v="1556"/>
    <n v="1500"/>
    <n v="56"/>
    <n v="3.7333333333333336E-2"/>
    <n v="109.24569600000001"/>
    <m/>
  </r>
  <r>
    <x v="6"/>
    <x v="154"/>
    <x v="0"/>
    <x v="404"/>
    <x v="1"/>
    <x v="4"/>
    <x v="4"/>
    <n v="1.9508160000000001"/>
    <n v="1530"/>
    <n v="1500"/>
    <n v="30"/>
    <n v="0.02"/>
    <n v="58.524480000000004"/>
    <m/>
  </r>
  <r>
    <x v="6"/>
    <x v="154"/>
    <x v="0"/>
    <x v="404"/>
    <x v="3"/>
    <x v="14"/>
    <x v="15"/>
    <n v="0"/>
    <n v="10010"/>
    <n v="10000"/>
    <n v="10"/>
    <n v="1E-3"/>
    <n v="0"/>
    <m/>
  </r>
  <r>
    <x v="6"/>
    <x v="154"/>
    <x v="1"/>
    <x v="405"/>
    <x v="1"/>
    <x v="4"/>
    <x v="4"/>
    <n v="1.9508160000000001"/>
    <n v="3052"/>
    <n v="3000"/>
    <n v="52"/>
    <n v="1.7333333333333333E-2"/>
    <n v="101.44243200000001"/>
    <m/>
  </r>
  <r>
    <x v="6"/>
    <x v="154"/>
    <x v="1"/>
    <x v="405"/>
    <x v="3"/>
    <x v="14"/>
    <x v="15"/>
    <n v="0"/>
    <n v="9020"/>
    <n v="9000"/>
    <n v="20"/>
    <n v="2.2222222222222222E-3"/>
    <n v="0"/>
    <m/>
  </r>
  <r>
    <x v="6"/>
    <x v="154"/>
    <x v="1"/>
    <x v="405"/>
    <x v="4"/>
    <x v="4"/>
    <x v="4"/>
    <n v="1.9508160000000001"/>
    <n v="3009"/>
    <n v="3000"/>
    <n v="9"/>
    <n v="3.0000000000000001E-3"/>
    <n v="17.557344000000001"/>
    <m/>
  </r>
  <r>
    <x v="6"/>
    <x v="155"/>
    <x v="2"/>
    <x v="406"/>
    <x v="4"/>
    <x v="5"/>
    <x v="5"/>
    <n v="0"/>
    <n v="7"/>
    <m/>
    <n v="7"/>
    <n v="1"/>
    <n v="0"/>
    <m/>
  </r>
  <r>
    <x v="6"/>
    <x v="155"/>
    <x v="0"/>
    <x v="407"/>
    <x v="1"/>
    <x v="4"/>
    <x v="4"/>
    <n v="1.9508160000000001"/>
    <n v="5067"/>
    <n v="5000"/>
    <n v="67"/>
    <n v="1.34E-2"/>
    <n v="130.70467200000002"/>
    <m/>
  </r>
  <r>
    <x v="6"/>
    <x v="155"/>
    <x v="1"/>
    <x v="408"/>
    <x v="1"/>
    <x v="4"/>
    <x v="4"/>
    <n v="1.9508160000000001"/>
    <n v="1007"/>
    <n v="1000"/>
    <n v="7"/>
    <n v="7.0000000000000001E-3"/>
    <n v="13.655712000000001"/>
    <m/>
  </r>
  <r>
    <x v="6"/>
    <x v="156"/>
    <x v="2"/>
    <x v="409"/>
    <x v="0"/>
    <x v="1"/>
    <x v="1"/>
    <n v="1.91178"/>
    <n v="3147.2"/>
    <n v="2851.2"/>
    <n v="296"/>
    <n v="0.1038159371492705"/>
    <n v="565.88688000000002"/>
    <m/>
  </r>
  <r>
    <x v="6"/>
    <x v="156"/>
    <x v="2"/>
    <x v="409"/>
    <x v="1"/>
    <x v="4"/>
    <x v="4"/>
    <n v="1.9508160000000001"/>
    <n v="2010"/>
    <n v="2000"/>
    <n v="10"/>
    <n v="5.0000000000000001E-3"/>
    <n v="19.50816"/>
    <m/>
  </r>
  <r>
    <x v="6"/>
    <x v="156"/>
    <x v="2"/>
    <x v="409"/>
    <x v="2"/>
    <x v="3"/>
    <x v="3"/>
    <n v="3.8943099999999999"/>
    <n v="940"/>
    <n v="800"/>
    <n v="140"/>
    <n v="0.17499999999999999"/>
    <n v="545.20339999999999"/>
    <m/>
  </r>
  <r>
    <x v="6"/>
    <x v="156"/>
    <x v="0"/>
    <x v="410"/>
    <x v="0"/>
    <x v="1"/>
    <x v="1"/>
    <n v="1.91178"/>
    <n v="7037"/>
    <n v="6372"/>
    <n v="665"/>
    <n v="0.10436283741368488"/>
    <n v="1271.3337000000001"/>
    <m/>
  </r>
  <r>
    <x v="6"/>
    <x v="156"/>
    <x v="0"/>
    <x v="410"/>
    <x v="1"/>
    <x v="4"/>
    <x v="4"/>
    <n v="1.9508160000000001"/>
    <n v="61"/>
    <n v="0"/>
    <n v="61"/>
    <n v="1"/>
    <n v="118.99977600000001"/>
    <m/>
  </r>
  <r>
    <x v="6"/>
    <x v="156"/>
    <x v="0"/>
    <x v="410"/>
    <x v="2"/>
    <x v="3"/>
    <x v="3"/>
    <n v="3.8943099999999999"/>
    <n v="4888"/>
    <n v="4800"/>
    <n v="88"/>
    <n v="1.8333333333333333E-2"/>
    <n v="342.69927999999999"/>
    <m/>
  </r>
  <r>
    <x v="6"/>
    <x v="156"/>
    <x v="0"/>
    <x v="410"/>
    <x v="3"/>
    <x v="14"/>
    <x v="15"/>
    <n v="0"/>
    <n v="4907"/>
    <n v="4900"/>
    <n v="7"/>
    <n v="1.4285714285714286E-3"/>
    <n v="0"/>
    <m/>
  </r>
  <r>
    <x v="6"/>
    <x v="156"/>
    <x v="0"/>
    <x v="410"/>
    <x v="3"/>
    <x v="14"/>
    <x v="15"/>
    <n v="0"/>
    <n v="123"/>
    <n v="100"/>
    <n v="23"/>
    <n v="0.23"/>
    <n v="0"/>
    <m/>
  </r>
  <r>
    <x v="6"/>
    <x v="156"/>
    <x v="0"/>
    <x v="410"/>
    <x v="5"/>
    <x v="5"/>
    <x v="5"/>
    <n v="0"/>
    <n v="20"/>
    <m/>
    <n v="20"/>
    <n v="1"/>
    <n v="0"/>
    <m/>
  </r>
  <r>
    <x v="6"/>
    <x v="156"/>
    <x v="1"/>
    <x v="411"/>
    <x v="0"/>
    <x v="1"/>
    <x v="1"/>
    <n v="1.91178"/>
    <n v="6299.8"/>
    <n v="6004.8"/>
    <n v="295"/>
    <n v="4.9127364774846791E-2"/>
    <n v="563.9751"/>
    <m/>
  </r>
  <r>
    <x v="6"/>
    <x v="156"/>
    <x v="1"/>
    <x v="411"/>
    <x v="1"/>
    <x v="4"/>
    <x v="4"/>
    <n v="1.9508160000000001"/>
    <n v="5111"/>
    <n v="5000"/>
    <n v="111"/>
    <n v="2.2200000000000001E-2"/>
    <n v="216.54057600000002"/>
    <m/>
  </r>
  <r>
    <x v="6"/>
    <x v="156"/>
    <x v="1"/>
    <x v="411"/>
    <x v="2"/>
    <x v="3"/>
    <x v="3"/>
    <n v="3.8943099999999999"/>
    <n v="4863"/>
    <n v="4800"/>
    <n v="63"/>
    <n v="1.3125E-2"/>
    <n v="245.34153000000001"/>
    <m/>
  </r>
  <r>
    <x v="6"/>
    <x v="156"/>
    <x v="1"/>
    <x v="411"/>
    <x v="5"/>
    <x v="5"/>
    <x v="5"/>
    <n v="0"/>
    <n v="4"/>
    <m/>
    <n v="4"/>
    <n v="1"/>
    <n v="0"/>
    <m/>
  </r>
  <r>
    <x v="6"/>
    <x v="157"/>
    <x v="2"/>
    <x v="412"/>
    <x v="0"/>
    <x v="1"/>
    <x v="1"/>
    <n v="1.91178"/>
    <n v="9387.4"/>
    <n v="8834.4"/>
    <n v="553"/>
    <n v="6.2596214796703797E-2"/>
    <n v="1057.21434"/>
    <m/>
  </r>
  <r>
    <x v="6"/>
    <x v="157"/>
    <x v="2"/>
    <x v="412"/>
    <x v="1"/>
    <x v="4"/>
    <x v="4"/>
    <n v="1.9508160000000001"/>
    <n v="19"/>
    <n v="0"/>
    <n v="19"/>
    <n v="1"/>
    <n v="37.065504000000004"/>
    <m/>
  </r>
  <r>
    <x v="6"/>
    <x v="157"/>
    <x v="0"/>
    <x v="413"/>
    <x v="0"/>
    <x v="1"/>
    <x v="1"/>
    <n v="1.91178"/>
    <n v="7007.8"/>
    <n v="6328.8"/>
    <n v="679"/>
    <n v="0.10728732145114397"/>
    <n v="1298.09862"/>
    <m/>
  </r>
  <r>
    <x v="6"/>
    <x v="157"/>
    <x v="0"/>
    <x v="413"/>
    <x v="4"/>
    <x v="4"/>
    <x v="4"/>
    <n v="1.9508160000000001"/>
    <n v="1006"/>
    <n v="1000"/>
    <n v="6"/>
    <n v="6.0000000000000001E-3"/>
    <n v="11.704896000000002"/>
    <m/>
  </r>
  <r>
    <x v="6"/>
    <x v="157"/>
    <x v="0"/>
    <x v="413"/>
    <x v="5"/>
    <x v="5"/>
    <x v="5"/>
    <n v="0"/>
    <n v="60"/>
    <m/>
    <n v="60"/>
    <n v="1"/>
    <n v="0"/>
    <m/>
  </r>
  <r>
    <x v="6"/>
    <x v="157"/>
    <x v="1"/>
    <x v="414"/>
    <x v="0"/>
    <x v="1"/>
    <x v="1"/>
    <n v="1.91178"/>
    <n v="5055.6000000000004"/>
    <n v="4557.6000000000004"/>
    <n v="498"/>
    <n v="0.10926803580832016"/>
    <n v="952.06644000000006"/>
    <m/>
  </r>
  <r>
    <x v="6"/>
    <x v="157"/>
    <x v="1"/>
    <x v="414"/>
    <x v="1"/>
    <x v="4"/>
    <x v="4"/>
    <n v="1.9508160000000001"/>
    <n v="1135"/>
    <n v="1000"/>
    <n v="135"/>
    <n v="0.13500000000000001"/>
    <n v="263.36016000000001"/>
    <m/>
  </r>
  <r>
    <x v="6"/>
    <x v="158"/>
    <x v="2"/>
    <x v="415"/>
    <x v="0"/>
    <x v="1"/>
    <x v="1"/>
    <n v="1.91178"/>
    <n v="4516.6000000000004"/>
    <n v="4233.6000000000004"/>
    <n v="283"/>
    <n v="6.6846182917611477E-2"/>
    <n v="541.03373999999997"/>
    <m/>
  </r>
  <r>
    <x v="6"/>
    <x v="158"/>
    <x v="2"/>
    <x v="415"/>
    <x v="2"/>
    <x v="3"/>
    <x v="3"/>
    <n v="3.8943099999999999"/>
    <n v="5615"/>
    <n v="5600"/>
    <n v="15"/>
    <n v="2.6785714285714286E-3"/>
    <n v="58.414650000000002"/>
    <m/>
  </r>
  <r>
    <x v="6"/>
    <x v="158"/>
    <x v="0"/>
    <x v="416"/>
    <x v="0"/>
    <x v="1"/>
    <x v="1"/>
    <n v="1.91178"/>
    <n v="8302.4"/>
    <n v="7754.4"/>
    <n v="548"/>
    <n v="7.0669555349221092E-2"/>
    <n v="1047.65544"/>
    <m/>
  </r>
  <r>
    <x v="6"/>
    <x v="158"/>
    <x v="0"/>
    <x v="416"/>
    <x v="2"/>
    <x v="3"/>
    <x v="3"/>
    <n v="3.8943099999999999"/>
    <n v="4133"/>
    <n v="4000"/>
    <n v="133"/>
    <n v="3.3250000000000002E-2"/>
    <n v="517.94322999999997"/>
    <m/>
  </r>
  <r>
    <x v="6"/>
    <x v="158"/>
    <x v="0"/>
    <x v="416"/>
    <x v="3"/>
    <x v="14"/>
    <x v="15"/>
    <n v="0"/>
    <n v="9014"/>
    <n v="9000"/>
    <n v="14"/>
    <n v="1.5555555555555555E-3"/>
    <n v="0"/>
    <m/>
  </r>
  <r>
    <x v="6"/>
    <x v="158"/>
    <x v="1"/>
    <x v="417"/>
    <x v="0"/>
    <x v="1"/>
    <x v="1"/>
    <n v="1.91178"/>
    <n v="5661.4"/>
    <n v="4946.3999999999996"/>
    <n v="715"/>
    <n v="0.14454957140546662"/>
    <n v="1366.9227000000001"/>
    <m/>
  </r>
  <r>
    <x v="6"/>
    <x v="158"/>
    <x v="1"/>
    <x v="417"/>
    <x v="1"/>
    <x v="4"/>
    <x v="4"/>
    <n v="1.9508160000000001"/>
    <n v="2019"/>
    <n v="2000"/>
    <n v="19"/>
    <n v="9.4999999999999998E-3"/>
    <n v="37.065504000000004"/>
    <m/>
  </r>
  <r>
    <x v="6"/>
    <x v="158"/>
    <x v="1"/>
    <x v="417"/>
    <x v="2"/>
    <x v="3"/>
    <x v="3"/>
    <n v="3.8943099999999999"/>
    <n v="4080"/>
    <n v="4000"/>
    <n v="80"/>
    <n v="0.02"/>
    <n v="311.54480000000001"/>
    <m/>
  </r>
  <r>
    <x v="6"/>
    <x v="158"/>
    <x v="1"/>
    <x v="417"/>
    <x v="3"/>
    <x v="14"/>
    <x v="15"/>
    <n v="0"/>
    <n v="9036"/>
    <n v="9000"/>
    <n v="36"/>
    <n v="4.0000000000000001E-3"/>
    <n v="0"/>
    <m/>
  </r>
  <r>
    <x v="6"/>
    <x v="159"/>
    <x v="2"/>
    <x v="418"/>
    <x v="0"/>
    <x v="1"/>
    <x v="1"/>
    <n v="1.91178"/>
    <n v="7378.6"/>
    <n v="6970.6"/>
    <n v="408"/>
    <n v="5.8531546782199517E-2"/>
    <n v="780.00624000000005"/>
    <m/>
  </r>
  <r>
    <x v="6"/>
    <x v="159"/>
    <x v="2"/>
    <x v="418"/>
    <x v="2"/>
    <x v="3"/>
    <x v="3"/>
    <n v="3.8943099999999999"/>
    <n v="4170"/>
    <n v="4000"/>
    <n v="170"/>
    <n v="4.2500000000000003E-2"/>
    <n v="662.03269999999998"/>
    <m/>
  </r>
  <r>
    <x v="6"/>
    <x v="159"/>
    <x v="0"/>
    <x v="419"/>
    <x v="0"/>
    <x v="1"/>
    <x v="1"/>
    <n v="1.91178"/>
    <n v="6747.2"/>
    <n v="6415.2"/>
    <n v="332"/>
    <n v="5.1752088789125829E-2"/>
    <n v="634.71096"/>
    <m/>
  </r>
  <r>
    <x v="6"/>
    <x v="159"/>
    <x v="0"/>
    <x v="419"/>
    <x v="2"/>
    <x v="3"/>
    <x v="3"/>
    <n v="3.8943099999999999"/>
    <n v="4980"/>
    <n v="4800"/>
    <n v="180"/>
    <n v="3.7499999999999999E-2"/>
    <n v="700.97579999999994"/>
    <m/>
  </r>
  <r>
    <x v="6"/>
    <x v="159"/>
    <x v="0"/>
    <x v="419"/>
    <x v="3"/>
    <x v="14"/>
    <x v="15"/>
    <n v="0"/>
    <n v="9014"/>
    <n v="9000"/>
    <n v="14"/>
    <n v="1.5555555555555555E-3"/>
    <n v="0"/>
    <m/>
  </r>
  <r>
    <x v="6"/>
    <x v="159"/>
    <x v="1"/>
    <x v="420"/>
    <x v="0"/>
    <x v="1"/>
    <x v="1"/>
    <n v="1.91178"/>
    <n v="10444.799999999999"/>
    <n v="9809.7999999999993"/>
    <n v="635"/>
    <n v="6.473118718016678E-2"/>
    <n v="1213.9802999999999"/>
    <m/>
  </r>
  <r>
    <x v="6"/>
    <x v="159"/>
    <x v="1"/>
    <x v="420"/>
    <x v="1"/>
    <x v="4"/>
    <x v="4"/>
    <n v="1.9508160000000001"/>
    <n v="2067"/>
    <n v="2000"/>
    <n v="67"/>
    <n v="3.3500000000000002E-2"/>
    <n v="130.70467200000002"/>
    <m/>
  </r>
  <r>
    <x v="6"/>
    <x v="159"/>
    <x v="1"/>
    <x v="420"/>
    <x v="2"/>
    <x v="3"/>
    <x v="3"/>
    <n v="3.8943099999999999"/>
    <n v="6610"/>
    <n v="6400"/>
    <n v="210"/>
    <n v="3.2812500000000001E-2"/>
    <n v="817.80510000000004"/>
    <m/>
  </r>
  <r>
    <x v="6"/>
    <x v="159"/>
    <x v="1"/>
    <x v="420"/>
    <x v="3"/>
    <x v="14"/>
    <x v="15"/>
    <n v="0"/>
    <n v="9019"/>
    <n v="9000"/>
    <n v="19"/>
    <n v="2.1111111111111109E-3"/>
    <n v="0"/>
    <m/>
  </r>
  <r>
    <x v="6"/>
    <x v="160"/>
    <x v="2"/>
    <x v="421"/>
    <x v="0"/>
    <x v="1"/>
    <x v="1"/>
    <n v="1.91178"/>
    <n v="10746"/>
    <n v="10469"/>
    <n v="277"/>
    <n v="2.6459069634157992E-2"/>
    <n v="529.56306000000006"/>
    <m/>
  </r>
  <r>
    <x v="6"/>
    <x v="160"/>
    <x v="2"/>
    <x v="421"/>
    <x v="2"/>
    <x v="3"/>
    <x v="3"/>
    <n v="3.8943099999999999"/>
    <n v="9839.7999999999993"/>
    <n v="9809.7999999999993"/>
    <n v="30"/>
    <n v="3.0581663234724461E-3"/>
    <n v="116.8293"/>
    <m/>
  </r>
  <r>
    <x v="6"/>
    <x v="160"/>
    <x v="2"/>
    <x v="421"/>
    <x v="5"/>
    <x v="5"/>
    <x v="5"/>
    <n v="0"/>
    <n v="30"/>
    <m/>
    <n v="30"/>
    <n v="1"/>
    <n v="0"/>
    <m/>
  </r>
  <r>
    <x v="6"/>
    <x v="160"/>
    <x v="0"/>
    <x v="422"/>
    <x v="0"/>
    <x v="1"/>
    <x v="1"/>
    <n v="1.91178"/>
    <n v="10785.6"/>
    <n v="10252.6"/>
    <n v="533"/>
    <n v="5.1986813101067043E-2"/>
    <n v="1018.97874"/>
    <m/>
  </r>
  <r>
    <x v="6"/>
    <x v="160"/>
    <x v="0"/>
    <x v="422"/>
    <x v="3"/>
    <x v="14"/>
    <x v="15"/>
    <n v="0"/>
    <n v="10027"/>
    <n v="10000"/>
    <n v="27"/>
    <n v="2.7000000000000001E-3"/>
    <n v="0"/>
    <m/>
  </r>
  <r>
    <x v="6"/>
    <x v="160"/>
    <x v="0"/>
    <x v="422"/>
    <x v="4"/>
    <x v="4"/>
    <x v="4"/>
    <n v="1.9508160000000001"/>
    <n v="540"/>
    <n v="525"/>
    <n v="15"/>
    <n v="2.8571428571428571E-2"/>
    <n v="29.262240000000002"/>
    <m/>
  </r>
  <r>
    <x v="6"/>
    <x v="160"/>
    <x v="0"/>
    <x v="422"/>
    <x v="5"/>
    <x v="5"/>
    <x v="5"/>
    <n v="0"/>
    <n v="17"/>
    <m/>
    <n v="17"/>
    <n v="1"/>
    <n v="0"/>
    <m/>
  </r>
  <r>
    <x v="6"/>
    <x v="160"/>
    <x v="1"/>
    <x v="423"/>
    <x v="0"/>
    <x v="1"/>
    <x v="1"/>
    <n v="1.91178"/>
    <n v="6429.4"/>
    <n v="5702.4"/>
    <n v="727"/>
    <n v="0.12749017957351291"/>
    <n v="1389.8640600000001"/>
    <m/>
  </r>
  <r>
    <x v="6"/>
    <x v="160"/>
    <x v="1"/>
    <x v="423"/>
    <x v="5"/>
    <x v="5"/>
    <x v="5"/>
    <n v="0"/>
    <n v="103"/>
    <m/>
    <n v="103"/>
    <n v="1"/>
    <n v="0"/>
    <m/>
  </r>
  <r>
    <x v="6"/>
    <x v="161"/>
    <x v="0"/>
    <x v="424"/>
    <x v="2"/>
    <x v="3"/>
    <x v="3"/>
    <n v="3.8943099999999999"/>
    <n v="8987"/>
    <n v="8800"/>
    <n v="187"/>
    <n v="2.1250000000000002E-2"/>
    <n v="728.23596999999995"/>
    <m/>
  </r>
  <r>
    <x v="6"/>
    <x v="161"/>
    <x v="0"/>
    <x v="424"/>
    <x v="3"/>
    <x v="14"/>
    <x v="15"/>
    <n v="0"/>
    <n v="8010"/>
    <n v="8000"/>
    <n v="10"/>
    <n v="1.25E-3"/>
    <n v="0"/>
    <m/>
  </r>
  <r>
    <x v="6"/>
    <x v="161"/>
    <x v="0"/>
    <x v="424"/>
    <x v="4"/>
    <x v="4"/>
    <x v="4"/>
    <n v="1.9508160000000001"/>
    <n v="3025"/>
    <n v="3000"/>
    <n v="25"/>
    <n v="8.3333333333333332E-3"/>
    <n v="48.770400000000002"/>
    <m/>
  </r>
  <r>
    <x v="6"/>
    <x v="161"/>
    <x v="1"/>
    <x v="425"/>
    <x v="0"/>
    <x v="2"/>
    <x v="2"/>
    <n v="2.08013"/>
    <n v="8746"/>
    <n v="8640"/>
    <n v="106"/>
    <n v="1.2268518518518519E-2"/>
    <n v="220.49378000000002"/>
    <m/>
  </r>
  <r>
    <x v="6"/>
    <x v="161"/>
    <x v="1"/>
    <x v="425"/>
    <x v="2"/>
    <x v="3"/>
    <x v="3"/>
    <n v="3.8943099999999999"/>
    <n v="10514"/>
    <n v="10400"/>
    <n v="114"/>
    <n v="1.0961538461538462E-2"/>
    <n v="443.95134000000002"/>
    <m/>
  </r>
  <r>
    <x v="6"/>
    <x v="162"/>
    <x v="0"/>
    <x v="426"/>
    <x v="0"/>
    <x v="2"/>
    <x v="2"/>
    <n v="2.08013"/>
    <n v="8988"/>
    <n v="8640"/>
    <n v="348"/>
    <n v="4.027777777777778E-2"/>
    <n v="723.88524000000007"/>
    <m/>
  </r>
  <r>
    <x v="6"/>
    <x v="162"/>
    <x v="1"/>
    <x v="427"/>
    <x v="2"/>
    <x v="3"/>
    <x v="3"/>
    <n v="3.8943099999999999"/>
    <n v="1763"/>
    <n v="1600"/>
    <n v="163"/>
    <n v="0.10187499999999999"/>
    <n v="634.77252999999996"/>
    <m/>
  </r>
  <r>
    <x v="6"/>
    <x v="162"/>
    <x v="0"/>
    <x v="426"/>
    <x v="2"/>
    <x v="3"/>
    <x v="3"/>
    <n v="3.8943099999999999"/>
    <n v="11455"/>
    <n v="11200"/>
    <n v="255"/>
    <n v="2.2767857142857142E-2"/>
    <n v="993.04904999999997"/>
    <m/>
  </r>
  <r>
    <x v="6"/>
    <x v="162"/>
    <x v="0"/>
    <x v="426"/>
    <x v="3"/>
    <x v="14"/>
    <x v="15"/>
    <n v="0"/>
    <n v="9012"/>
    <n v="9000"/>
    <n v="12"/>
    <n v="1.3333333333333333E-3"/>
    <n v="0"/>
    <m/>
  </r>
  <r>
    <x v="6"/>
    <x v="162"/>
    <x v="0"/>
    <x v="426"/>
    <x v="5"/>
    <x v="5"/>
    <x v="5"/>
    <n v="0"/>
    <n v="108"/>
    <m/>
    <n v="108"/>
    <n v="1"/>
    <n v="0"/>
    <m/>
  </r>
  <r>
    <x v="6"/>
    <x v="162"/>
    <x v="1"/>
    <x v="427"/>
    <x v="0"/>
    <x v="2"/>
    <x v="2"/>
    <n v="2.08013"/>
    <n v="11863"/>
    <n v="11520"/>
    <n v="343"/>
    <n v="2.9774305555555554E-2"/>
    <n v="713.48459000000003"/>
    <m/>
  </r>
  <r>
    <x v="6"/>
    <x v="162"/>
    <x v="1"/>
    <x v="427"/>
    <x v="2"/>
    <x v="3"/>
    <x v="3"/>
    <n v="3.8943099999999999"/>
    <n v="1710"/>
    <n v="1600"/>
    <n v="110"/>
    <n v="6.8750000000000006E-2"/>
    <n v="428.3741"/>
    <m/>
  </r>
  <r>
    <x v="6"/>
    <x v="162"/>
    <x v="1"/>
    <x v="427"/>
    <x v="5"/>
    <x v="5"/>
    <x v="5"/>
    <n v="0"/>
    <n v="10"/>
    <m/>
    <n v="10"/>
    <n v="1"/>
    <n v="0"/>
    <m/>
  </r>
  <r>
    <x v="6"/>
    <x v="163"/>
    <x v="3"/>
    <x v="428"/>
    <x v="0"/>
    <x v="2"/>
    <x v="2"/>
    <n v="2.08013"/>
    <n v="2191"/>
    <n v="1920"/>
    <n v="271"/>
    <n v="0.14114583333333333"/>
    <n v="563.71523000000002"/>
    <m/>
  </r>
  <r>
    <x v="6"/>
    <x v="163"/>
    <x v="3"/>
    <x v="428"/>
    <x v="3"/>
    <x v="14"/>
    <x v="15"/>
    <n v="0"/>
    <n v="10017"/>
    <n v="10000"/>
    <n v="17"/>
    <n v="1.6999999999999999E-3"/>
    <n v="0"/>
    <m/>
  </r>
  <r>
    <x v="6"/>
    <x v="163"/>
    <x v="3"/>
    <x v="428"/>
    <x v="4"/>
    <x v="4"/>
    <x v="4"/>
    <n v="1.9508160000000001"/>
    <n v="1003"/>
    <n v="1000"/>
    <n v="3"/>
    <n v="3.0000000000000001E-3"/>
    <n v="5.8524480000000008"/>
    <m/>
  </r>
  <r>
    <x v="6"/>
    <x v="163"/>
    <x v="4"/>
    <x v="429"/>
    <x v="0"/>
    <x v="2"/>
    <x v="2"/>
    <n v="2.08013"/>
    <n v="11796"/>
    <n v="11520"/>
    <n v="276"/>
    <n v="2.3958333333333335E-2"/>
    <n v="574.11588000000006"/>
    <m/>
  </r>
  <r>
    <x v="6"/>
    <x v="163"/>
    <x v="4"/>
    <x v="429"/>
    <x v="3"/>
    <x v="14"/>
    <x v="15"/>
    <n v="0"/>
    <n v="10016"/>
    <n v="10000"/>
    <n v="16"/>
    <n v="1.6000000000000001E-3"/>
    <n v="0"/>
    <m/>
  </r>
  <r>
    <x v="6"/>
    <x v="163"/>
    <x v="4"/>
    <x v="429"/>
    <x v="4"/>
    <x v="4"/>
    <x v="4"/>
    <n v="1.9508160000000001"/>
    <n v="3021"/>
    <n v="3000"/>
    <n v="21"/>
    <n v="7.0000000000000001E-3"/>
    <n v="40.967136000000004"/>
    <m/>
  </r>
  <r>
    <x v="6"/>
    <x v="163"/>
    <x v="4"/>
    <x v="429"/>
    <x v="5"/>
    <x v="5"/>
    <x v="5"/>
    <n v="0"/>
    <n v="10"/>
    <m/>
    <n v="10"/>
    <n v="1"/>
    <n v="0"/>
    <m/>
  </r>
  <r>
    <x v="6"/>
    <x v="164"/>
    <x v="3"/>
    <x v="430"/>
    <x v="0"/>
    <x v="2"/>
    <x v="2"/>
    <n v="2.08013"/>
    <n v="13917"/>
    <n v="13440"/>
    <n v="477"/>
    <n v="3.5491071428571427E-2"/>
    <n v="992.22201000000007"/>
    <m/>
  </r>
  <r>
    <x v="6"/>
    <x v="164"/>
    <x v="3"/>
    <x v="430"/>
    <x v="3"/>
    <x v="14"/>
    <x v="15"/>
    <n v="0"/>
    <n v="11011"/>
    <n v="11000"/>
    <n v="11"/>
    <n v="1E-3"/>
    <n v="0"/>
    <m/>
  </r>
  <r>
    <x v="6"/>
    <x v="164"/>
    <x v="3"/>
    <x v="430"/>
    <x v="4"/>
    <x v="4"/>
    <x v="4"/>
    <n v="1.9508160000000001"/>
    <n v="1419"/>
    <n v="1400"/>
    <n v="19"/>
    <n v="1.3571428571428571E-2"/>
    <n v="37.065504000000004"/>
    <m/>
  </r>
  <r>
    <x v="6"/>
    <x v="164"/>
    <x v="3"/>
    <x v="430"/>
    <x v="5"/>
    <x v="5"/>
    <x v="5"/>
    <n v="0"/>
    <n v="55"/>
    <m/>
    <n v="55"/>
    <n v="1"/>
    <n v="0"/>
    <m/>
  </r>
  <r>
    <x v="6"/>
    <x v="164"/>
    <x v="4"/>
    <x v="431"/>
    <x v="0"/>
    <x v="2"/>
    <x v="2"/>
    <n v="2.08013"/>
    <n v="8760"/>
    <n v="8640"/>
    <n v="120"/>
    <n v="1.3888888888888888E-2"/>
    <n v="249.6156"/>
    <m/>
  </r>
  <r>
    <x v="6"/>
    <x v="164"/>
    <x v="4"/>
    <x v="431"/>
    <x v="3"/>
    <x v="14"/>
    <x v="15"/>
    <n v="0"/>
    <n v="2584"/>
    <n v="2575"/>
    <n v="9"/>
    <n v="3.4951456310679612E-3"/>
    <n v="0"/>
    <m/>
  </r>
  <r>
    <x v="6"/>
    <x v="164"/>
    <x v="4"/>
    <x v="431"/>
    <x v="4"/>
    <x v="4"/>
    <x v="4"/>
    <n v="1.9508160000000001"/>
    <n v="4045"/>
    <n v="4000"/>
    <n v="45"/>
    <n v="1.125E-2"/>
    <n v="87.786720000000003"/>
    <m/>
  </r>
  <r>
    <x v="6"/>
    <x v="165"/>
    <x v="5"/>
    <x v="432"/>
    <x v="0"/>
    <x v="2"/>
    <x v="2"/>
    <n v="2.08013"/>
    <n v="12067"/>
    <n v="12000"/>
    <n v="67"/>
    <n v="5.5833333333333334E-3"/>
    <n v="139.36870999999999"/>
    <m/>
  </r>
  <r>
    <x v="6"/>
    <x v="165"/>
    <x v="5"/>
    <x v="432"/>
    <x v="0"/>
    <x v="2"/>
    <x v="2"/>
    <n v="2.08013"/>
    <n v="518"/>
    <n v="480"/>
    <n v="38"/>
    <n v="7.9166666666666663E-2"/>
    <n v="79.044939999999997"/>
    <m/>
  </r>
  <r>
    <x v="6"/>
    <x v="165"/>
    <x v="5"/>
    <x v="432"/>
    <x v="4"/>
    <x v="4"/>
    <x v="4"/>
    <n v="1.9508160000000001"/>
    <n v="4021"/>
    <n v="4000"/>
    <n v="21"/>
    <n v="5.2500000000000003E-3"/>
    <n v="40.967136000000004"/>
    <m/>
  </r>
  <r>
    <x v="6"/>
    <x v="165"/>
    <x v="5"/>
    <x v="432"/>
    <x v="5"/>
    <x v="5"/>
    <x v="5"/>
    <n v="0"/>
    <n v="112"/>
    <m/>
    <n v="112"/>
    <n v="1"/>
    <n v="0"/>
    <m/>
  </r>
  <r>
    <x v="6"/>
    <x v="165"/>
    <x v="6"/>
    <x v="433"/>
    <x v="0"/>
    <x v="2"/>
    <x v="2"/>
    <n v="2.08013"/>
    <n v="5858"/>
    <n v="5760"/>
    <n v="98"/>
    <n v="1.7013888888888887E-2"/>
    <n v="203.85274000000001"/>
    <m/>
  </r>
  <r>
    <x v="6"/>
    <x v="165"/>
    <x v="6"/>
    <x v="433"/>
    <x v="4"/>
    <x v="4"/>
    <x v="4"/>
    <n v="1.9508160000000001"/>
    <n v="2008"/>
    <n v="2000"/>
    <n v="8"/>
    <n v="4.0000000000000001E-3"/>
    <n v="15.606528000000001"/>
    <m/>
  </r>
  <r>
    <x v="6"/>
    <x v="165"/>
    <x v="6"/>
    <x v="433"/>
    <x v="5"/>
    <x v="5"/>
    <x v="5"/>
    <n v="0"/>
    <n v="13"/>
    <m/>
    <n v="13"/>
    <n v="1"/>
    <n v="0"/>
    <m/>
  </r>
  <r>
    <x v="6"/>
    <x v="166"/>
    <x v="5"/>
    <x v="434"/>
    <x v="0"/>
    <x v="0"/>
    <x v="0"/>
    <n v="1.96"/>
    <n v="2659.84"/>
    <n v="2007.84"/>
    <n v="652"/>
    <n v="0.32472706988604672"/>
    <n v="1277.92"/>
    <m/>
  </r>
  <r>
    <x v="6"/>
    <x v="166"/>
    <x v="5"/>
    <x v="434"/>
    <x v="3"/>
    <x v="8"/>
    <x v="8"/>
    <n v="1.4516300000000002"/>
    <n v="4051"/>
    <n v="4000"/>
    <n v="51"/>
    <n v="1.2749999999999999E-2"/>
    <n v="74.033130000000014"/>
    <m/>
  </r>
  <r>
    <x v="6"/>
    <x v="166"/>
    <x v="5"/>
    <x v="434"/>
    <x v="4"/>
    <x v="4"/>
    <x v="4"/>
    <n v="1.9508160000000001"/>
    <n v="5026"/>
    <n v="5000"/>
    <n v="26"/>
    <n v="5.1999999999999998E-3"/>
    <n v="50.721216000000005"/>
    <m/>
  </r>
  <r>
    <x v="6"/>
    <x v="166"/>
    <x v="6"/>
    <x v="435"/>
    <x v="0"/>
    <x v="0"/>
    <x v="0"/>
    <n v="1.96"/>
    <n v="7180.36"/>
    <n v="6591.36"/>
    <n v="589"/>
    <n v="8.9359403825614137E-2"/>
    <n v="1154.44"/>
    <m/>
  </r>
  <r>
    <x v="6"/>
    <x v="166"/>
    <x v="6"/>
    <x v="435"/>
    <x v="5"/>
    <x v="5"/>
    <x v="5"/>
    <n v="0"/>
    <n v="5"/>
    <m/>
    <n v="5"/>
    <n v="1"/>
    <n v="0"/>
    <m/>
  </r>
  <r>
    <x v="6"/>
    <x v="167"/>
    <x v="3"/>
    <x v="436"/>
    <x v="0"/>
    <x v="0"/>
    <x v="0"/>
    <n v="1.96"/>
    <n v="11307"/>
    <n v="10871"/>
    <n v="436"/>
    <n v="4.0106705914819241E-2"/>
    <n v="854.56"/>
    <m/>
  </r>
  <r>
    <x v="6"/>
    <x v="167"/>
    <x v="3"/>
    <x v="436"/>
    <x v="2"/>
    <x v="3"/>
    <x v="3"/>
    <n v="3.8943099999999999"/>
    <n v="8109"/>
    <n v="8000"/>
    <n v="109"/>
    <n v="1.3625E-2"/>
    <n v="424.47978999999998"/>
    <m/>
  </r>
  <r>
    <x v="6"/>
    <x v="167"/>
    <x v="3"/>
    <x v="436"/>
    <x v="4"/>
    <x v="4"/>
    <x v="4"/>
    <n v="1.9508160000000001"/>
    <n v="1028"/>
    <n v="1000"/>
    <n v="28"/>
    <n v="2.8000000000000001E-2"/>
    <n v="54.622848000000005"/>
    <m/>
  </r>
  <r>
    <x v="6"/>
    <x v="167"/>
    <x v="3"/>
    <x v="436"/>
    <x v="5"/>
    <x v="5"/>
    <x v="5"/>
    <n v="0"/>
    <n v="20"/>
    <m/>
    <n v="20"/>
    <n v="1"/>
    <n v="0"/>
    <m/>
  </r>
  <r>
    <x v="6"/>
    <x v="167"/>
    <x v="4"/>
    <x v="437"/>
    <x v="0"/>
    <x v="0"/>
    <x v="0"/>
    <n v="1.96"/>
    <n v="10214"/>
    <n v="9735"/>
    <n v="479"/>
    <n v="4.9203903441191577E-2"/>
    <n v="938.84"/>
    <m/>
  </r>
  <r>
    <x v="6"/>
    <x v="167"/>
    <x v="4"/>
    <x v="437"/>
    <x v="2"/>
    <x v="3"/>
    <x v="3"/>
    <n v="3.8943099999999999"/>
    <n v="10644"/>
    <n v="10400"/>
    <n v="244"/>
    <n v="2.3461538461538461E-2"/>
    <n v="950.21163999999999"/>
    <m/>
  </r>
  <r>
    <x v="6"/>
    <x v="168"/>
    <x v="3"/>
    <x v="438"/>
    <x v="0"/>
    <x v="0"/>
    <x v="0"/>
    <n v="1.96"/>
    <n v="10295"/>
    <n v="9892"/>
    <n v="403"/>
    <n v="4.073999191265669E-2"/>
    <n v="789.88"/>
    <m/>
  </r>
  <r>
    <x v="6"/>
    <x v="168"/>
    <x v="3"/>
    <x v="438"/>
    <x v="2"/>
    <x v="3"/>
    <x v="3"/>
    <n v="3.8943099999999999"/>
    <n v="10494"/>
    <n v="10400"/>
    <n v="94"/>
    <n v="9.0384615384615386E-3"/>
    <n v="366.06513999999999"/>
    <m/>
  </r>
  <r>
    <x v="6"/>
    <x v="168"/>
    <x v="3"/>
    <x v="438"/>
    <x v="3"/>
    <x v="8"/>
    <x v="8"/>
    <n v="1.4516300000000002"/>
    <n v="3307"/>
    <n v="3300"/>
    <n v="7"/>
    <n v="2.1212121212121214E-3"/>
    <n v="10.161410000000002"/>
    <m/>
  </r>
  <r>
    <x v="6"/>
    <x v="168"/>
    <x v="3"/>
    <x v="438"/>
    <x v="5"/>
    <x v="5"/>
    <x v="5"/>
    <n v="0"/>
    <n v="100"/>
    <m/>
    <n v="100"/>
    <n v="1"/>
    <n v="0"/>
    <m/>
  </r>
  <r>
    <x v="6"/>
    <x v="168"/>
    <x v="4"/>
    <x v="439"/>
    <x v="2"/>
    <x v="3"/>
    <x v="3"/>
    <n v="3.8943099999999999"/>
    <n v="11230"/>
    <n v="11200"/>
    <n v="30"/>
    <n v="2.6785714285714286E-3"/>
    <n v="116.8293"/>
    <m/>
  </r>
  <r>
    <x v="6"/>
    <x v="168"/>
    <x v="4"/>
    <x v="439"/>
    <x v="3"/>
    <x v="8"/>
    <x v="8"/>
    <n v="1.4516300000000002"/>
    <n v="8025"/>
    <n v="8000"/>
    <n v="25"/>
    <n v="3.1250000000000002E-3"/>
    <n v="36.290750000000003"/>
    <m/>
  </r>
  <r>
    <x v="6"/>
    <x v="168"/>
    <x v="4"/>
    <x v="439"/>
    <x v="5"/>
    <x v="5"/>
    <x v="5"/>
    <n v="0"/>
    <n v="70"/>
    <m/>
    <n v="70"/>
    <n v="1"/>
    <n v="0"/>
    <m/>
  </r>
  <r>
    <x v="6"/>
    <x v="169"/>
    <x v="3"/>
    <x v="440"/>
    <x v="0"/>
    <x v="0"/>
    <x v="0"/>
    <n v="1.96"/>
    <n v="4211"/>
    <n v="3711"/>
    <n v="500"/>
    <n v="0.13473457289140395"/>
    <n v="980"/>
    <m/>
  </r>
  <r>
    <x v="6"/>
    <x v="169"/>
    <x v="3"/>
    <x v="440"/>
    <x v="2"/>
    <x v="3"/>
    <x v="3"/>
    <n v="3.8943099999999999"/>
    <n v="10681"/>
    <n v="10400"/>
    <n v="281"/>
    <n v="2.7019230769230768E-2"/>
    <n v="1094.3011099999999"/>
    <m/>
  </r>
  <r>
    <x v="6"/>
    <x v="169"/>
    <x v="3"/>
    <x v="440"/>
    <x v="3"/>
    <x v="8"/>
    <x v="8"/>
    <n v="1.4516300000000002"/>
    <n v="9063"/>
    <n v="9000"/>
    <n v="63"/>
    <n v="7.0000000000000001E-3"/>
    <n v="91.452690000000018"/>
    <m/>
  </r>
  <r>
    <x v="6"/>
    <x v="169"/>
    <x v="3"/>
    <x v="440"/>
    <x v="5"/>
    <x v="5"/>
    <x v="5"/>
    <n v="0"/>
    <n v="25"/>
    <m/>
    <n v="25"/>
    <n v="1"/>
    <n v="0"/>
    <m/>
  </r>
  <r>
    <x v="6"/>
    <x v="169"/>
    <x v="4"/>
    <x v="441"/>
    <x v="2"/>
    <x v="3"/>
    <x v="3"/>
    <n v="3.8943099999999999"/>
    <n v="8810"/>
    <n v="8800"/>
    <n v="10"/>
    <n v="1.1363636363636363E-3"/>
    <n v="38.943100000000001"/>
    <m/>
  </r>
  <r>
    <x v="6"/>
    <x v="169"/>
    <x v="4"/>
    <x v="441"/>
    <x v="3"/>
    <x v="8"/>
    <x v="8"/>
    <n v="1.4516300000000002"/>
    <n v="6072"/>
    <n v="6000"/>
    <n v="72"/>
    <n v="1.2E-2"/>
    <n v="104.51736000000001"/>
    <m/>
  </r>
  <r>
    <x v="6"/>
    <x v="170"/>
    <x v="5"/>
    <x v="442"/>
    <x v="0"/>
    <x v="0"/>
    <x v="0"/>
    <n v="1.96"/>
    <n v="10139"/>
    <n v="9583"/>
    <n v="556"/>
    <n v="5.8019409370760722E-2"/>
    <n v="1089.76"/>
    <m/>
  </r>
  <r>
    <x v="6"/>
    <x v="170"/>
    <x v="5"/>
    <x v="442"/>
    <x v="2"/>
    <x v="3"/>
    <x v="3"/>
    <n v="3.8943099999999999"/>
    <n v="4956"/>
    <n v="4800"/>
    <n v="156"/>
    <n v="3.2500000000000001E-2"/>
    <n v="607.51235999999994"/>
    <m/>
  </r>
  <r>
    <x v="6"/>
    <x v="170"/>
    <x v="6"/>
    <x v="443"/>
    <x v="0"/>
    <x v="0"/>
    <x v="0"/>
    <n v="1.96"/>
    <n v="9217"/>
    <n v="8863"/>
    <n v="354"/>
    <n v="3.99413291210651E-2"/>
    <n v="693.84"/>
    <m/>
  </r>
  <r>
    <x v="6"/>
    <x v="170"/>
    <x v="6"/>
    <x v="443"/>
    <x v="3"/>
    <x v="8"/>
    <x v="8"/>
    <n v="1.4516300000000002"/>
    <n v="6079"/>
    <n v="6000"/>
    <n v="79"/>
    <n v="1.3166666666666667E-2"/>
    <n v="114.67877000000001"/>
    <m/>
  </r>
  <r>
    <x v="6"/>
    <x v="170"/>
    <x v="6"/>
    <x v="443"/>
    <x v="5"/>
    <x v="5"/>
    <x v="5"/>
    <n v="0"/>
    <n v="7"/>
    <m/>
    <n v="7"/>
    <n v="1"/>
    <n v="0"/>
    <m/>
  </r>
  <r>
    <x v="6"/>
    <x v="171"/>
    <x v="5"/>
    <x v="444"/>
    <x v="0"/>
    <x v="0"/>
    <x v="0"/>
    <n v="1.96"/>
    <n v="10263"/>
    <n v="9887"/>
    <n v="376"/>
    <n v="3.8029736016992007E-2"/>
    <n v="736.96"/>
    <m/>
  </r>
  <r>
    <x v="6"/>
    <x v="171"/>
    <x v="5"/>
    <x v="444"/>
    <x v="3"/>
    <x v="8"/>
    <x v="8"/>
    <n v="1.4516300000000002"/>
    <n v="6005"/>
    <n v="6000"/>
    <n v="5"/>
    <n v="8.3333333333333339E-4"/>
    <n v="7.2581500000000005"/>
    <m/>
  </r>
  <r>
    <x v="6"/>
    <x v="171"/>
    <x v="5"/>
    <x v="444"/>
    <x v="5"/>
    <x v="5"/>
    <x v="5"/>
    <n v="0"/>
    <n v="0"/>
    <m/>
    <m/>
    <n v="1"/>
    <n v="0"/>
    <m/>
  </r>
  <r>
    <x v="6"/>
    <x v="171"/>
    <x v="6"/>
    <x v="445"/>
    <x v="0"/>
    <x v="0"/>
    <x v="0"/>
    <n v="1.96"/>
    <n v="8213"/>
    <n v="7740"/>
    <n v="473"/>
    <n v="6.1111111111111109E-2"/>
    <n v="927.07999999999993"/>
    <m/>
  </r>
  <r>
    <x v="6"/>
    <x v="171"/>
    <x v="6"/>
    <x v="445"/>
    <x v="3"/>
    <x v="8"/>
    <x v="8"/>
    <n v="1.4516300000000002"/>
    <n v="7010"/>
    <n v="7000"/>
    <n v="10"/>
    <n v="1.4285714285714286E-3"/>
    <n v="14.516300000000001"/>
    <m/>
  </r>
  <r>
    <x v="6"/>
    <x v="171"/>
    <x v="6"/>
    <x v="445"/>
    <x v="5"/>
    <x v="5"/>
    <x v="5"/>
    <n v="0"/>
    <n v="0"/>
    <m/>
    <m/>
    <n v="1"/>
    <n v="0"/>
    <m/>
  </r>
  <r>
    <x v="6"/>
    <x v="171"/>
    <x v="6"/>
    <x v="445"/>
    <x v="1"/>
    <x v="4"/>
    <x v="4"/>
    <n v="1.9508160000000001"/>
    <n v="5031"/>
    <n v="5000"/>
    <n v="31"/>
    <n v="6.1999999999999998E-3"/>
    <n v="60.475296"/>
    <m/>
  </r>
  <r>
    <x v="6"/>
    <x v="172"/>
    <x v="3"/>
    <x v="446"/>
    <x v="0"/>
    <x v="1"/>
    <x v="1"/>
    <n v="1.91178"/>
    <n v="10185"/>
    <n v="9702"/>
    <n v="483"/>
    <n v="4.9783549783549784E-2"/>
    <n v="923.38973999999996"/>
    <m/>
  </r>
  <r>
    <x v="6"/>
    <x v="172"/>
    <x v="3"/>
    <x v="446"/>
    <x v="1"/>
    <x v="4"/>
    <x v="4"/>
    <n v="1.9508160000000001"/>
    <n v="10036"/>
    <n v="10000"/>
    <n v="36"/>
    <n v="3.5999999999999999E-3"/>
    <n v="70.229376000000002"/>
    <m/>
  </r>
  <r>
    <x v="6"/>
    <x v="172"/>
    <x v="3"/>
    <x v="446"/>
    <x v="3"/>
    <x v="8"/>
    <x v="8"/>
    <n v="1.4516300000000002"/>
    <n v="8040"/>
    <n v="8000"/>
    <n v="40"/>
    <n v="5.0000000000000001E-3"/>
    <n v="58.065200000000004"/>
    <m/>
  </r>
  <r>
    <x v="6"/>
    <x v="172"/>
    <x v="4"/>
    <x v="447"/>
    <x v="0"/>
    <x v="1"/>
    <x v="1"/>
    <n v="1.91178"/>
    <n v="9556"/>
    <n v="9077"/>
    <n v="479"/>
    <n v="5.2770739231023468E-2"/>
    <n v="915.74261999999999"/>
    <m/>
  </r>
  <r>
    <x v="6"/>
    <x v="172"/>
    <x v="4"/>
    <x v="447"/>
    <x v="1"/>
    <x v="4"/>
    <x v="4"/>
    <n v="1.9508160000000001"/>
    <n v="6685"/>
    <n v="6625"/>
    <n v="60"/>
    <n v="9.0566037735849061E-3"/>
    <n v="117.04896000000001"/>
    <m/>
  </r>
  <r>
    <x v="6"/>
    <x v="172"/>
    <x v="4"/>
    <x v="447"/>
    <x v="3"/>
    <x v="8"/>
    <x v="8"/>
    <n v="1.4516300000000002"/>
    <n v="8044"/>
    <n v="8000"/>
    <n v="44"/>
    <n v="5.4999999999999997E-3"/>
    <n v="63.87172000000001"/>
    <m/>
  </r>
  <r>
    <x v="6"/>
    <x v="173"/>
    <x v="3"/>
    <x v="448"/>
    <x v="0"/>
    <x v="1"/>
    <x v="1"/>
    <n v="1.91178"/>
    <n v="14907"/>
    <n v="14035"/>
    <n v="872"/>
    <n v="6.2130388314926968E-2"/>
    <n v="1667.0721599999999"/>
    <m/>
  </r>
  <r>
    <x v="6"/>
    <x v="173"/>
    <x v="3"/>
    <x v="448"/>
    <x v="1"/>
    <x v="9"/>
    <x v="9"/>
    <n v="1.21353"/>
    <n v="6565"/>
    <n v="6550"/>
    <n v="15"/>
    <n v="2.2900763358778627E-3"/>
    <n v="18.202950000000001"/>
    <m/>
  </r>
  <r>
    <x v="6"/>
    <x v="173"/>
    <x v="3"/>
    <x v="448"/>
    <x v="3"/>
    <x v="8"/>
    <x v="8"/>
    <n v="1.4516300000000002"/>
    <n v="8661"/>
    <n v="8550"/>
    <n v="111"/>
    <n v="1.2982456140350877E-2"/>
    <n v="161.13093000000003"/>
    <m/>
  </r>
  <r>
    <x v="6"/>
    <x v="173"/>
    <x v="4"/>
    <x v="449"/>
    <x v="0"/>
    <x v="1"/>
    <x v="1"/>
    <n v="1.91178"/>
    <n v="14083"/>
    <n v="13702"/>
    <n v="381"/>
    <n v="2.7806159684717561E-2"/>
    <n v="728.38818000000003"/>
    <m/>
  </r>
  <r>
    <x v="6"/>
    <x v="173"/>
    <x v="4"/>
    <x v="449"/>
    <x v="3"/>
    <x v="8"/>
    <x v="8"/>
    <n v="1.4516300000000002"/>
    <n v="8027"/>
    <n v="8000"/>
    <n v="27"/>
    <n v="3.375E-3"/>
    <n v="39.194010000000006"/>
    <m/>
  </r>
  <r>
    <x v="6"/>
    <x v="173"/>
    <x v="4"/>
    <x v="449"/>
    <x v="1"/>
    <x v="9"/>
    <x v="9"/>
    <n v="1.21353"/>
    <n v="4020"/>
    <n v="4000"/>
    <n v="20"/>
    <n v="5.0000000000000001E-3"/>
    <n v="24.270600000000002"/>
    <m/>
  </r>
  <r>
    <x v="6"/>
    <x v="174"/>
    <x v="5"/>
    <x v="450"/>
    <x v="0"/>
    <x v="1"/>
    <x v="1"/>
    <n v="1.91178"/>
    <n v="10539"/>
    <n v="9964"/>
    <n v="575"/>
    <n v="5.7707747892412689E-2"/>
    <n v="1099.2735"/>
    <m/>
  </r>
  <r>
    <x v="6"/>
    <x v="174"/>
    <x v="5"/>
    <x v="450"/>
    <x v="1"/>
    <x v="9"/>
    <x v="9"/>
    <n v="1.21353"/>
    <n v="7039"/>
    <n v="7000"/>
    <n v="39"/>
    <n v="5.5714285714285718E-3"/>
    <n v="47.327669999999998"/>
    <m/>
  </r>
  <r>
    <x v="6"/>
    <x v="174"/>
    <x v="5"/>
    <x v="450"/>
    <x v="2"/>
    <x v="3"/>
    <x v="3"/>
    <n v="3.8943099999999999"/>
    <n v="9061"/>
    <n v="8800"/>
    <n v="261"/>
    <n v="2.9659090909090909E-2"/>
    <n v="1016.41491"/>
    <m/>
  </r>
  <r>
    <x v="6"/>
    <x v="174"/>
    <x v="5"/>
    <x v="450"/>
    <x v="3"/>
    <x v="8"/>
    <x v="8"/>
    <n v="1.4516300000000002"/>
    <n v="6062"/>
    <n v="6000"/>
    <n v="62"/>
    <n v="1.0333333333333333E-2"/>
    <n v="90.00106000000001"/>
    <m/>
  </r>
  <r>
    <x v="6"/>
    <x v="174"/>
    <x v="6"/>
    <x v="451"/>
    <x v="0"/>
    <x v="1"/>
    <x v="1"/>
    <n v="1.91178"/>
    <n v="14122"/>
    <n v="13526"/>
    <n v="596"/>
    <n v="4.4063285524175662E-2"/>
    <n v="1139.4208800000001"/>
    <m/>
  </r>
  <r>
    <x v="6"/>
    <x v="174"/>
    <x v="6"/>
    <x v="451"/>
    <x v="1"/>
    <x v="9"/>
    <x v="9"/>
    <n v="1.21353"/>
    <n v="11012"/>
    <n v="11000"/>
    <n v="12"/>
    <n v="1.090909090909091E-3"/>
    <n v="14.56236"/>
    <m/>
  </r>
  <r>
    <x v="6"/>
    <x v="174"/>
    <x v="6"/>
    <x v="451"/>
    <x v="2"/>
    <x v="3"/>
    <x v="3"/>
    <n v="3.8943099999999999"/>
    <n v="11485"/>
    <n v="11200"/>
    <n v="285"/>
    <n v="2.5446428571428571E-2"/>
    <n v="1109.87835"/>
    <m/>
  </r>
  <r>
    <x v="6"/>
    <x v="174"/>
    <x v="6"/>
    <x v="451"/>
    <x v="5"/>
    <x v="5"/>
    <x v="5"/>
    <n v="0"/>
    <n v="16"/>
    <m/>
    <n v="16"/>
    <n v="1"/>
    <n v="0"/>
    <m/>
  </r>
  <r>
    <x v="6"/>
    <x v="175"/>
    <x v="5"/>
    <x v="452"/>
    <x v="0"/>
    <x v="1"/>
    <x v="1"/>
    <n v="1.91178"/>
    <n v="13036"/>
    <n v="12102"/>
    <n v="934"/>
    <n v="7.7177326061807966E-2"/>
    <n v="1785.6025200000001"/>
    <m/>
  </r>
  <r>
    <x v="6"/>
    <x v="175"/>
    <x v="5"/>
    <x v="452"/>
    <x v="1"/>
    <x v="9"/>
    <x v="9"/>
    <n v="1.21353"/>
    <n v="8110"/>
    <n v="8000"/>
    <n v="110"/>
    <n v="1.375E-2"/>
    <n v="133.48830000000001"/>
    <m/>
  </r>
  <r>
    <x v="6"/>
    <x v="175"/>
    <x v="5"/>
    <x v="452"/>
    <x v="2"/>
    <x v="3"/>
    <x v="3"/>
    <n v="3.8943099999999999"/>
    <n v="12327"/>
    <n v="12000"/>
    <n v="327"/>
    <n v="2.725E-2"/>
    <n v="1273.4393700000001"/>
    <m/>
  </r>
  <r>
    <x v="6"/>
    <x v="175"/>
    <x v="6"/>
    <x v="453"/>
    <x v="0"/>
    <x v="1"/>
    <x v="1"/>
    <n v="1.91178"/>
    <n v="15827"/>
    <n v="15446"/>
    <n v="381"/>
    <n v="2.4666580344425742E-2"/>
    <n v="728.38818000000003"/>
    <m/>
  </r>
  <r>
    <x v="6"/>
    <x v="175"/>
    <x v="6"/>
    <x v="453"/>
    <x v="1"/>
    <x v="9"/>
    <x v="9"/>
    <n v="1.21353"/>
    <n v="12637"/>
    <n v="12500"/>
    <n v="137"/>
    <n v="1.0959999999999999E-2"/>
    <n v="166.25361000000001"/>
    <m/>
  </r>
  <r>
    <x v="6"/>
    <x v="175"/>
    <x v="6"/>
    <x v="453"/>
    <x v="2"/>
    <x v="3"/>
    <x v="3"/>
    <n v="3.8943099999999999"/>
    <n v="12253"/>
    <n v="12000"/>
    <n v="253"/>
    <n v="2.1083333333333332E-2"/>
    <n v="985.26042999999993"/>
    <m/>
  </r>
  <r>
    <x v="6"/>
    <x v="175"/>
    <x v="6"/>
    <x v="453"/>
    <x v="5"/>
    <x v="5"/>
    <x v="5"/>
    <n v="0"/>
    <n v="6"/>
    <m/>
    <n v="6"/>
    <n v="1"/>
    <n v="0"/>
    <m/>
  </r>
  <r>
    <x v="6"/>
    <x v="176"/>
    <x v="5"/>
    <x v="454"/>
    <x v="0"/>
    <x v="1"/>
    <x v="1"/>
    <n v="1.91178"/>
    <n v="13979"/>
    <n v="12830"/>
    <n v="1149"/>
    <n v="8.9555728760717074E-2"/>
    <n v="2196.6352200000001"/>
    <m/>
  </r>
  <r>
    <x v="6"/>
    <x v="176"/>
    <x v="5"/>
    <x v="454"/>
    <x v="1"/>
    <x v="9"/>
    <x v="9"/>
    <n v="1.21353"/>
    <n v="7047"/>
    <n v="7000"/>
    <n v="47"/>
    <n v="6.7142857142857143E-3"/>
    <n v="57.035910000000001"/>
    <m/>
  </r>
  <r>
    <x v="6"/>
    <x v="176"/>
    <x v="5"/>
    <x v="454"/>
    <x v="2"/>
    <x v="3"/>
    <x v="3"/>
    <n v="3.8943099999999999"/>
    <n v="12242"/>
    <n v="12000"/>
    <n v="242"/>
    <n v="2.0166666666666666E-2"/>
    <n v="942.42301999999995"/>
    <m/>
  </r>
  <r>
    <x v="6"/>
    <x v="176"/>
    <x v="5"/>
    <x v="454"/>
    <x v="3"/>
    <x v="4"/>
    <x v="4"/>
    <n v="1.9508160000000001"/>
    <n v="4082"/>
    <n v="4075"/>
    <n v="7"/>
    <n v="1.7177914110429449E-3"/>
    <n v="13.655712000000001"/>
    <m/>
  </r>
  <r>
    <x v="6"/>
    <x v="176"/>
    <x v="6"/>
    <x v="455"/>
    <x v="0"/>
    <x v="1"/>
    <x v="1"/>
    <n v="1.91178"/>
    <n v="15567"/>
    <n v="14969"/>
    <n v="598"/>
    <n v="3.9949228405371101E-2"/>
    <n v="1143.2444399999999"/>
    <m/>
  </r>
  <r>
    <x v="6"/>
    <x v="176"/>
    <x v="6"/>
    <x v="455"/>
    <x v="1"/>
    <x v="9"/>
    <x v="9"/>
    <n v="1.21353"/>
    <n v="11093"/>
    <n v="11000"/>
    <n v="93"/>
    <n v="8.4545454545454542E-3"/>
    <n v="112.85829"/>
    <m/>
  </r>
  <r>
    <x v="6"/>
    <x v="176"/>
    <x v="6"/>
    <x v="455"/>
    <x v="2"/>
    <x v="3"/>
    <x v="3"/>
    <n v="3.8943099999999999"/>
    <n v="4156"/>
    <n v="4000"/>
    <n v="156"/>
    <n v="3.9E-2"/>
    <n v="607.51235999999994"/>
    <m/>
  </r>
  <r>
    <x v="6"/>
    <x v="177"/>
    <x v="3"/>
    <x v="456"/>
    <x v="0"/>
    <x v="1"/>
    <x v="1"/>
    <n v="1.91178"/>
    <n v="19095"/>
    <n v="18619"/>
    <n v="476"/>
    <n v="2.5565282775659271E-2"/>
    <n v="910.00728000000004"/>
    <m/>
  </r>
  <r>
    <x v="6"/>
    <x v="177"/>
    <x v="3"/>
    <x v="456"/>
    <x v="1"/>
    <x v="9"/>
    <x v="9"/>
    <n v="1.21353"/>
    <n v="8071"/>
    <n v="8000"/>
    <n v="71"/>
    <n v="8.8749999999999992E-3"/>
    <n v="86.160629999999998"/>
    <m/>
  </r>
  <r>
    <x v="6"/>
    <x v="177"/>
    <x v="3"/>
    <x v="456"/>
    <x v="2"/>
    <x v="3"/>
    <x v="3"/>
    <n v="3.8943099999999999"/>
    <n v="12032"/>
    <n v="12000"/>
    <n v="32"/>
    <n v="2.6666666666666666E-3"/>
    <n v="124.61792"/>
    <m/>
  </r>
  <r>
    <x v="6"/>
    <x v="177"/>
    <x v="3"/>
    <x v="456"/>
    <x v="3"/>
    <x v="4"/>
    <x v="4"/>
    <n v="1.9508160000000001"/>
    <n v="7107"/>
    <n v="7000"/>
    <n v="107"/>
    <n v="1.5285714285714286E-2"/>
    <n v="208.737312"/>
    <m/>
  </r>
  <r>
    <x v="6"/>
    <x v="177"/>
    <x v="4"/>
    <x v="457"/>
    <x v="0"/>
    <x v="1"/>
    <x v="1"/>
    <n v="1.91178"/>
    <n v="16086"/>
    <n v="15752"/>
    <n v="334"/>
    <n v="2.1203656678517015E-2"/>
    <n v="638.53452000000004"/>
    <m/>
  </r>
  <r>
    <x v="6"/>
    <x v="177"/>
    <x v="4"/>
    <x v="457"/>
    <x v="1"/>
    <x v="9"/>
    <x v="9"/>
    <n v="1.21353"/>
    <n v="3"/>
    <n v="0"/>
    <n v="3"/>
    <n v="1"/>
    <n v="3.64059"/>
    <m/>
  </r>
  <r>
    <x v="6"/>
    <x v="177"/>
    <x v="4"/>
    <x v="457"/>
    <x v="2"/>
    <x v="3"/>
    <x v="3"/>
    <n v="3.8943099999999999"/>
    <n v="11455"/>
    <n v="11200"/>
    <n v="255"/>
    <n v="2.2767857142857142E-2"/>
    <n v="993.04904999999997"/>
    <m/>
  </r>
  <r>
    <x v="6"/>
    <x v="177"/>
    <x v="4"/>
    <x v="457"/>
    <x v="3"/>
    <x v="4"/>
    <x v="4"/>
    <n v="1.9508160000000001"/>
    <n v="2007"/>
    <n v="2000"/>
    <n v="7"/>
    <n v="3.5000000000000001E-3"/>
    <n v="13.655712000000001"/>
    <m/>
  </r>
  <r>
    <x v="6"/>
    <x v="178"/>
    <x v="3"/>
    <x v="458"/>
    <x v="2"/>
    <x v="3"/>
    <x v="3"/>
    <n v="3.8943099999999999"/>
    <n v="11240"/>
    <n v="11200"/>
    <n v="40"/>
    <n v="3.5714285714285713E-3"/>
    <n v="155.7724"/>
    <m/>
  </r>
  <r>
    <x v="6"/>
    <x v="178"/>
    <x v="3"/>
    <x v="458"/>
    <x v="3"/>
    <x v="4"/>
    <x v="4"/>
    <n v="1.9508160000000001"/>
    <n v="9068"/>
    <n v="9000"/>
    <n v="68"/>
    <n v="7.5555555555555558E-3"/>
    <n v="132.65548800000002"/>
    <m/>
  </r>
  <r>
    <x v="6"/>
    <x v="178"/>
    <x v="3"/>
    <x v="458"/>
    <x v="5"/>
    <x v="5"/>
    <x v="5"/>
    <n v="0"/>
    <n v="77"/>
    <m/>
    <n v="77"/>
    <n v="1"/>
    <n v="0"/>
    <m/>
  </r>
  <r>
    <x v="6"/>
    <x v="178"/>
    <x v="4"/>
    <x v="459"/>
    <x v="2"/>
    <x v="3"/>
    <x v="3"/>
    <n v="3.8943099999999999"/>
    <n v="8022"/>
    <n v="8000"/>
    <n v="22"/>
    <n v="2.7499999999999998E-3"/>
    <n v="85.674819999999997"/>
    <m/>
  </r>
  <r>
    <x v="6"/>
    <x v="178"/>
    <x v="4"/>
    <x v="459"/>
    <x v="3"/>
    <x v="4"/>
    <x v="4"/>
    <n v="1.9508160000000001"/>
    <n v="9045"/>
    <n v="9000"/>
    <n v="45"/>
    <n v="5.0000000000000001E-3"/>
    <n v="87.786720000000003"/>
    <m/>
  </r>
  <r>
    <x v="7"/>
    <x v="179"/>
    <x v="5"/>
    <x v="460"/>
    <x v="1"/>
    <x v="9"/>
    <x v="9"/>
    <n v="1.21353"/>
    <n v="7127"/>
    <n v="7000"/>
    <n v="127"/>
    <n v="1.8142857142857141E-2"/>
    <n v="154.11831000000001"/>
    <m/>
  </r>
  <r>
    <x v="7"/>
    <x v="179"/>
    <x v="5"/>
    <x v="460"/>
    <x v="2"/>
    <x v="3"/>
    <x v="3"/>
    <n v="3.8943099999999999"/>
    <n v="13116"/>
    <n v="12800"/>
    <n v="316"/>
    <n v="2.4687500000000001E-2"/>
    <n v="1230.60196"/>
    <m/>
  </r>
  <r>
    <x v="7"/>
    <x v="179"/>
    <x v="5"/>
    <x v="460"/>
    <x v="3"/>
    <x v="4"/>
    <x v="4"/>
    <n v="1.9508160000000001"/>
    <n v="9110"/>
    <n v="9000"/>
    <n v="110"/>
    <n v="1.2222222222222223E-2"/>
    <n v="214.58976000000001"/>
    <m/>
  </r>
  <r>
    <x v="7"/>
    <x v="179"/>
    <x v="5"/>
    <x v="460"/>
    <x v="5"/>
    <x v="5"/>
    <x v="5"/>
    <n v="0"/>
    <n v="8"/>
    <m/>
    <n v="8"/>
    <n v="1"/>
    <n v="0"/>
    <m/>
  </r>
  <r>
    <x v="7"/>
    <x v="179"/>
    <x v="6"/>
    <x v="461"/>
    <x v="0"/>
    <x v="5"/>
    <x v="5"/>
    <n v="0"/>
    <n v="198"/>
    <m/>
    <n v="198"/>
    <n v="1"/>
    <n v="0"/>
    <m/>
  </r>
  <r>
    <x v="7"/>
    <x v="179"/>
    <x v="6"/>
    <x v="461"/>
    <x v="1"/>
    <x v="9"/>
    <x v="9"/>
    <n v="1.21353"/>
    <n v="9014"/>
    <n v="9000"/>
    <n v="14"/>
    <n v="1.5555555555555555E-3"/>
    <n v="16.989419999999999"/>
    <m/>
  </r>
  <r>
    <x v="7"/>
    <x v="179"/>
    <x v="6"/>
    <x v="461"/>
    <x v="2"/>
    <x v="3"/>
    <x v="3"/>
    <n v="3.8943099999999999"/>
    <n v="10847"/>
    <n v="10400"/>
    <n v="447"/>
    <n v="4.2980769230769232E-2"/>
    <n v="1740.75657"/>
    <m/>
  </r>
  <r>
    <x v="7"/>
    <x v="179"/>
    <x v="6"/>
    <x v="461"/>
    <x v="5"/>
    <x v="5"/>
    <x v="5"/>
    <n v="0"/>
    <n v="7"/>
    <m/>
    <n v="7"/>
    <n v="1"/>
    <n v="0"/>
    <m/>
  </r>
  <r>
    <x v="7"/>
    <x v="179"/>
    <x v="6"/>
    <x v="461"/>
    <x v="3"/>
    <x v="4"/>
    <x v="4"/>
    <n v="1.9508160000000001"/>
    <n v="9046"/>
    <n v="9000"/>
    <n v="46"/>
    <n v="5.1111111111111114E-3"/>
    <n v="89.737536000000006"/>
    <m/>
  </r>
  <r>
    <x v="7"/>
    <x v="180"/>
    <x v="5"/>
    <x v="462"/>
    <x v="0"/>
    <x v="13"/>
    <x v="14"/>
    <n v="0"/>
    <n v="749"/>
    <n v="0"/>
    <n v="749"/>
    <n v="1"/>
    <n v="0"/>
    <m/>
  </r>
  <r>
    <x v="7"/>
    <x v="180"/>
    <x v="5"/>
    <x v="462"/>
    <x v="2"/>
    <x v="3"/>
    <x v="3"/>
    <n v="3.8943099999999999"/>
    <n v="12438"/>
    <n v="12000"/>
    <n v="438"/>
    <n v="3.6499999999999998E-2"/>
    <n v="1705.70778"/>
    <m/>
  </r>
  <r>
    <x v="7"/>
    <x v="180"/>
    <x v="5"/>
    <x v="462"/>
    <x v="3"/>
    <x v="4"/>
    <x v="4"/>
    <n v="1.9508160000000001"/>
    <n v="9045"/>
    <n v="9000"/>
    <n v="45"/>
    <n v="5.0000000000000001E-3"/>
    <n v="87.786720000000003"/>
    <m/>
  </r>
  <r>
    <x v="7"/>
    <x v="180"/>
    <x v="5"/>
    <x v="462"/>
    <x v="5"/>
    <x v="5"/>
    <x v="5"/>
    <n v="0"/>
    <n v="10"/>
    <m/>
    <n v="10"/>
    <n v="1"/>
    <n v="0"/>
    <m/>
  </r>
  <r>
    <x v="7"/>
    <x v="180"/>
    <x v="5"/>
    <x v="462"/>
    <x v="1"/>
    <x v="9"/>
    <x v="9"/>
    <n v="1.21353"/>
    <n v="12061"/>
    <n v="12000"/>
    <n v="61"/>
    <n v="5.0833333333333329E-3"/>
    <n v="74.025329999999997"/>
    <m/>
  </r>
  <r>
    <x v="7"/>
    <x v="180"/>
    <x v="6"/>
    <x v="463"/>
    <x v="0"/>
    <x v="13"/>
    <x v="14"/>
    <n v="0"/>
    <n v="12237.8"/>
    <n v="11404.8"/>
    <n v="833"/>
    <n v="7.303942199775533E-2"/>
    <n v="0"/>
    <m/>
  </r>
  <r>
    <x v="7"/>
    <x v="180"/>
    <x v="6"/>
    <x v="463"/>
    <x v="1"/>
    <x v="9"/>
    <x v="9"/>
    <n v="1.21353"/>
    <n v="9044"/>
    <n v="9000"/>
    <n v="44"/>
    <n v="4.8888888888888888E-3"/>
    <n v="53.395319999999998"/>
    <m/>
  </r>
  <r>
    <x v="7"/>
    <x v="180"/>
    <x v="6"/>
    <x v="463"/>
    <x v="2"/>
    <x v="3"/>
    <x v="3"/>
    <n v="3.8943099999999999"/>
    <n v="5105"/>
    <n v="4800"/>
    <n v="305"/>
    <n v="6.3541666666666663E-2"/>
    <n v="1187.7645499999999"/>
    <m/>
  </r>
  <r>
    <x v="7"/>
    <x v="180"/>
    <x v="6"/>
    <x v="463"/>
    <x v="3"/>
    <x v="4"/>
    <x v="4"/>
    <n v="1.9508160000000001"/>
    <n v="5070"/>
    <n v="5000"/>
    <n v="70"/>
    <n v="1.4E-2"/>
    <n v="136.55712"/>
    <m/>
  </r>
  <r>
    <x v="7"/>
    <x v="180"/>
    <x v="6"/>
    <x v="463"/>
    <x v="5"/>
    <x v="5"/>
    <x v="5"/>
    <n v="0"/>
    <n v="6"/>
    <m/>
    <n v="6"/>
    <n v="1"/>
    <n v="0"/>
    <m/>
  </r>
  <r>
    <x v="7"/>
    <x v="181"/>
    <x v="5"/>
    <x v="464"/>
    <x v="3"/>
    <x v="4"/>
    <x v="4"/>
    <n v="1.9508160000000001"/>
    <n v="8018"/>
    <n v="8000"/>
    <n v="18"/>
    <n v="2.2499999999999998E-3"/>
    <n v="35.114688000000001"/>
    <m/>
  </r>
  <r>
    <x v="7"/>
    <x v="181"/>
    <x v="6"/>
    <x v="465"/>
    <x v="3"/>
    <x v="4"/>
    <x v="4"/>
    <n v="1.9508160000000001"/>
    <n v="9021"/>
    <n v="9000"/>
    <n v="21"/>
    <n v="2.3333333333333335E-3"/>
    <n v="40.967136000000004"/>
    <m/>
  </r>
  <r>
    <x v="7"/>
    <x v="182"/>
    <x v="5"/>
    <x v="466"/>
    <x v="1"/>
    <x v="4"/>
    <x v="4"/>
    <n v="1.9508160000000001"/>
    <n v="3686"/>
    <n v="3500"/>
    <n v="186"/>
    <n v="5.3142857142857144E-2"/>
    <n v="362.85177600000003"/>
    <m/>
  </r>
  <r>
    <x v="7"/>
    <x v="182"/>
    <x v="5"/>
    <x v="466"/>
    <x v="1"/>
    <x v="4"/>
    <x v="4"/>
    <n v="1.9508160000000001"/>
    <n v="3543"/>
    <n v="3500"/>
    <n v="43"/>
    <n v="1.2285714285714285E-2"/>
    <n v="83.88508800000001"/>
    <m/>
  </r>
  <r>
    <x v="7"/>
    <x v="182"/>
    <x v="5"/>
    <x v="466"/>
    <x v="3"/>
    <x v="4"/>
    <x v="4"/>
    <n v="1.9508160000000001"/>
    <n v="9051"/>
    <n v="9000"/>
    <n v="51"/>
    <n v="5.6666666666666671E-3"/>
    <n v="99.491616000000008"/>
    <m/>
  </r>
  <r>
    <x v="7"/>
    <x v="182"/>
    <x v="5"/>
    <x v="466"/>
    <x v="5"/>
    <x v="5"/>
    <x v="5"/>
    <n v="0"/>
    <n v="20"/>
    <m/>
    <n v="20"/>
    <n v="1"/>
    <n v="0"/>
    <m/>
  </r>
  <r>
    <x v="7"/>
    <x v="182"/>
    <x v="6"/>
    <x v="467"/>
    <x v="1"/>
    <x v="4"/>
    <x v="4"/>
    <n v="1.9508160000000001"/>
    <n v="4212"/>
    <n v="4000"/>
    <n v="212"/>
    <n v="5.2999999999999999E-2"/>
    <n v="413.572992"/>
    <m/>
  </r>
  <r>
    <x v="7"/>
    <x v="182"/>
    <x v="6"/>
    <x v="467"/>
    <x v="1"/>
    <x v="4"/>
    <x v="4"/>
    <n v="1.9508160000000001"/>
    <n v="4010"/>
    <n v="4000"/>
    <n v="10"/>
    <n v="2.5000000000000001E-3"/>
    <n v="19.50816"/>
    <m/>
  </r>
  <r>
    <x v="7"/>
    <x v="182"/>
    <x v="6"/>
    <x v="467"/>
    <x v="5"/>
    <x v="5"/>
    <x v="5"/>
    <n v="0"/>
    <n v="10"/>
    <m/>
    <n v="10"/>
    <n v="1"/>
    <n v="0"/>
    <m/>
  </r>
  <r>
    <x v="7"/>
    <x v="183"/>
    <x v="5"/>
    <x v="468"/>
    <x v="0"/>
    <x v="1"/>
    <x v="1"/>
    <n v="1.91178"/>
    <n v="4016.24"/>
    <n v="3226.24"/>
    <n v="790"/>
    <n v="0.24486708986312242"/>
    <n v="1510.3062"/>
    <m/>
  </r>
  <r>
    <x v="7"/>
    <x v="183"/>
    <x v="5"/>
    <x v="468"/>
    <x v="2"/>
    <x v="3"/>
    <x v="3"/>
    <n v="3.8943099999999999"/>
    <n v="4909"/>
    <n v="4800"/>
    <n v="109"/>
    <n v="2.2708333333333334E-2"/>
    <n v="424.47978999999998"/>
    <m/>
  </r>
  <r>
    <x v="7"/>
    <x v="183"/>
    <x v="5"/>
    <x v="468"/>
    <x v="3"/>
    <x v="4"/>
    <x v="4"/>
    <n v="1.9508160000000001"/>
    <n v="8207"/>
    <n v="8000"/>
    <n v="207"/>
    <n v="2.5874999999999999E-2"/>
    <n v="403.81891200000001"/>
    <m/>
  </r>
  <r>
    <x v="7"/>
    <x v="183"/>
    <x v="5"/>
    <x v="468"/>
    <x v="5"/>
    <x v="5"/>
    <x v="5"/>
    <n v="0"/>
    <n v="15"/>
    <m/>
    <n v="15"/>
    <n v="1"/>
    <n v="0"/>
    <m/>
  </r>
  <r>
    <x v="7"/>
    <x v="183"/>
    <x v="6"/>
    <x v="469"/>
    <x v="0"/>
    <x v="1"/>
    <x v="1"/>
    <n v="1.91178"/>
    <n v="11133.8"/>
    <n v="10584.8"/>
    <n v="549"/>
    <n v="5.1866827904164463E-2"/>
    <n v="1049.5672199999999"/>
    <m/>
  </r>
  <r>
    <x v="7"/>
    <x v="183"/>
    <x v="6"/>
    <x v="469"/>
    <x v="1"/>
    <x v="4"/>
    <x v="4"/>
    <n v="1.9508160000000001"/>
    <n v="10088"/>
    <n v="10000"/>
    <n v="88"/>
    <n v="8.8000000000000005E-3"/>
    <n v="171.671808"/>
    <m/>
  </r>
  <r>
    <x v="7"/>
    <x v="183"/>
    <x v="6"/>
    <x v="469"/>
    <x v="2"/>
    <x v="3"/>
    <x v="3"/>
    <n v="3.8943099999999999"/>
    <n v="11257"/>
    <n v="11200"/>
    <n v="57"/>
    <n v="5.0892857142857146E-3"/>
    <n v="221.97567000000001"/>
    <m/>
  </r>
  <r>
    <x v="7"/>
    <x v="183"/>
    <x v="6"/>
    <x v="469"/>
    <x v="5"/>
    <x v="5"/>
    <x v="5"/>
    <n v="0"/>
    <n v="5"/>
    <m/>
    <n v="5"/>
    <n v="1"/>
    <n v="0"/>
    <m/>
  </r>
  <r>
    <x v="7"/>
    <x v="183"/>
    <x v="6"/>
    <x v="469"/>
    <x v="3"/>
    <x v="4"/>
    <x v="4"/>
    <n v="1.9508160000000001"/>
    <n v="5214"/>
    <n v="5000"/>
    <n v="214"/>
    <n v="4.2799999999999998E-2"/>
    <n v="417.47462400000001"/>
    <m/>
  </r>
  <r>
    <x v="7"/>
    <x v="184"/>
    <x v="3"/>
    <x v="470"/>
    <x v="0"/>
    <x v="1"/>
    <x v="1"/>
    <n v="1.91178"/>
    <n v="11988.53"/>
    <n v="11507.53"/>
    <n v="481"/>
    <n v="4.1798717882986183E-2"/>
    <n v="919.56618000000003"/>
    <m/>
  </r>
  <r>
    <x v="7"/>
    <x v="184"/>
    <x v="3"/>
    <x v="470"/>
    <x v="1"/>
    <x v="4"/>
    <x v="4"/>
    <n v="1.9508160000000001"/>
    <n v="8037"/>
    <n v="8000"/>
    <n v="37"/>
    <n v="4.6249999999999998E-3"/>
    <n v="72.180192000000005"/>
    <m/>
  </r>
  <r>
    <x v="7"/>
    <x v="184"/>
    <x v="3"/>
    <x v="470"/>
    <x v="2"/>
    <x v="3"/>
    <x v="3"/>
    <n v="3.8943099999999999"/>
    <n v="10436"/>
    <n v="10400"/>
    <n v="36"/>
    <n v="3.4615384615384616E-3"/>
    <n v="140.19515999999999"/>
    <m/>
  </r>
  <r>
    <x v="7"/>
    <x v="184"/>
    <x v="3"/>
    <x v="470"/>
    <x v="3"/>
    <x v="4"/>
    <x v="4"/>
    <n v="1.9508160000000001"/>
    <n v="7323"/>
    <n v="7000"/>
    <n v="323"/>
    <n v="4.6142857142857145E-2"/>
    <n v="630.11356799999999"/>
    <m/>
  </r>
  <r>
    <x v="7"/>
    <x v="184"/>
    <x v="3"/>
    <x v="470"/>
    <x v="5"/>
    <x v="5"/>
    <x v="5"/>
    <n v="0"/>
    <n v="5"/>
    <m/>
    <n v="5"/>
    <n v="1"/>
    <n v="0"/>
    <m/>
  </r>
  <r>
    <x v="7"/>
    <x v="184"/>
    <x v="4"/>
    <x v="471"/>
    <x v="0"/>
    <x v="1"/>
    <x v="1"/>
    <n v="1.91178"/>
    <n v="7151"/>
    <n v="6400"/>
    <n v="751"/>
    <n v="0.11734375"/>
    <n v="1435.7467799999999"/>
    <m/>
  </r>
  <r>
    <x v="7"/>
    <x v="184"/>
    <x v="4"/>
    <x v="471"/>
    <x v="1"/>
    <x v="4"/>
    <x v="4"/>
    <n v="1.9508160000000001"/>
    <n v="8176"/>
    <n v="8000"/>
    <n v="176"/>
    <n v="2.1999999999999999E-2"/>
    <n v="343.343616"/>
    <m/>
  </r>
  <r>
    <x v="7"/>
    <x v="184"/>
    <x v="4"/>
    <x v="471"/>
    <x v="2"/>
    <x v="3"/>
    <x v="3"/>
    <n v="3.8943099999999999"/>
    <n v="12098"/>
    <n v="12000"/>
    <n v="98"/>
    <n v="8.1666666666666658E-3"/>
    <n v="381.64238"/>
    <m/>
  </r>
  <r>
    <x v="7"/>
    <x v="184"/>
    <x v="4"/>
    <x v="471"/>
    <x v="5"/>
    <x v="5"/>
    <x v="5"/>
    <n v="0"/>
    <n v="136"/>
    <m/>
    <n v="136"/>
    <n v="1"/>
    <n v="0"/>
    <m/>
  </r>
  <r>
    <x v="7"/>
    <x v="185"/>
    <x v="3"/>
    <x v="472"/>
    <x v="0"/>
    <x v="1"/>
    <x v="1"/>
    <n v="1.91178"/>
    <n v="15116.8"/>
    <n v="14240.8"/>
    <n v="876"/>
    <n v="6.1513398123700921E-2"/>
    <n v="1674.71928"/>
    <m/>
  </r>
  <r>
    <x v="7"/>
    <x v="185"/>
    <x v="3"/>
    <x v="472"/>
    <x v="1"/>
    <x v="4"/>
    <x v="4"/>
    <n v="1.9508160000000001"/>
    <n v="7195"/>
    <n v="7000"/>
    <n v="195"/>
    <n v="2.7857142857142858E-2"/>
    <n v="380.40912000000003"/>
    <m/>
  </r>
  <r>
    <x v="7"/>
    <x v="185"/>
    <x v="3"/>
    <x v="472"/>
    <x v="2"/>
    <x v="3"/>
    <x v="3"/>
    <n v="3.8943099999999999"/>
    <n v="12015"/>
    <n v="12000"/>
    <n v="15"/>
    <n v="1.25E-3"/>
    <n v="58.414650000000002"/>
    <m/>
  </r>
  <r>
    <x v="7"/>
    <x v="185"/>
    <x v="3"/>
    <x v="472"/>
    <x v="5"/>
    <x v="5"/>
    <x v="5"/>
    <n v="0"/>
    <n v="60"/>
    <m/>
    <n v="60"/>
    <n v="1"/>
    <n v="0"/>
    <m/>
  </r>
  <r>
    <x v="7"/>
    <x v="185"/>
    <x v="4"/>
    <x v="473"/>
    <x v="0"/>
    <x v="1"/>
    <x v="1"/>
    <n v="1.91178"/>
    <n v="12909.2"/>
    <n v="12491.2"/>
    <n v="418"/>
    <n v="3.3463558345074931E-2"/>
    <n v="799.12404000000004"/>
    <m/>
  </r>
  <r>
    <x v="7"/>
    <x v="185"/>
    <x v="4"/>
    <x v="473"/>
    <x v="2"/>
    <x v="3"/>
    <x v="3"/>
    <n v="3.8943099999999999"/>
    <n v="12993"/>
    <n v="12800"/>
    <n v="193"/>
    <n v="1.5078125E-2"/>
    <n v="751.60182999999995"/>
    <m/>
  </r>
  <r>
    <x v="7"/>
    <x v="185"/>
    <x v="4"/>
    <x v="473"/>
    <x v="5"/>
    <x v="5"/>
    <x v="5"/>
    <n v="0"/>
    <n v="8"/>
    <m/>
    <n v="8"/>
    <n v="1"/>
    <n v="0"/>
    <m/>
  </r>
  <r>
    <x v="7"/>
    <x v="186"/>
    <x v="5"/>
    <x v="474"/>
    <x v="0"/>
    <x v="1"/>
    <x v="1"/>
    <n v="1.91178"/>
    <n v="16696.599999999999"/>
    <n v="15753.6"/>
    <n v="943"/>
    <n v="5.9859333739589682E-2"/>
    <n v="1802.80854"/>
    <m/>
  </r>
  <r>
    <x v="7"/>
    <x v="186"/>
    <x v="5"/>
    <x v="474"/>
    <x v="1"/>
    <x v="4"/>
    <x v="4"/>
    <n v="1.9508160000000001"/>
    <n v="7353"/>
    <n v="7000"/>
    <n v="353"/>
    <n v="5.0428571428571427E-2"/>
    <n v="688.63804800000003"/>
    <m/>
  </r>
  <r>
    <x v="7"/>
    <x v="186"/>
    <x v="5"/>
    <x v="474"/>
    <x v="2"/>
    <x v="3"/>
    <x v="3"/>
    <n v="3.8943099999999999"/>
    <n v="2479"/>
    <n v="2400"/>
    <n v="79"/>
    <n v="3.2916666666666664E-2"/>
    <n v="307.65048999999999"/>
    <m/>
  </r>
  <r>
    <x v="7"/>
    <x v="186"/>
    <x v="5"/>
    <x v="474"/>
    <x v="3"/>
    <x v="4"/>
    <x v="4"/>
    <n v="1.9508160000000001"/>
    <n v="6101"/>
    <n v="6000"/>
    <n v="101"/>
    <n v="1.6833333333333332E-2"/>
    <n v="197.03241600000001"/>
    <m/>
  </r>
  <r>
    <x v="7"/>
    <x v="186"/>
    <x v="6"/>
    <x v="475"/>
    <x v="0"/>
    <x v="1"/>
    <x v="1"/>
    <n v="1.91178"/>
    <n v="19410.599999999999"/>
    <n v="19053.599999999999"/>
    <n v="357"/>
    <n v="1.8736616702355463E-2"/>
    <n v="682.50545999999997"/>
    <m/>
  </r>
  <r>
    <x v="7"/>
    <x v="186"/>
    <x v="6"/>
    <x v="475"/>
    <x v="1"/>
    <x v="4"/>
    <x v="4"/>
    <n v="1.9508160000000001"/>
    <n v="8005"/>
    <n v="8000"/>
    <n v="5"/>
    <n v="6.2500000000000001E-4"/>
    <n v="9.7540800000000001"/>
    <m/>
  </r>
  <r>
    <x v="7"/>
    <x v="186"/>
    <x v="6"/>
    <x v="475"/>
    <x v="2"/>
    <x v="3"/>
    <x v="3"/>
    <n v="3.8943099999999999"/>
    <n v="12210"/>
    <n v="12000"/>
    <n v="210"/>
    <n v="1.7500000000000002E-2"/>
    <n v="817.80510000000004"/>
    <m/>
  </r>
  <r>
    <x v="7"/>
    <x v="186"/>
    <x v="6"/>
    <x v="475"/>
    <x v="5"/>
    <x v="5"/>
    <x v="5"/>
    <n v="0"/>
    <n v="98"/>
    <m/>
    <n v="98"/>
    <n v="1"/>
    <n v="0"/>
    <m/>
  </r>
  <r>
    <x v="7"/>
    <x v="187"/>
    <x v="5"/>
    <x v="476"/>
    <x v="0"/>
    <x v="1"/>
    <x v="1"/>
    <n v="1.91178"/>
    <n v="12282.8"/>
    <n v="11404.8"/>
    <n v="878"/>
    <n v="7.6985129068462402E-2"/>
    <n v="1678.5428400000001"/>
    <m/>
  </r>
  <r>
    <x v="7"/>
    <x v="187"/>
    <x v="5"/>
    <x v="476"/>
    <x v="1"/>
    <x v="4"/>
    <x v="4"/>
    <n v="1.9508160000000001"/>
    <n v="9168"/>
    <n v="9000"/>
    <n v="168"/>
    <n v="1.8666666666666668E-2"/>
    <n v="327.73708800000003"/>
    <m/>
  </r>
  <r>
    <x v="7"/>
    <x v="187"/>
    <x v="5"/>
    <x v="476"/>
    <x v="2"/>
    <x v="3"/>
    <x v="3"/>
    <n v="3.8943099999999999"/>
    <n v="12225"/>
    <n v="12000"/>
    <n v="225"/>
    <n v="1.8749999999999999E-2"/>
    <n v="876.21974999999998"/>
    <m/>
  </r>
  <r>
    <x v="7"/>
    <x v="187"/>
    <x v="5"/>
    <x v="476"/>
    <x v="3"/>
    <x v="4"/>
    <x v="4"/>
    <n v="1.9508160000000001"/>
    <n v="7208"/>
    <n v="7000"/>
    <n v="208"/>
    <n v="2.9714285714285714E-2"/>
    <n v="405.76972800000004"/>
    <m/>
  </r>
  <r>
    <x v="7"/>
    <x v="187"/>
    <x v="6"/>
    <x v="477"/>
    <x v="0"/>
    <x v="1"/>
    <x v="1"/>
    <n v="1.91178"/>
    <n v="14519.4"/>
    <n v="14030.4"/>
    <n v="489"/>
    <n v="3.4852890865549095E-2"/>
    <n v="934.86041999999998"/>
    <m/>
  </r>
  <r>
    <x v="7"/>
    <x v="187"/>
    <x v="6"/>
    <x v="477"/>
    <x v="1"/>
    <x v="4"/>
    <x v="4"/>
    <n v="1.9508160000000001"/>
    <n v="6061"/>
    <n v="6000"/>
    <n v="61"/>
    <n v="1.0166666666666666E-2"/>
    <n v="118.99977600000001"/>
    <m/>
  </r>
  <r>
    <x v="7"/>
    <x v="187"/>
    <x v="6"/>
    <x v="477"/>
    <x v="2"/>
    <x v="3"/>
    <x v="3"/>
    <n v="3.8943099999999999"/>
    <n v="10629"/>
    <n v="10400"/>
    <n v="229"/>
    <n v="2.201923076923077E-2"/>
    <n v="891.79698999999994"/>
    <m/>
  </r>
  <r>
    <x v="7"/>
    <x v="187"/>
    <x v="6"/>
    <x v="477"/>
    <x v="5"/>
    <x v="5"/>
    <x v="5"/>
    <n v="0"/>
    <n v="6"/>
    <m/>
    <n v="6"/>
    <n v="1"/>
    <n v="0"/>
    <m/>
  </r>
  <r>
    <x v="7"/>
    <x v="188"/>
    <x v="5"/>
    <x v="478"/>
    <x v="0"/>
    <x v="1"/>
    <x v="1"/>
    <n v="1.91178"/>
    <n v="15586"/>
    <n v="15035"/>
    <n v="551"/>
    <n v="3.6647821749251748E-2"/>
    <n v="1053.3907799999999"/>
    <m/>
  </r>
  <r>
    <x v="7"/>
    <x v="188"/>
    <x v="5"/>
    <x v="478"/>
    <x v="1"/>
    <x v="4"/>
    <x v="4"/>
    <n v="1.9508160000000001"/>
    <n v="8139"/>
    <n v="8000"/>
    <n v="139"/>
    <n v="1.7375000000000002E-2"/>
    <n v="271.16342400000002"/>
    <m/>
  </r>
  <r>
    <x v="7"/>
    <x v="188"/>
    <x v="5"/>
    <x v="478"/>
    <x v="3"/>
    <x v="4"/>
    <x v="4"/>
    <n v="1.9508160000000001"/>
    <n v="8153"/>
    <n v="8000"/>
    <n v="153"/>
    <n v="1.9125E-2"/>
    <n v="298.47484800000001"/>
    <m/>
  </r>
  <r>
    <x v="7"/>
    <x v="188"/>
    <x v="6"/>
    <x v="479"/>
    <x v="0"/>
    <x v="1"/>
    <x v="1"/>
    <n v="1.91178"/>
    <n v="15363"/>
    <n v="14820"/>
    <n v="543"/>
    <n v="3.6639676113360324E-2"/>
    <n v="1038.09654"/>
    <m/>
  </r>
  <r>
    <x v="7"/>
    <x v="188"/>
    <x v="6"/>
    <x v="479"/>
    <x v="1"/>
    <x v="4"/>
    <x v="4"/>
    <n v="1.9508160000000001"/>
    <n v="7379"/>
    <n v="7000"/>
    <n v="379"/>
    <n v="5.4142857142857145E-2"/>
    <n v="739.35926400000005"/>
    <m/>
  </r>
  <r>
    <x v="7"/>
    <x v="188"/>
    <x v="6"/>
    <x v="479"/>
    <x v="5"/>
    <x v="5"/>
    <x v="5"/>
    <n v="0"/>
    <n v="8"/>
    <m/>
    <n v="8"/>
    <n v="1"/>
    <n v="0"/>
    <m/>
  </r>
  <r>
    <x v="7"/>
    <x v="189"/>
    <x v="3"/>
    <x v="480"/>
    <x v="0"/>
    <x v="1"/>
    <x v="1"/>
    <n v="1.91178"/>
    <n v="15456.25"/>
    <n v="14789.25"/>
    <n v="667"/>
    <n v="4.5100326250485996E-2"/>
    <n v="1275.15726"/>
    <m/>
  </r>
  <r>
    <x v="7"/>
    <x v="189"/>
    <x v="3"/>
    <x v="480"/>
    <x v="2"/>
    <x v="3"/>
    <x v="3"/>
    <n v="3.8943099999999999"/>
    <n v="8832"/>
    <n v="8800"/>
    <n v="32"/>
    <n v="3.6363636363636364E-3"/>
    <n v="124.61792"/>
    <m/>
  </r>
  <r>
    <x v="7"/>
    <x v="189"/>
    <x v="3"/>
    <x v="480"/>
    <x v="3"/>
    <x v="4"/>
    <x v="4"/>
    <n v="1.9508160000000001"/>
    <n v="7023"/>
    <n v="7000"/>
    <n v="23"/>
    <n v="3.2857142857142859E-3"/>
    <n v="44.868768000000003"/>
    <m/>
  </r>
  <r>
    <x v="7"/>
    <x v="189"/>
    <x v="3"/>
    <x v="480"/>
    <x v="5"/>
    <x v="5"/>
    <x v="5"/>
    <n v="0"/>
    <n v="45"/>
    <m/>
    <n v="45"/>
    <n v="1"/>
    <n v="0"/>
    <m/>
  </r>
  <r>
    <x v="7"/>
    <x v="189"/>
    <x v="4"/>
    <x v="481"/>
    <x v="0"/>
    <x v="1"/>
    <x v="1"/>
    <n v="1.91178"/>
    <n v="6384.8"/>
    <n v="5955.8"/>
    <n v="429"/>
    <n v="7.2030625608650395E-2"/>
    <n v="820.15362000000005"/>
    <m/>
  </r>
  <r>
    <x v="7"/>
    <x v="189"/>
    <x v="4"/>
    <x v="481"/>
    <x v="3"/>
    <x v="4"/>
    <x v="4"/>
    <n v="1.9508160000000001"/>
    <n v="9011"/>
    <n v="9000"/>
    <n v="11"/>
    <n v="1.2222222222222222E-3"/>
    <n v="21.458976"/>
    <m/>
  </r>
  <r>
    <x v="7"/>
    <x v="190"/>
    <x v="3"/>
    <x v="482"/>
    <x v="0"/>
    <x v="1"/>
    <x v="1"/>
    <n v="1.91178"/>
    <n v="13983.83"/>
    <n v="13404.83"/>
    <n v="579"/>
    <n v="4.319338626450317E-2"/>
    <n v="1106.9206200000001"/>
    <m/>
  </r>
  <r>
    <x v="7"/>
    <x v="190"/>
    <x v="3"/>
    <x v="482"/>
    <x v="2"/>
    <x v="3"/>
    <x v="3"/>
    <n v="3.8943099999999999"/>
    <n v="10434"/>
    <n v="10400"/>
    <n v="34"/>
    <n v="3.2692307692307691E-3"/>
    <n v="132.40654000000001"/>
    <m/>
  </r>
  <r>
    <x v="7"/>
    <x v="190"/>
    <x v="3"/>
    <x v="482"/>
    <x v="3"/>
    <x v="4"/>
    <x v="4"/>
    <n v="1.9508160000000001"/>
    <n v="9029"/>
    <n v="9000"/>
    <n v="29"/>
    <n v="3.2222222222222222E-3"/>
    <n v="56.573664000000001"/>
    <m/>
  </r>
  <r>
    <x v="7"/>
    <x v="190"/>
    <x v="4"/>
    <x v="483"/>
    <x v="0"/>
    <x v="1"/>
    <x v="1"/>
    <n v="1.91178"/>
    <n v="11217"/>
    <n v="10692"/>
    <n v="525"/>
    <n v="4.9102132435465767E-2"/>
    <n v="1003.6845000000001"/>
    <m/>
  </r>
  <r>
    <x v="7"/>
    <x v="191"/>
    <x v="5"/>
    <x v="484"/>
    <x v="0"/>
    <x v="1"/>
    <x v="1"/>
    <n v="1.91178"/>
    <n v="12507.8"/>
    <n v="11404.8"/>
    <n v="1103"/>
    <n v="9.6713664421997761E-2"/>
    <n v="2108.6933400000003"/>
    <m/>
  </r>
  <r>
    <x v="7"/>
    <x v="191"/>
    <x v="5"/>
    <x v="484"/>
    <x v="3"/>
    <x v="4"/>
    <x v="4"/>
    <n v="1.9508160000000001"/>
    <n v="8187"/>
    <n v="8000"/>
    <n v="187"/>
    <n v="2.3375E-2"/>
    <n v="364.802592"/>
    <m/>
  </r>
  <r>
    <x v="7"/>
    <x v="191"/>
    <x v="5"/>
    <x v="484"/>
    <x v="5"/>
    <x v="5"/>
    <x v="5"/>
    <n v="0"/>
    <n v="5"/>
    <m/>
    <n v="5"/>
    <n v="1"/>
    <n v="0"/>
    <m/>
  </r>
  <r>
    <x v="7"/>
    <x v="191"/>
    <x v="6"/>
    <x v="485"/>
    <x v="0"/>
    <x v="1"/>
    <x v="1"/>
    <n v="1.91178"/>
    <n v="8392.7999999999993"/>
    <n v="7840.8"/>
    <n v="552"/>
    <n v="7.0400979491888588E-2"/>
    <n v="1055.3025600000001"/>
    <m/>
  </r>
  <r>
    <x v="7"/>
    <x v="191"/>
    <x v="6"/>
    <x v="485"/>
    <x v="2"/>
    <x v="3"/>
    <x v="3"/>
    <n v="3.8943099999999999"/>
    <n v="9833"/>
    <n v="9600"/>
    <n v="233"/>
    <n v="2.4270833333333332E-2"/>
    <n v="907.37423000000001"/>
    <m/>
  </r>
  <r>
    <x v="7"/>
    <x v="191"/>
    <x v="6"/>
    <x v="485"/>
    <x v="5"/>
    <x v="5"/>
    <x v="5"/>
    <n v="0"/>
    <n v="7"/>
    <m/>
    <n v="7"/>
    <n v="1"/>
    <n v="0"/>
    <m/>
  </r>
  <r>
    <x v="7"/>
    <x v="192"/>
    <x v="5"/>
    <x v="486"/>
    <x v="0"/>
    <x v="1"/>
    <x v="1"/>
    <n v="1.91178"/>
    <n v="13873.4"/>
    <n v="12830.4"/>
    <n v="1043"/>
    <n v="8.129130814315999E-2"/>
    <n v="1993.9865400000001"/>
    <m/>
  </r>
  <r>
    <x v="7"/>
    <x v="192"/>
    <x v="5"/>
    <x v="486"/>
    <x v="2"/>
    <x v="3"/>
    <x v="3"/>
    <n v="3.8943099999999999"/>
    <n v="13119"/>
    <n v="12800"/>
    <n v="319"/>
    <n v="2.4921875E-2"/>
    <n v="1242.2848899999999"/>
    <m/>
  </r>
  <r>
    <x v="7"/>
    <x v="192"/>
    <x v="5"/>
    <x v="486"/>
    <x v="3"/>
    <x v="4"/>
    <x v="4"/>
    <n v="1.9508160000000001"/>
    <n v="9235"/>
    <n v="9000"/>
    <n v="235"/>
    <n v="2.6111111111111113E-2"/>
    <n v="458.44176000000004"/>
    <m/>
  </r>
  <r>
    <x v="7"/>
    <x v="192"/>
    <x v="6"/>
    <x v="487"/>
    <x v="0"/>
    <x v="1"/>
    <x v="1"/>
    <n v="1.91178"/>
    <n v="13405.6"/>
    <n v="12874.6"/>
    <n v="531"/>
    <n v="4.1243999813586438E-2"/>
    <n v="1015.15518"/>
    <m/>
  </r>
  <r>
    <x v="7"/>
    <x v="192"/>
    <x v="6"/>
    <x v="487"/>
    <x v="2"/>
    <x v="3"/>
    <x v="3"/>
    <n v="3.8943099999999999"/>
    <n v="11377"/>
    <n v="11200"/>
    <n v="177"/>
    <n v="1.5803571428571427E-2"/>
    <n v="689.29286999999999"/>
    <m/>
  </r>
  <r>
    <x v="7"/>
    <x v="192"/>
    <x v="6"/>
    <x v="487"/>
    <x v="5"/>
    <x v="5"/>
    <x v="5"/>
    <n v="0"/>
    <n v="8"/>
    <m/>
    <n v="8"/>
    <n v="1"/>
    <n v="0"/>
    <m/>
  </r>
  <r>
    <x v="7"/>
    <x v="193"/>
    <x v="3"/>
    <x v="488"/>
    <x v="0"/>
    <x v="1"/>
    <x v="1"/>
    <n v="1.91178"/>
    <n v="15233.8"/>
    <n v="14968.8"/>
    <n v="265"/>
    <n v="1.7703489925712149E-2"/>
    <n v="506.62170000000003"/>
    <m/>
  </r>
  <r>
    <x v="7"/>
    <x v="193"/>
    <x v="3"/>
    <x v="488"/>
    <x v="2"/>
    <x v="3"/>
    <x v="3"/>
    <n v="3.8943099999999999"/>
    <n v="10423"/>
    <n v="10400"/>
    <n v="23"/>
    <n v="2.2115384615384614E-3"/>
    <n v="89.569130000000001"/>
    <m/>
  </r>
  <r>
    <x v="7"/>
    <x v="193"/>
    <x v="4"/>
    <x v="489"/>
    <x v="0"/>
    <x v="1"/>
    <x v="1"/>
    <n v="1.91178"/>
    <n v="13311.4"/>
    <n v="12830.4"/>
    <n v="481"/>
    <n v="3.7489088415014339E-2"/>
    <n v="919.56618000000003"/>
    <m/>
  </r>
  <r>
    <x v="7"/>
    <x v="193"/>
    <x v="4"/>
    <x v="489"/>
    <x v="1"/>
    <x v="2"/>
    <x v="2"/>
    <n v="2.08013"/>
    <n v="12084"/>
    <n v="11520"/>
    <n v="564"/>
    <n v="4.8958333333333333E-2"/>
    <n v="1173.1933200000001"/>
    <m/>
  </r>
  <r>
    <x v="7"/>
    <x v="193"/>
    <x v="4"/>
    <x v="489"/>
    <x v="2"/>
    <x v="3"/>
    <x v="3"/>
    <n v="3.8943099999999999"/>
    <n v="10680"/>
    <n v="10400"/>
    <n v="280"/>
    <n v="2.6923076923076925E-2"/>
    <n v="1090.4068"/>
    <m/>
  </r>
  <r>
    <x v="7"/>
    <x v="194"/>
    <x v="3"/>
    <x v="490"/>
    <x v="0"/>
    <x v="1"/>
    <x v="1"/>
    <n v="1.91178"/>
    <n v="13959.2"/>
    <n v="13543.2"/>
    <n v="416"/>
    <n v="3.071652194459212E-2"/>
    <n v="795.30047999999999"/>
    <m/>
  </r>
  <r>
    <x v="7"/>
    <x v="194"/>
    <x v="3"/>
    <x v="490"/>
    <x v="2"/>
    <x v="3"/>
    <x v="3"/>
    <n v="3.8943099999999999"/>
    <n v="10450"/>
    <n v="10400"/>
    <n v="50"/>
    <n v="4.807692307692308E-3"/>
    <n v="194.71549999999999"/>
    <m/>
  </r>
  <r>
    <x v="7"/>
    <x v="194"/>
    <x v="3"/>
    <x v="490"/>
    <x v="3"/>
    <x v="4"/>
    <x v="4"/>
    <n v="1.9508160000000001"/>
    <n v="1009"/>
    <n v="1000"/>
    <n v="9"/>
    <n v="8.9999999999999993E-3"/>
    <n v="17.557344000000001"/>
    <m/>
  </r>
  <r>
    <x v="7"/>
    <x v="194"/>
    <x v="4"/>
    <x v="491"/>
    <x v="0"/>
    <x v="1"/>
    <x v="1"/>
    <n v="1.91178"/>
    <n v="11879.2"/>
    <n v="11404.2"/>
    <n v="475"/>
    <n v="4.1651321442977146E-2"/>
    <n v="908.09550000000002"/>
    <m/>
  </r>
  <r>
    <x v="7"/>
    <x v="194"/>
    <x v="4"/>
    <x v="491"/>
    <x v="1"/>
    <x v="2"/>
    <x v="2"/>
    <n v="2.08013"/>
    <n v="25535"/>
    <n v="24960"/>
    <n v="575"/>
    <n v="2.3036858974358976E-2"/>
    <n v="1196.07475"/>
    <m/>
  </r>
  <r>
    <x v="7"/>
    <x v="194"/>
    <x v="4"/>
    <x v="491"/>
    <x v="2"/>
    <x v="3"/>
    <x v="3"/>
    <n v="3.8943099999999999"/>
    <n v="10466"/>
    <n v="10400"/>
    <n v="66"/>
    <n v="6.346153846153846E-3"/>
    <n v="257.02445999999998"/>
    <m/>
  </r>
  <r>
    <x v="7"/>
    <x v="195"/>
    <x v="3"/>
    <x v="492"/>
    <x v="0"/>
    <x v="0"/>
    <x v="0"/>
    <n v="1.96"/>
    <n v="3580.52"/>
    <n v="3143.52"/>
    <n v="437"/>
    <n v="0.13901613477884664"/>
    <n v="856.52"/>
    <m/>
  </r>
  <r>
    <x v="7"/>
    <x v="195"/>
    <x v="3"/>
    <x v="492"/>
    <x v="1"/>
    <x v="2"/>
    <x v="2"/>
    <n v="2.08013"/>
    <n v="15245"/>
    <n v="14400"/>
    <n v="845"/>
    <n v="5.8680555555555555E-2"/>
    <n v="1757.70985"/>
    <m/>
  </r>
  <r>
    <x v="7"/>
    <x v="195"/>
    <x v="4"/>
    <x v="493"/>
    <x v="0"/>
    <x v="0"/>
    <x v="0"/>
    <n v="1.96"/>
    <n v="5973.36"/>
    <n v="5871.36"/>
    <n v="102"/>
    <n v="1.7372465663832572E-2"/>
    <n v="199.92"/>
    <m/>
  </r>
  <r>
    <x v="7"/>
    <x v="195"/>
    <x v="4"/>
    <x v="493"/>
    <x v="1"/>
    <x v="2"/>
    <x v="2"/>
    <n v="2.08013"/>
    <n v="3695"/>
    <n v="2880"/>
    <n v="815"/>
    <n v="0.2829861111111111"/>
    <n v="1695.3059499999999"/>
    <m/>
  </r>
  <r>
    <x v="7"/>
    <x v="196"/>
    <x v="5"/>
    <x v="494"/>
    <x v="0"/>
    <x v="0"/>
    <x v="0"/>
    <n v="1.96"/>
    <n v="11488.72"/>
    <n v="11022.72"/>
    <n v="466"/>
    <n v="4.2276316553445978E-2"/>
    <n v="913.36"/>
    <m/>
  </r>
  <r>
    <x v="7"/>
    <x v="196"/>
    <x v="5"/>
    <x v="494"/>
    <x v="1"/>
    <x v="2"/>
    <x v="2"/>
    <n v="2.08013"/>
    <n v="10865"/>
    <n v="10560"/>
    <n v="305"/>
    <n v="2.8882575757575756E-2"/>
    <n v="634.43965000000003"/>
    <m/>
  </r>
  <r>
    <x v="7"/>
    <x v="196"/>
    <x v="5"/>
    <x v="494"/>
    <x v="5"/>
    <x v="5"/>
    <x v="5"/>
    <n v="0"/>
    <n v="35"/>
    <m/>
    <n v="35"/>
    <n v="1"/>
    <n v="0"/>
    <m/>
  </r>
  <r>
    <x v="7"/>
    <x v="196"/>
    <x v="6"/>
    <x v="495"/>
    <x v="0"/>
    <x v="0"/>
    <x v="0"/>
    <n v="1.96"/>
    <n v="10153.719999999999"/>
    <n v="9582.7199999999993"/>
    <n v="571"/>
    <n v="5.9586422226674686E-2"/>
    <n v="1119.1600000000001"/>
    <m/>
  </r>
  <r>
    <x v="7"/>
    <x v="196"/>
    <x v="6"/>
    <x v="495"/>
    <x v="1"/>
    <x v="2"/>
    <x v="2"/>
    <n v="2.08013"/>
    <n v="10627"/>
    <n v="10560"/>
    <n v="67"/>
    <n v="6.3446969696969698E-3"/>
    <n v="139.36870999999999"/>
    <m/>
  </r>
  <r>
    <x v="7"/>
    <x v="196"/>
    <x v="6"/>
    <x v="495"/>
    <x v="3"/>
    <x v="4"/>
    <x v="4"/>
    <n v="1.9508160000000001"/>
    <n v="9070"/>
    <n v="9000"/>
    <n v="70"/>
    <n v="7.7777777777777776E-3"/>
    <n v="136.55712"/>
    <m/>
  </r>
  <r>
    <x v="7"/>
    <x v="196"/>
    <x v="6"/>
    <x v="495"/>
    <x v="5"/>
    <x v="5"/>
    <x v="5"/>
    <n v="0"/>
    <n v="22"/>
    <m/>
    <n v="22"/>
    <n v="1"/>
    <n v="0"/>
    <m/>
  </r>
  <r>
    <x v="7"/>
    <x v="197"/>
    <x v="5"/>
    <x v="496"/>
    <x v="0"/>
    <x v="0"/>
    <x v="0"/>
    <n v="1.96"/>
    <n v="7240.04"/>
    <n v="6773.04"/>
    <n v="467"/>
    <n v="6.8949836410238233E-2"/>
    <n v="915.31999999999994"/>
    <m/>
  </r>
  <r>
    <x v="7"/>
    <x v="197"/>
    <x v="5"/>
    <x v="496"/>
    <x v="1"/>
    <x v="2"/>
    <x v="2"/>
    <n v="2.08013"/>
    <n v="9978"/>
    <n v="9600"/>
    <n v="378"/>
    <n v="3.9375E-2"/>
    <n v="786.28913999999997"/>
    <m/>
  </r>
  <r>
    <x v="7"/>
    <x v="197"/>
    <x v="5"/>
    <x v="496"/>
    <x v="2"/>
    <x v="3"/>
    <x v="3"/>
    <n v="3.8943099999999999"/>
    <n v="9754"/>
    <n v="9600"/>
    <n v="154"/>
    <n v="1.6041666666666666E-2"/>
    <n v="599.72374000000002"/>
    <m/>
  </r>
  <r>
    <x v="7"/>
    <x v="197"/>
    <x v="5"/>
    <x v="496"/>
    <x v="5"/>
    <x v="5"/>
    <x v="5"/>
    <n v="0"/>
    <n v="22"/>
    <m/>
    <n v="22"/>
    <n v="1"/>
    <n v="0"/>
    <m/>
  </r>
  <r>
    <x v="7"/>
    <x v="197"/>
    <x v="6"/>
    <x v="497"/>
    <x v="0"/>
    <x v="0"/>
    <x v="0"/>
    <n v="1.96"/>
    <n v="6062.4"/>
    <n v="5678.4"/>
    <n v="384"/>
    <n v="6.76246830092984E-2"/>
    <n v="752.64"/>
    <m/>
  </r>
  <r>
    <x v="7"/>
    <x v="197"/>
    <x v="6"/>
    <x v="497"/>
    <x v="2"/>
    <x v="3"/>
    <x v="3"/>
    <n v="3.8943099999999999"/>
    <n v="11381"/>
    <n v="11200"/>
    <n v="181"/>
    <n v="1.6160714285714285E-2"/>
    <n v="704.87010999999995"/>
    <m/>
  </r>
  <r>
    <x v="7"/>
    <x v="197"/>
    <x v="6"/>
    <x v="497"/>
    <x v="3"/>
    <x v="4"/>
    <x v="4"/>
    <n v="1.9508160000000001"/>
    <n v="9048"/>
    <n v="9000"/>
    <n v="48"/>
    <n v="5.3333333333333332E-3"/>
    <n v="93.639168000000012"/>
    <m/>
  </r>
  <r>
    <x v="7"/>
    <x v="197"/>
    <x v="6"/>
    <x v="497"/>
    <x v="5"/>
    <x v="5"/>
    <x v="5"/>
    <n v="0"/>
    <n v="10"/>
    <m/>
    <n v="10"/>
    <n v="1"/>
    <n v="0"/>
    <m/>
  </r>
  <r>
    <x v="7"/>
    <x v="198"/>
    <x v="3"/>
    <x v="498"/>
    <x v="2"/>
    <x v="3"/>
    <x v="3"/>
    <n v="3.8943099999999999"/>
    <n v="9654"/>
    <n v="9600"/>
    <n v="54"/>
    <n v="5.6249999999999998E-3"/>
    <n v="210.29274000000001"/>
    <m/>
  </r>
  <r>
    <x v="7"/>
    <x v="198"/>
    <x v="3"/>
    <x v="498"/>
    <x v="3"/>
    <x v="4"/>
    <x v="4"/>
    <n v="1.9508160000000001"/>
    <n v="8004"/>
    <n v="8000"/>
    <n v="4"/>
    <n v="5.0000000000000001E-4"/>
    <n v="7.8032640000000004"/>
    <m/>
  </r>
  <r>
    <x v="7"/>
    <x v="198"/>
    <x v="3"/>
    <x v="498"/>
    <x v="5"/>
    <x v="5"/>
    <x v="5"/>
    <n v="0"/>
    <n v="90"/>
    <m/>
    <n v="90"/>
    <n v="1"/>
    <n v="0"/>
    <m/>
  </r>
  <r>
    <x v="7"/>
    <x v="198"/>
    <x v="4"/>
    <x v="499"/>
    <x v="2"/>
    <x v="3"/>
    <x v="3"/>
    <n v="3.8943099999999999"/>
    <n v="9617"/>
    <n v="9600"/>
    <n v="17"/>
    <n v="1.7708333333333332E-3"/>
    <n v="66.203270000000003"/>
    <m/>
  </r>
  <r>
    <x v="7"/>
    <x v="198"/>
    <x v="4"/>
    <x v="499"/>
    <x v="3"/>
    <x v="4"/>
    <x v="4"/>
    <n v="1.9508160000000001"/>
    <n v="8016"/>
    <n v="8000"/>
    <n v="16"/>
    <n v="2E-3"/>
    <n v="31.213056000000002"/>
    <m/>
  </r>
  <r>
    <x v="7"/>
    <x v="199"/>
    <x v="3"/>
    <x v="500"/>
    <x v="0"/>
    <x v="0"/>
    <x v="0"/>
    <n v="1.96"/>
    <n v="3528.9"/>
    <n v="3377.9"/>
    <n v="151"/>
    <n v="4.4702329849906748E-2"/>
    <n v="295.95999999999998"/>
    <m/>
  </r>
  <r>
    <x v="7"/>
    <x v="199"/>
    <x v="3"/>
    <x v="500"/>
    <x v="2"/>
    <x v="3"/>
    <x v="3"/>
    <n v="3.8943099999999999"/>
    <n v="12055"/>
    <n v="12000"/>
    <n v="55"/>
    <n v="4.5833333333333334E-3"/>
    <n v="214.18705"/>
    <m/>
  </r>
  <r>
    <x v="7"/>
    <x v="199"/>
    <x v="3"/>
    <x v="500"/>
    <x v="3"/>
    <x v="4"/>
    <x v="4"/>
    <n v="1.9508160000000001"/>
    <n v="7041"/>
    <n v="7000"/>
    <n v="41"/>
    <n v="5.8571428571428568E-3"/>
    <n v="79.983456000000004"/>
    <m/>
  </r>
  <r>
    <x v="7"/>
    <x v="199"/>
    <x v="4"/>
    <x v="501"/>
    <x v="0"/>
    <x v="1"/>
    <x v="1"/>
    <n v="1.91178"/>
    <n v="2587.4"/>
    <n v="2462.4"/>
    <n v="125"/>
    <n v="5.0763482781026638E-2"/>
    <n v="238.9725"/>
    <m/>
  </r>
  <r>
    <x v="7"/>
    <x v="199"/>
    <x v="4"/>
    <x v="501"/>
    <x v="2"/>
    <x v="3"/>
    <x v="3"/>
    <n v="3.8943099999999999"/>
    <n v="13805"/>
    <n v="13600"/>
    <n v="205"/>
    <n v="1.5073529411764706E-2"/>
    <n v="798.33354999999995"/>
    <m/>
  </r>
  <r>
    <x v="7"/>
    <x v="199"/>
    <x v="4"/>
    <x v="501"/>
    <x v="3"/>
    <x v="4"/>
    <x v="4"/>
    <n v="1.9508160000000001"/>
    <n v="4149"/>
    <n v="4000"/>
    <n v="149"/>
    <n v="3.7249999999999998E-2"/>
    <n v="290.671584"/>
    <m/>
  </r>
  <r>
    <x v="7"/>
    <x v="199"/>
    <x v="4"/>
    <x v="501"/>
    <x v="5"/>
    <x v="5"/>
    <x v="5"/>
    <n v="0"/>
    <n v="20"/>
    <m/>
    <n v="20"/>
    <n v="1"/>
    <n v="0"/>
    <m/>
  </r>
  <r>
    <x v="7"/>
    <x v="200"/>
    <x v="5"/>
    <x v="502"/>
    <x v="0"/>
    <x v="1"/>
    <x v="1"/>
    <n v="1.91178"/>
    <n v="2302.6"/>
    <n v="2169.6"/>
    <n v="133"/>
    <n v="6.1301622418879056E-2"/>
    <n v="254.26674"/>
    <m/>
  </r>
  <r>
    <x v="7"/>
    <x v="200"/>
    <x v="5"/>
    <x v="502"/>
    <x v="2"/>
    <x v="3"/>
    <x v="3"/>
    <n v="3.8943099999999999"/>
    <n v="12942"/>
    <n v="12800"/>
    <n v="142"/>
    <n v="1.1093749999999999E-2"/>
    <n v="552.99202000000002"/>
    <m/>
  </r>
  <r>
    <x v="7"/>
    <x v="200"/>
    <x v="5"/>
    <x v="502"/>
    <x v="5"/>
    <x v="5"/>
    <x v="5"/>
    <n v="0"/>
    <n v="10"/>
    <m/>
    <n v="10"/>
    <n v="1"/>
    <n v="0"/>
    <m/>
  </r>
  <r>
    <x v="7"/>
    <x v="200"/>
    <x v="6"/>
    <x v="503"/>
    <x v="2"/>
    <x v="3"/>
    <x v="3"/>
    <n v="3.8943099999999999"/>
    <n v="6466"/>
    <n v="6400"/>
    <n v="66"/>
    <n v="1.03125E-2"/>
    <n v="257.02445999999998"/>
    <m/>
  </r>
  <r>
    <x v="7"/>
    <x v="200"/>
    <x v="6"/>
    <x v="503"/>
    <x v="5"/>
    <x v="5"/>
    <x v="5"/>
    <n v="0"/>
    <n v="5"/>
    <m/>
    <n v="5"/>
    <n v="1"/>
    <n v="0"/>
    <m/>
  </r>
  <r>
    <x v="7"/>
    <x v="201"/>
    <x v="5"/>
    <x v="504"/>
    <x v="3"/>
    <x v="4"/>
    <x v="4"/>
    <n v="1.9508160000000001"/>
    <n v="6136"/>
    <n v="6000"/>
    <n v="136"/>
    <n v="2.2666666666666668E-2"/>
    <n v="265.31097600000004"/>
    <m/>
  </r>
  <r>
    <x v="7"/>
    <x v="201"/>
    <x v="5"/>
    <x v="504"/>
    <x v="5"/>
    <x v="5"/>
    <x v="5"/>
    <n v="0"/>
    <n v="29"/>
    <m/>
    <n v="29"/>
    <n v="1"/>
    <n v="0"/>
    <m/>
  </r>
  <r>
    <x v="7"/>
    <x v="201"/>
    <x v="6"/>
    <x v="505"/>
    <x v="5"/>
    <x v="5"/>
    <x v="5"/>
    <n v="0"/>
    <n v="6"/>
    <m/>
    <n v="6"/>
    <n v="1"/>
    <n v="0"/>
    <m/>
  </r>
  <r>
    <x v="7"/>
    <x v="202"/>
    <x v="5"/>
    <x v="506"/>
    <x v="3"/>
    <x v="4"/>
    <x v="4"/>
    <n v="1.9508160000000001"/>
    <n v="9211"/>
    <n v="9000"/>
    <n v="211"/>
    <n v="2.3444444444444445E-2"/>
    <n v="411.62217600000002"/>
    <m/>
  </r>
  <r>
    <x v="7"/>
    <x v="202"/>
    <x v="5"/>
    <x v="506"/>
    <x v="4"/>
    <x v="8"/>
    <x v="8"/>
    <n v="1.4516300000000002"/>
    <n v="2006"/>
    <n v="2000"/>
    <n v="6"/>
    <n v="3.0000000000000001E-3"/>
    <n v="8.7097800000000021"/>
    <m/>
  </r>
  <r>
    <x v="7"/>
    <x v="202"/>
    <x v="5"/>
    <x v="506"/>
    <x v="5"/>
    <x v="5"/>
    <x v="5"/>
    <n v="0"/>
    <n v="26"/>
    <m/>
    <n v="26"/>
    <n v="1"/>
    <n v="0"/>
    <m/>
  </r>
  <r>
    <x v="7"/>
    <x v="202"/>
    <x v="6"/>
    <x v="507"/>
    <x v="1"/>
    <x v="1"/>
    <x v="1"/>
    <n v="1.91178"/>
    <n v="3370"/>
    <n v="3200"/>
    <n v="170"/>
    <n v="5.3124999999999999E-2"/>
    <n v="325.00260000000003"/>
    <m/>
  </r>
  <r>
    <x v="7"/>
    <x v="202"/>
    <x v="6"/>
    <x v="507"/>
    <x v="3"/>
    <x v="4"/>
    <x v="4"/>
    <n v="1.9508160000000001"/>
    <n v="9019"/>
    <n v="9000"/>
    <n v="19"/>
    <n v="2.1111111111111109E-3"/>
    <n v="37.065504000000004"/>
    <m/>
  </r>
  <r>
    <x v="7"/>
    <x v="202"/>
    <x v="6"/>
    <x v="507"/>
    <x v="5"/>
    <x v="5"/>
    <x v="5"/>
    <n v="0"/>
    <n v="4"/>
    <m/>
    <n v="4"/>
    <n v="1"/>
    <n v="0"/>
    <m/>
  </r>
  <r>
    <x v="7"/>
    <x v="202"/>
    <x v="6"/>
    <x v="507"/>
    <x v="5"/>
    <x v="5"/>
    <x v="5"/>
    <n v="0"/>
    <n v="17"/>
    <m/>
    <n v="17"/>
    <n v="1"/>
    <n v="0"/>
    <m/>
  </r>
  <r>
    <x v="7"/>
    <x v="203"/>
    <x v="3"/>
    <x v="508"/>
    <x v="0"/>
    <x v="1"/>
    <x v="1"/>
    <n v="1.91178"/>
    <n v="6929.4"/>
    <n v="6122.4"/>
    <n v="807"/>
    <n v="0.13181105448843591"/>
    <n v="1542.80646"/>
    <m/>
  </r>
  <r>
    <x v="7"/>
    <x v="203"/>
    <x v="3"/>
    <x v="508"/>
    <x v="2"/>
    <x v="3"/>
    <x v="3"/>
    <n v="3.8943099999999999"/>
    <n v="1630"/>
    <n v="1600"/>
    <n v="30"/>
    <n v="1.8749999999999999E-2"/>
    <n v="116.8293"/>
    <m/>
  </r>
  <r>
    <x v="7"/>
    <x v="203"/>
    <x v="3"/>
    <x v="508"/>
    <x v="3"/>
    <x v="4"/>
    <x v="4"/>
    <n v="1.9508160000000001"/>
    <n v="10145"/>
    <n v="10000"/>
    <n v="145"/>
    <n v="1.4500000000000001E-2"/>
    <n v="282.86832000000004"/>
    <m/>
  </r>
  <r>
    <x v="7"/>
    <x v="203"/>
    <x v="4"/>
    <x v="509"/>
    <x v="0"/>
    <x v="1"/>
    <x v="1"/>
    <n v="1.91178"/>
    <n v="11825.6"/>
    <n v="11389.6"/>
    <n v="436"/>
    <n v="3.8280536629907984E-2"/>
    <n v="833.53607999999997"/>
    <m/>
  </r>
  <r>
    <x v="7"/>
    <x v="203"/>
    <x v="4"/>
    <x v="509"/>
    <x v="2"/>
    <x v="3"/>
    <x v="3"/>
    <n v="3.8943099999999999"/>
    <n v="12153"/>
    <n v="12000"/>
    <n v="153"/>
    <n v="1.2749999999999999E-2"/>
    <n v="595.82943"/>
    <m/>
  </r>
  <r>
    <x v="7"/>
    <x v="203"/>
    <x v="4"/>
    <x v="509"/>
    <x v="3"/>
    <x v="4"/>
    <x v="4"/>
    <n v="1.9508160000000001"/>
    <n v="7052"/>
    <n v="7000"/>
    <n v="52"/>
    <n v="7.4285714285714285E-3"/>
    <n v="101.44243200000001"/>
    <m/>
  </r>
  <r>
    <x v="7"/>
    <x v="203"/>
    <x v="4"/>
    <x v="509"/>
    <x v="4"/>
    <x v="8"/>
    <x v="8"/>
    <n v="1.4516300000000002"/>
    <n v="4018"/>
    <n v="4000"/>
    <n v="18"/>
    <n v="4.4999999999999997E-3"/>
    <n v="26.129340000000003"/>
    <m/>
  </r>
  <r>
    <x v="7"/>
    <x v="203"/>
    <x v="4"/>
    <x v="509"/>
    <x v="5"/>
    <x v="5"/>
    <x v="5"/>
    <n v="0"/>
    <n v="70"/>
    <m/>
    <n v="70"/>
    <n v="1"/>
    <n v="0"/>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0"/>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0"/>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5"/>
    <n v="0"/>
    <m/>
    <m/>
    <m/>
    <m/>
    <m/>
    <m/>
  </r>
  <r>
    <x v="5"/>
    <x v="204"/>
    <x v="7"/>
    <x v="511"/>
    <x v="7"/>
    <x v="5"/>
    <x v="13"/>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5647BC-C65C-44F9-8C1D-D173F026A8B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69" firstHeaderRow="0" firstDataRow="1" firstDataCol="1"/>
  <pivotFields count="16">
    <pivotField axis="axisRow" showAll="0">
      <items count="11">
        <item x="0"/>
        <item x="1"/>
        <item h="1" x="5"/>
        <item x="2"/>
        <item m="1" x="8"/>
        <item h="1" x="3"/>
        <item h="1" x="4"/>
        <item h="1" m="1" x="9"/>
        <item h="1" x="6"/>
        <item h="1" x="7"/>
        <item t="default"/>
      </items>
    </pivotField>
    <pivotField numFmtId="14" showAll="0"/>
    <pivotField axis="axisRow" showAll="0">
      <items count="10">
        <item x="0"/>
        <item x="1"/>
        <item x="2"/>
        <item m="1" x="8"/>
        <item h="1" x="7"/>
        <item h="1" x="3"/>
        <item h="1" x="4"/>
        <item h="1" x="5"/>
        <item h="1" x="6"/>
        <item t="default"/>
      </items>
    </pivotField>
    <pivotField showAll="0"/>
    <pivotField axis="axisRow" showAll="0">
      <items count="9">
        <item x="5"/>
        <item x="0"/>
        <item x="1"/>
        <item x="2"/>
        <item x="3"/>
        <item x="4"/>
        <item h="1" x="7"/>
        <item h="1" x="6"/>
        <item t="default"/>
      </items>
    </pivotField>
    <pivotField showAll="0"/>
    <pivotField showAll="0"/>
    <pivotField showAll="0"/>
    <pivotField dataField="1" numFmtId="37" showAll="0"/>
    <pivotField dataField="1" showAll="0"/>
    <pivotField dataField="1" showAll="0"/>
    <pivotField showAll="0"/>
    <pivotField dataField="1" showAll="0"/>
    <pivotField showAll="0"/>
    <pivotField dataField="1" dragToRow="0" dragToCol="0" dragToPage="0" showAll="0" defaultSubtotal="0"/>
    <pivotField dataField="1" dragToRow="0" dragToCol="0" dragToPage="0" showAll="0" defaultSubtotal="0"/>
  </pivotFields>
  <rowFields count="3">
    <field x="0"/>
    <field x="2"/>
    <field x="4"/>
  </rowFields>
  <rowItems count="66">
    <i>
      <x/>
    </i>
    <i r="1">
      <x/>
    </i>
    <i r="2">
      <x/>
    </i>
    <i r="2">
      <x v="1"/>
    </i>
    <i r="2">
      <x v="2"/>
    </i>
    <i r="2">
      <x v="3"/>
    </i>
    <i r="2">
      <x v="4"/>
    </i>
    <i r="2">
      <x v="5"/>
    </i>
    <i r="1">
      <x v="1"/>
    </i>
    <i r="2">
      <x/>
    </i>
    <i r="2">
      <x v="1"/>
    </i>
    <i r="2">
      <x v="2"/>
    </i>
    <i r="2">
      <x v="3"/>
    </i>
    <i r="2">
      <x v="4"/>
    </i>
    <i r="2">
      <x v="5"/>
    </i>
    <i r="1">
      <x v="2"/>
    </i>
    <i r="2">
      <x/>
    </i>
    <i r="2">
      <x v="1"/>
    </i>
    <i r="2">
      <x v="2"/>
    </i>
    <i r="2">
      <x v="3"/>
    </i>
    <i r="2">
      <x v="4"/>
    </i>
    <i r="2">
      <x v="5"/>
    </i>
    <i>
      <x v="1"/>
    </i>
    <i r="1">
      <x/>
    </i>
    <i r="2">
      <x/>
    </i>
    <i r="2">
      <x v="1"/>
    </i>
    <i r="2">
      <x v="2"/>
    </i>
    <i r="2">
      <x v="3"/>
    </i>
    <i r="2">
      <x v="4"/>
    </i>
    <i r="2">
      <x v="5"/>
    </i>
    <i r="1">
      <x v="1"/>
    </i>
    <i r="2">
      <x/>
    </i>
    <i r="2">
      <x v="1"/>
    </i>
    <i r="2">
      <x v="2"/>
    </i>
    <i r="2">
      <x v="3"/>
    </i>
    <i r="2">
      <x v="4"/>
    </i>
    <i r="2">
      <x v="5"/>
    </i>
    <i r="1">
      <x v="2"/>
    </i>
    <i r="2">
      <x/>
    </i>
    <i r="2">
      <x v="1"/>
    </i>
    <i r="2">
      <x v="2"/>
    </i>
    <i r="2">
      <x v="3"/>
    </i>
    <i r="2">
      <x v="4"/>
    </i>
    <i r="2">
      <x v="5"/>
    </i>
    <i>
      <x v="3"/>
    </i>
    <i r="1">
      <x/>
    </i>
    <i r="2">
      <x/>
    </i>
    <i r="2">
      <x v="1"/>
    </i>
    <i r="2">
      <x v="2"/>
    </i>
    <i r="2">
      <x v="3"/>
    </i>
    <i r="2">
      <x v="4"/>
    </i>
    <i r="2">
      <x v="5"/>
    </i>
    <i r="1">
      <x v="1"/>
    </i>
    <i r="2">
      <x/>
    </i>
    <i r="2">
      <x v="1"/>
    </i>
    <i r="2">
      <x v="2"/>
    </i>
    <i r="2">
      <x v="3"/>
    </i>
    <i r="2">
      <x v="4"/>
    </i>
    <i r="2">
      <x v="5"/>
    </i>
    <i r="1">
      <x v="2"/>
    </i>
    <i r="2">
      <x/>
    </i>
    <i r="2">
      <x v="1"/>
    </i>
    <i r="2">
      <x v="2"/>
    </i>
    <i r="2">
      <x v="3"/>
    </i>
    <i r="2">
      <x v="5"/>
    </i>
    <i t="grand">
      <x/>
    </i>
  </rowItems>
  <colFields count="1">
    <field x="-2"/>
  </colFields>
  <colItems count="6">
    <i>
      <x/>
    </i>
    <i i="1">
      <x v="1"/>
    </i>
    <i i="2">
      <x v="2"/>
    </i>
    <i i="3">
      <x v="3"/>
    </i>
    <i i="4">
      <x v="4"/>
    </i>
    <i i="5">
      <x v="5"/>
    </i>
  </colItems>
  <dataFields count="6">
    <dataField name="Sum of Total Enrobed LB" fld="8" baseField="0" baseItem="0" numFmtId="37"/>
    <dataField name="Sum of Scrapped LB" fld="10" baseField="4" baseItem="2" numFmtId="37"/>
    <dataField name="Sum of Scrap $" fld="12" baseField="0" baseItem="0" numFmtId="44"/>
    <dataField name="Sum of Scrap " fld="14" baseField="0" baseItem="0" numFmtId="37"/>
    <dataField name="Sum of Enrobed LB" fld="9" baseField="0" baseItem="0" numFmtId="37"/>
    <dataField name="Sum of Scrap January ONLY" fld="15" baseField="0" baseItem="0" numFmtId="37"/>
  </dataFields>
  <formats count="14">
    <format dxfId="181">
      <pivotArea outline="0" collapsedLevelsAreSubtotals="1" fieldPosition="0"/>
    </format>
    <format dxfId="180">
      <pivotArea dataOnly="0" labelOnly="1" outline="0" axis="axisValues" fieldPosition="0"/>
    </format>
    <format dxfId="179">
      <pivotArea outline="0" collapsedLevelsAreSubtotals="1" fieldPosition="0"/>
    </format>
    <format dxfId="178">
      <pivotArea dataOnly="0" labelOnly="1" outline="0" axis="axisValues" fieldPosition="0"/>
    </format>
    <format dxfId="177">
      <pivotArea outline="0" collapsedLevelsAreSubtotals="1" fieldPosition="0">
        <references count="1">
          <reference field="4294967294" count="3" selected="0">
            <x v="0"/>
            <x v="1"/>
            <x v="4"/>
          </reference>
        </references>
      </pivotArea>
    </format>
    <format dxfId="176">
      <pivotArea dataOnly="0" labelOnly="1" outline="0" fieldPosition="0">
        <references count="1">
          <reference field="4294967294" count="3">
            <x v="0"/>
            <x v="1"/>
            <x v="4"/>
          </reference>
        </references>
      </pivotArea>
    </format>
    <format dxfId="175">
      <pivotArea outline="0" collapsedLevelsAreSubtotals="1" fieldPosition="0">
        <references count="1">
          <reference field="4294967294" count="1" selected="0">
            <x v="2"/>
          </reference>
        </references>
      </pivotArea>
    </format>
    <format dxfId="174">
      <pivotArea dataOnly="0" labelOnly="1" outline="0" fieldPosition="0">
        <references count="1">
          <reference field="4294967294" count="1">
            <x v="2"/>
          </reference>
        </references>
      </pivotArea>
    </format>
    <format dxfId="173">
      <pivotArea outline="0" collapsedLevelsAreSubtotals="1" fieldPosition="0">
        <references count="1">
          <reference field="4294967294" count="1" selected="0">
            <x v="5"/>
          </reference>
        </references>
      </pivotArea>
    </format>
    <format dxfId="172">
      <pivotArea dataOnly="0" labelOnly="1" outline="0" fieldPosition="0">
        <references count="1">
          <reference field="4294967294" count="1">
            <x v="5"/>
          </reference>
        </references>
      </pivotArea>
    </format>
    <format dxfId="171">
      <pivotArea outline="0" collapsedLevelsAreSubtotals="1" fieldPosition="0">
        <references count="1">
          <reference field="4294967294" count="1" selected="0">
            <x v="5"/>
          </reference>
        </references>
      </pivotArea>
    </format>
    <format dxfId="170">
      <pivotArea dataOnly="0" labelOnly="1" outline="0" fieldPosition="0">
        <references count="1">
          <reference field="4294967294" count="1">
            <x v="5"/>
          </reference>
        </references>
      </pivotArea>
    </format>
    <format dxfId="169">
      <pivotArea outline="0" collapsedLevelsAreSubtotals="1" fieldPosition="0">
        <references count="1">
          <reference field="4294967294" count="1" selected="0">
            <x v="4"/>
          </reference>
        </references>
      </pivotArea>
    </format>
    <format dxfId="168">
      <pivotArea dataOnly="0" labelOnly="1" outline="0" fieldPosition="0">
        <references count="1">
          <reference field="429496729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4C3E37-739D-4A4D-8345-9F4B24D74066}"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G518" firstHeaderRow="0" firstDataRow="1" firstDataCol="1"/>
  <pivotFields count="16">
    <pivotField showAll="0"/>
    <pivotField showAll="0"/>
    <pivotField showAll="0"/>
    <pivotField axis="axisRow" showAll="0" sortType="ascending">
      <items count="529">
        <item x="510"/>
        <item m="1" x="512"/>
        <item m="1" x="527"/>
        <item x="0"/>
        <item x="63"/>
        <item x="127"/>
        <item x="1"/>
        <item x="64"/>
        <item x="128"/>
        <item x="20"/>
        <item x="84"/>
        <item x="21"/>
        <item x="85"/>
        <item x="147"/>
        <item x="2"/>
        <item x="65"/>
        <item x="129"/>
        <item x="3"/>
        <item x="66"/>
        <item x="130"/>
        <item x="4"/>
        <item x="67"/>
        <item x="131"/>
        <item x="5"/>
        <item x="68"/>
        <item x="132"/>
        <item x="6"/>
        <item x="69"/>
        <item x="133"/>
        <item x="22"/>
        <item x="86"/>
        <item x="23"/>
        <item x="87"/>
        <item x="7"/>
        <item x="70"/>
        <item x="134"/>
        <item x="8"/>
        <item x="71"/>
        <item x="135"/>
        <item x="9"/>
        <item x="72"/>
        <item x="136"/>
        <item x="10"/>
        <item x="73"/>
        <item x="137"/>
        <item x="11"/>
        <item x="81"/>
        <item x="138"/>
        <item x="24"/>
        <item x="88"/>
        <item x="25"/>
        <item x="89"/>
        <item m="1" x="515"/>
        <item x="90"/>
        <item x="74"/>
        <item x="139"/>
        <item x="12"/>
        <item x="75"/>
        <item x="140"/>
        <item x="13"/>
        <item x="76"/>
        <item x="141"/>
        <item x="14"/>
        <item x="82"/>
        <item x="142"/>
        <item x="26"/>
        <item x="91"/>
        <item x="27"/>
        <item x="92"/>
        <item x="15"/>
        <item x="77"/>
        <item x="148"/>
        <item x="16"/>
        <item x="78"/>
        <item x="143"/>
        <item x="17"/>
        <item x="79"/>
        <item x="144"/>
        <item x="18"/>
        <item x="80"/>
        <item x="145"/>
        <item x="19"/>
        <item x="83"/>
        <item x="146"/>
        <item x="38"/>
        <item x="102"/>
        <item x="39"/>
        <item x="103"/>
        <item x="28"/>
        <item x="93"/>
        <item x="29"/>
        <item x="94"/>
        <item x="149"/>
        <item x="30"/>
        <item x="95"/>
        <item x="150"/>
        <item x="31"/>
        <item x="96"/>
        <item x="151"/>
        <item x="32"/>
        <item x="104"/>
        <item x="152"/>
        <item x="40"/>
        <item x="105"/>
        <item x="41"/>
        <item x="106"/>
        <item x="33"/>
        <item x="97"/>
        <item x="153"/>
        <item x="34"/>
        <item x="98"/>
        <item x="154"/>
        <item x="35"/>
        <item x="99"/>
        <item x="155"/>
        <item x="36"/>
        <item x="100"/>
        <item x="156"/>
        <item x="37"/>
        <item x="101"/>
        <item x="157"/>
        <item x="42"/>
        <item x="107"/>
        <item x="43"/>
        <item x="108"/>
        <item x="44"/>
        <item x="45"/>
        <item x="109"/>
        <item x="46"/>
        <item x="110"/>
        <item x="158"/>
        <item x="47"/>
        <item x="111"/>
        <item x="159"/>
        <item x="48"/>
        <item x="112"/>
        <item x="160"/>
        <item x="49"/>
        <item x="113"/>
        <item x="50"/>
        <item x="114"/>
        <item x="51"/>
        <item x="115"/>
        <item x="161"/>
        <item x="52"/>
        <item x="116"/>
        <item x="162"/>
        <item x="53"/>
        <item x="117"/>
        <item x="163"/>
        <item x="54"/>
        <item x="118"/>
        <item x="164"/>
        <item x="55"/>
        <item x="119"/>
        <item x="165"/>
        <item x="56"/>
        <item x="120"/>
        <item m="1" x="521"/>
        <item x="57"/>
        <item x="121"/>
        <item x="166"/>
        <item x="58"/>
        <item x="122"/>
        <item x="167"/>
        <item x="59"/>
        <item x="123"/>
        <item x="168"/>
        <item x="60"/>
        <item x="124"/>
        <item x="169"/>
        <item x="61"/>
        <item x="125"/>
        <item x="170"/>
        <item x="62"/>
        <item x="126"/>
        <item x="171"/>
        <item x="172"/>
        <item x="174"/>
        <item x="175"/>
        <item x="173"/>
        <item x="177"/>
        <item x="178"/>
        <item x="176"/>
        <item x="180"/>
        <item x="181"/>
        <item x="179"/>
        <item x="183"/>
        <item x="184"/>
        <item x="182"/>
        <item x="186"/>
        <item x="187"/>
        <item x="185"/>
        <item x="188"/>
        <item x="189"/>
        <item x="190"/>
        <item x="191"/>
        <item x="192"/>
        <item x="193"/>
        <item m="1" x="514"/>
        <item x="195"/>
        <item x="196"/>
        <item x="194"/>
        <item x="198"/>
        <item x="199"/>
        <item x="197"/>
        <item x="201"/>
        <item x="202"/>
        <item x="200"/>
        <item x="204"/>
        <item x="205"/>
        <item x="203"/>
        <item x="206"/>
        <item x="207"/>
        <item x="208"/>
        <item x="209"/>
        <item x="210"/>
        <item x="212"/>
        <item x="213"/>
        <item x="211"/>
        <item x="215"/>
        <item x="216"/>
        <item x="214"/>
        <item x="218"/>
        <item x="219"/>
        <item x="217"/>
        <item x="221"/>
        <item x="222"/>
        <item x="220"/>
        <item x="224"/>
        <item x="223"/>
        <item x="225"/>
        <item x="226"/>
        <item x="227"/>
        <item x="228"/>
        <item m="1" x="518"/>
        <item x="230"/>
        <item x="231"/>
        <item x="229"/>
        <item x="233"/>
        <item x="234"/>
        <item x="232"/>
        <item x="235"/>
        <item x="236"/>
        <item x="237"/>
        <item x="238"/>
        <item x="239"/>
        <item x="240"/>
        <item x="241"/>
        <item x="242"/>
        <item x="243"/>
        <item x="244"/>
        <item x="245"/>
        <item m="1" x="516"/>
        <item x="247"/>
        <item x="246"/>
        <item x="249"/>
        <item x="250"/>
        <item x="248"/>
        <item x="252"/>
        <item x="253"/>
        <item x="251"/>
        <item x="255"/>
        <item x="256"/>
        <item x="254"/>
        <item x="258"/>
        <item x="259"/>
        <item x="257"/>
        <item x="261"/>
        <item x="260"/>
        <item m="1" x="513"/>
        <item x="262"/>
        <item x="263"/>
        <item x="265"/>
        <item x="266"/>
        <item x="264"/>
        <item x="268"/>
        <item x="269"/>
        <item x="267"/>
        <item x="271"/>
        <item x="272"/>
        <item x="270"/>
        <item x="274"/>
        <item x="275"/>
        <item x="273"/>
        <item x="277"/>
        <item x="278"/>
        <item x="276"/>
        <item x="280"/>
        <item x="279"/>
        <item x="282"/>
        <item x="281"/>
        <item x="285"/>
        <item x="283"/>
        <item x="284"/>
        <item x="287"/>
        <item x="288"/>
        <item x="286"/>
        <item x="290"/>
        <item x="291"/>
        <item x="289"/>
        <item x="293"/>
        <item x="292"/>
        <item x="295"/>
        <item x="296"/>
        <item x="294"/>
        <item x="297"/>
        <item x="298"/>
        <item x="299"/>
        <item x="301"/>
        <item x="302"/>
        <item x="303"/>
        <item x="304"/>
        <item x="300"/>
        <item x="306"/>
        <item x="307"/>
        <item x="305"/>
        <item x="309"/>
        <item x="308"/>
        <item m="1" x="517"/>
        <item x="310"/>
        <item x="311"/>
        <item x="313"/>
        <item x="314"/>
        <item x="312"/>
        <item x="316"/>
        <item x="315"/>
        <item x="317"/>
        <item x="319"/>
        <item x="320"/>
        <item x="318"/>
        <item x="322"/>
        <item x="323"/>
        <item x="321"/>
        <item x="326"/>
        <item x="325"/>
        <item x="324"/>
        <item x="328"/>
        <item x="329"/>
        <item x="327"/>
        <item x="331"/>
        <item x="332"/>
        <item x="330"/>
        <item x="334"/>
        <item x="333"/>
        <item x="335"/>
        <item x="337"/>
        <item x="338"/>
        <item x="336"/>
        <item x="340"/>
        <item x="341"/>
        <item x="339"/>
        <item x="343"/>
        <item x="344"/>
        <item x="342"/>
        <item x="346"/>
        <item x="347"/>
        <item x="345"/>
        <item x="349"/>
        <item x="350"/>
        <item x="348"/>
        <item x="351"/>
        <item x="352"/>
        <item m="1" x="520"/>
        <item m="1" x="523"/>
        <item x="354"/>
        <item x="355"/>
        <item x="353"/>
        <item x="357"/>
        <item x="358"/>
        <item x="356"/>
        <item x="360"/>
        <item x="361"/>
        <item x="359"/>
        <item x="363"/>
        <item x="364"/>
        <item x="362"/>
        <item x="366"/>
        <item x="367"/>
        <item x="365"/>
        <item x="368"/>
        <item x="369"/>
        <item x="370"/>
        <item x="371"/>
        <item x="372"/>
        <item m="1" x="522"/>
        <item x="374"/>
        <item x="375"/>
        <item x="373"/>
        <item x="377"/>
        <item x="378"/>
        <item x="376"/>
        <item x="380"/>
        <item x="381"/>
        <item x="379"/>
        <item x="383"/>
        <item x="384"/>
        <item x="382"/>
        <item x="386"/>
        <item x="385"/>
        <item m="1" x="519"/>
        <item x="388"/>
        <item x="387"/>
        <item x="389"/>
        <item x="390"/>
        <item x="392"/>
        <item x="393"/>
        <item x="391"/>
        <item x="395"/>
        <item x="396"/>
        <item x="394"/>
        <item x="398"/>
        <item x="399"/>
        <item x="397"/>
        <item x="401"/>
        <item x="402"/>
        <item x="400"/>
        <item x="404"/>
        <item x="405"/>
        <item x="403"/>
        <item x="407"/>
        <item x="408"/>
        <item x="406"/>
        <item x="410"/>
        <item x="411"/>
        <item x="409"/>
        <item x="413"/>
        <item x="414"/>
        <item x="412"/>
        <item x="416"/>
        <item x="417"/>
        <item x="415"/>
        <item x="419"/>
        <item x="420"/>
        <item x="418"/>
        <item x="422"/>
        <item x="423"/>
        <item x="421"/>
        <item x="424"/>
        <item x="425"/>
        <item x="426"/>
        <item x="427"/>
        <item m="1" x="526"/>
        <item m="1" x="524"/>
        <item m="1" x="525"/>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1"/>
        <item t="default"/>
      </items>
    </pivotField>
    <pivotField showAll="0"/>
    <pivotField showAll="0"/>
    <pivotField showAll="0"/>
    <pivotField showAll="0"/>
    <pivotField dataField="1" showAll="0"/>
    <pivotField dataField="1" showAll="0"/>
    <pivotField dataField="1" showAll="0"/>
    <pivotField showAll="0"/>
    <pivotField dataField="1" showAll="0"/>
    <pivotField showAll="0"/>
    <pivotField dataField="1" dragToRow="0" dragToCol="0" dragToPage="0" showAll="0" defaultSubtotal="0"/>
    <pivotField dataField="1" dragToRow="0" dragToCol="0" dragToPage="0" showAll="0" defaultSubtotal="0"/>
  </pivotFields>
  <rowFields count="1">
    <field x="3"/>
  </rowFields>
  <rowItems count="513">
    <i>
      <x/>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6"/>
    </i>
    <i>
      <x v="237"/>
    </i>
    <i>
      <x v="238"/>
    </i>
    <i>
      <x v="239"/>
    </i>
    <i>
      <x v="240"/>
    </i>
    <i>
      <x v="241"/>
    </i>
    <i>
      <x v="242"/>
    </i>
    <i>
      <x v="243"/>
    </i>
    <i>
      <x v="244"/>
    </i>
    <i>
      <x v="245"/>
    </i>
    <i>
      <x v="246"/>
    </i>
    <i>
      <x v="247"/>
    </i>
    <i>
      <x v="248"/>
    </i>
    <i>
      <x v="249"/>
    </i>
    <i>
      <x v="250"/>
    </i>
    <i>
      <x v="251"/>
    </i>
    <i>
      <x v="252"/>
    </i>
    <i>
      <x v="254"/>
    </i>
    <i>
      <x v="255"/>
    </i>
    <i>
      <x v="256"/>
    </i>
    <i>
      <x v="257"/>
    </i>
    <i>
      <x v="258"/>
    </i>
    <i>
      <x v="259"/>
    </i>
    <i>
      <x v="260"/>
    </i>
    <i>
      <x v="261"/>
    </i>
    <i>
      <x v="262"/>
    </i>
    <i>
      <x v="263"/>
    </i>
    <i>
      <x v="264"/>
    </i>
    <i>
      <x v="265"/>
    </i>
    <i>
      <x v="266"/>
    </i>
    <i>
      <x v="267"/>
    </i>
    <i>
      <x v="268"/>
    </i>
    <i>
      <x v="269"/>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5"/>
    </i>
    <i>
      <x v="366"/>
    </i>
    <i>
      <x v="367"/>
    </i>
    <i>
      <x v="368"/>
    </i>
    <i>
      <x v="369"/>
    </i>
    <i>
      <x v="370"/>
    </i>
    <i>
      <x v="371"/>
    </i>
    <i>
      <x v="372"/>
    </i>
    <i>
      <x v="373"/>
    </i>
    <i>
      <x v="374"/>
    </i>
    <i>
      <x v="375"/>
    </i>
    <i>
      <x v="376"/>
    </i>
    <i>
      <x v="377"/>
    </i>
    <i>
      <x v="378"/>
    </i>
    <i>
      <x v="379"/>
    </i>
    <i>
      <x v="380"/>
    </i>
    <i>
      <x v="381"/>
    </i>
    <i>
      <x v="382"/>
    </i>
    <i>
      <x v="383"/>
    </i>
    <i>
      <x v="384"/>
    </i>
    <i>
      <x v="386"/>
    </i>
    <i>
      <x v="387"/>
    </i>
    <i>
      <x v="388"/>
    </i>
    <i>
      <x v="389"/>
    </i>
    <i>
      <x v="390"/>
    </i>
    <i>
      <x v="391"/>
    </i>
    <i>
      <x v="392"/>
    </i>
    <i>
      <x v="393"/>
    </i>
    <i>
      <x v="394"/>
    </i>
    <i>
      <x v="395"/>
    </i>
    <i>
      <x v="396"/>
    </i>
    <i>
      <x v="397"/>
    </i>
    <i>
      <x v="398"/>
    </i>
    <i>
      <x v="399"/>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t="grand">
      <x/>
    </i>
  </rowItems>
  <colFields count="1">
    <field x="-2"/>
  </colFields>
  <colItems count="6">
    <i>
      <x/>
    </i>
    <i i="1">
      <x v="1"/>
    </i>
    <i i="2">
      <x v="2"/>
    </i>
    <i i="3">
      <x v="3"/>
    </i>
    <i i="4">
      <x v="4"/>
    </i>
    <i i="5">
      <x v="5"/>
    </i>
  </colItems>
  <dataFields count="6">
    <dataField name="Sum of Total Enrobed LB" fld="8" baseField="0" baseItem="0"/>
    <dataField name="Sum of Scrapped LB" fld="10" baseField="0" baseItem="0"/>
    <dataField name="Sum of Scrap $" fld="12" baseField="0" baseItem="0"/>
    <dataField name="Sum of Scrap " fld="14" baseField="0" baseItem="0" numFmtId="10"/>
    <dataField name="Sum of Enrobed LB" fld="9" baseField="0" baseItem="0"/>
    <dataField name="Sum of Scrap January ONLY" fld="15" baseField="0" baseItem="0" numFmtId="10"/>
  </dataFields>
  <formats count="34">
    <format dxfId="167">
      <pivotArea outline="0" collapsedLevelsAreSubtotals="1" fieldPosition="0"/>
    </format>
    <format dxfId="166">
      <pivotArea dataOnly="0" labelOnly="1" outline="0" fieldPosition="0">
        <references count="1">
          <reference field="4294967294" count="3">
            <x v="0"/>
            <x v="1"/>
            <x v="4"/>
          </reference>
        </references>
      </pivotArea>
    </format>
    <format dxfId="165">
      <pivotArea outline="0" collapsedLevelsAreSubtotals="1" fieldPosition="0"/>
    </format>
    <format dxfId="164">
      <pivotArea dataOnly="0" labelOnly="1" outline="0" fieldPosition="0">
        <references count="1">
          <reference field="4294967294" count="3">
            <x v="0"/>
            <x v="1"/>
            <x v="4"/>
          </reference>
        </references>
      </pivotArea>
    </format>
    <format dxfId="163">
      <pivotArea outline="0" collapsedLevelsAreSubtotals="1" fieldPosition="0">
        <references count="1">
          <reference field="4294967294" count="1" selected="0">
            <x v="3"/>
          </reference>
        </references>
      </pivotArea>
    </format>
    <format dxfId="162">
      <pivotArea dataOnly="0" labelOnly="1" outline="0" fieldPosition="0">
        <references count="1">
          <reference field="4294967294" count="1">
            <x v="3"/>
          </reference>
        </references>
      </pivotArea>
    </format>
    <format dxfId="161">
      <pivotArea outline="0" collapsedLevelsAreSubtotals="1" fieldPosition="0">
        <references count="1">
          <reference field="4294967294" count="1" selected="0">
            <x v="5"/>
          </reference>
        </references>
      </pivotArea>
    </format>
    <format dxfId="160">
      <pivotArea dataOnly="0" labelOnly="1" outline="0" fieldPosition="0">
        <references count="1">
          <reference field="4294967294" count="1">
            <x v="5"/>
          </reference>
        </references>
      </pivotArea>
    </format>
    <format dxfId="159">
      <pivotArea field="3" type="button" dataOnly="0" labelOnly="1" outline="0" axis="axisRow" fieldPosition="0"/>
    </format>
    <format dxfId="158">
      <pivotArea dataOnly="0" labelOnly="1" outline="0" fieldPosition="0">
        <references count="1">
          <reference field="4294967294" count="6">
            <x v="0"/>
            <x v="1"/>
            <x v="2"/>
            <x v="3"/>
            <x v="4"/>
            <x v="5"/>
          </reference>
        </references>
      </pivotArea>
    </format>
    <format dxfId="157">
      <pivotArea collapsedLevelsAreSubtotals="1" fieldPosition="0">
        <references count="1">
          <reference field="3" count="3">
            <x v="162"/>
            <x v="163"/>
            <x v="164"/>
          </reference>
        </references>
      </pivotArea>
    </format>
    <format dxfId="156">
      <pivotArea dataOnly="0" labelOnly="1" fieldPosition="0">
        <references count="1">
          <reference field="3" count="3">
            <x v="162"/>
            <x v="163"/>
            <x v="164"/>
          </reference>
        </references>
      </pivotArea>
    </format>
    <format dxfId="155">
      <pivotArea outline="0" collapsedLevelsAreSubtotals="1" fieldPosition="0">
        <references count="1">
          <reference field="4294967294" count="1" selected="0">
            <x v="2"/>
          </reference>
        </references>
      </pivotArea>
    </format>
    <format dxfId="154">
      <pivotArea dataOnly="0" labelOnly="1" outline="0" fieldPosition="0">
        <references count="1">
          <reference field="4294967294" count="1">
            <x v="2"/>
          </reference>
        </references>
      </pivotArea>
    </format>
    <format dxfId="153">
      <pivotArea outline="0" collapsedLevelsAreSubtotals="1" fieldPosition="0">
        <references count="1">
          <reference field="4294967294" count="2" selected="0">
            <x v="4"/>
            <x v="5"/>
          </reference>
        </references>
      </pivotArea>
    </format>
    <format dxfId="152">
      <pivotArea dataOnly="0" labelOnly="1" outline="0" fieldPosition="0">
        <references count="1">
          <reference field="4294967294" count="2">
            <x v="4"/>
            <x v="5"/>
          </reference>
        </references>
      </pivotArea>
    </format>
    <format dxfId="151">
      <pivotArea outline="0" collapsedLevelsAreSubtotals="1" fieldPosition="0">
        <references count="1">
          <reference field="4294967294" count="2" selected="0">
            <x v="0"/>
            <x v="1"/>
          </reference>
        </references>
      </pivotArea>
    </format>
    <format dxfId="150">
      <pivotArea dataOnly="0" labelOnly="1" outline="0" fieldPosition="0">
        <references count="1">
          <reference field="4294967294" count="2">
            <x v="0"/>
            <x v="1"/>
          </reference>
        </references>
      </pivotArea>
    </format>
    <format dxfId="149">
      <pivotArea outline="0" collapsedLevelsAreSubtotals="1" fieldPosition="0">
        <references count="1">
          <reference field="4294967294" count="2" selected="0">
            <x v="0"/>
            <x v="1"/>
          </reference>
        </references>
      </pivotArea>
    </format>
    <format dxfId="148">
      <pivotArea dataOnly="0" labelOnly="1" outline="0" fieldPosition="0">
        <references count="1">
          <reference field="4294967294" count="2">
            <x v="0"/>
            <x v="1"/>
          </reference>
        </references>
      </pivotArea>
    </format>
    <format dxfId="147">
      <pivotArea collapsedLevelsAreSubtotals="1" fieldPosition="0">
        <references count="1">
          <reference field="3" count="3">
            <x v="164"/>
            <x v="165"/>
            <x v="166"/>
          </reference>
        </references>
      </pivotArea>
    </format>
    <format dxfId="146">
      <pivotArea dataOnly="0" labelOnly="1" fieldPosition="0">
        <references count="1">
          <reference field="3" count="3">
            <x v="164"/>
            <x v="165"/>
            <x v="166"/>
          </reference>
        </references>
      </pivotArea>
    </format>
    <format dxfId="145">
      <pivotArea collapsedLevelsAreSubtotals="1" fieldPosition="0">
        <references count="1">
          <reference field="3" count="3">
            <x v="165"/>
            <x v="166"/>
            <x v="167"/>
          </reference>
        </references>
      </pivotArea>
    </format>
    <format dxfId="144">
      <pivotArea dataOnly="0" labelOnly="1" fieldPosition="0">
        <references count="1">
          <reference field="3" count="3">
            <x v="165"/>
            <x v="166"/>
            <x v="167"/>
          </reference>
        </references>
      </pivotArea>
    </format>
    <format dxfId="143">
      <pivotArea collapsedLevelsAreSubtotals="1" fieldPosition="0">
        <references count="1">
          <reference field="3" count="3">
            <x v="168"/>
            <x v="169"/>
            <x v="170"/>
          </reference>
        </references>
      </pivotArea>
    </format>
    <format dxfId="142">
      <pivotArea dataOnly="0" labelOnly="1" fieldPosition="0">
        <references count="1">
          <reference field="3" count="3">
            <x v="168"/>
            <x v="169"/>
            <x v="170"/>
          </reference>
        </references>
      </pivotArea>
    </format>
    <format dxfId="141">
      <pivotArea collapsedLevelsAreSubtotals="1" fieldPosition="0">
        <references count="1">
          <reference field="3" count="3">
            <x v="174"/>
            <x v="175"/>
            <x v="176"/>
          </reference>
        </references>
      </pivotArea>
    </format>
    <format dxfId="140">
      <pivotArea dataOnly="0" labelOnly="1" fieldPosition="0">
        <references count="1">
          <reference field="3" count="3">
            <x v="174"/>
            <x v="175"/>
            <x v="176"/>
          </reference>
        </references>
      </pivotArea>
    </format>
    <format dxfId="139">
      <pivotArea collapsedLevelsAreSubtotals="1" fieldPosition="0">
        <references count="1">
          <reference field="3" count="3">
            <x v="178"/>
            <x v="179"/>
            <x v="180"/>
          </reference>
        </references>
      </pivotArea>
    </format>
    <format dxfId="138">
      <pivotArea dataOnly="0" labelOnly="1" fieldPosition="0">
        <references count="1">
          <reference field="3" count="3">
            <x v="178"/>
            <x v="179"/>
            <x v="180"/>
          </reference>
        </references>
      </pivotArea>
    </format>
    <format dxfId="137">
      <pivotArea collapsedLevelsAreSubtotals="1" fieldPosition="0">
        <references count="1">
          <reference field="3" count="3">
            <x v="180"/>
            <x v="181"/>
            <x v="182"/>
          </reference>
        </references>
      </pivotArea>
    </format>
    <format dxfId="136">
      <pivotArea dataOnly="0" labelOnly="1" fieldPosition="0">
        <references count="1">
          <reference field="3" count="3">
            <x v="180"/>
            <x v="181"/>
            <x v="182"/>
          </reference>
        </references>
      </pivotArea>
    </format>
    <format dxfId="135">
      <pivotArea collapsedLevelsAreSubtotals="1" fieldPosition="0">
        <references count="1">
          <reference field="3" count="1">
            <x v="183"/>
          </reference>
        </references>
      </pivotArea>
    </format>
    <format dxfId="134">
      <pivotArea dataOnly="0" labelOnly="1" fieldPosition="0">
        <references count="1">
          <reference field="3" count="1">
            <x v="18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9C9D6D-96FA-4499-A536-5DD979898DB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F161" firstHeaderRow="0" firstDataRow="1" firstDataCol="1" rowPageCount="1" colPageCount="1"/>
  <pivotFields count="16">
    <pivotField showAll="0">
      <items count="11">
        <item x="0"/>
        <item x="1"/>
        <item x="5"/>
        <item x="2"/>
        <item m="1" x="8"/>
        <item x="3"/>
        <item x="4"/>
        <item m="1" x="9"/>
        <item x="6"/>
        <item x="7"/>
        <item t="default"/>
      </items>
    </pivotField>
    <pivotField axis="axisRow" showAll="0">
      <items count="207">
        <item x="0"/>
        <item x="1"/>
        <item x="2"/>
        <item x="3"/>
        <item x="4"/>
        <item x="5"/>
        <item x="6"/>
        <item x="7"/>
        <item x="8"/>
        <item x="9"/>
        <item x="10"/>
        <item x="11"/>
        <item x="63"/>
        <item x="12"/>
        <item x="13"/>
        <item x="14"/>
        <item x="15"/>
        <item x="16"/>
        <item x="17"/>
        <item x="18"/>
        <item x="19"/>
        <item x="20"/>
        <item x="21"/>
        <item x="22"/>
        <item x="23"/>
        <item x="24"/>
        <item x="25"/>
        <item x="64"/>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204"/>
        <item x="61"/>
        <item x="62"/>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8"/>
        <item x="112"/>
        <item x="113"/>
        <item x="115"/>
        <item x="114"/>
        <item x="116"/>
        <item x="117"/>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m="1" x="205"/>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showAll="0"/>
    <pivotField showAll="0">
      <items count="529">
        <item x="510"/>
        <item m="1" x="512"/>
        <item m="1" x="527"/>
        <item x="0"/>
        <item x="63"/>
        <item x="127"/>
        <item x="1"/>
        <item x="64"/>
        <item x="128"/>
        <item x="20"/>
        <item x="84"/>
        <item x="21"/>
        <item x="85"/>
        <item x="147"/>
        <item x="2"/>
        <item x="65"/>
        <item x="129"/>
        <item x="3"/>
        <item x="66"/>
        <item x="130"/>
        <item x="4"/>
        <item x="67"/>
        <item x="131"/>
        <item x="5"/>
        <item x="68"/>
        <item x="132"/>
        <item x="6"/>
        <item x="69"/>
        <item x="133"/>
        <item x="22"/>
        <item x="86"/>
        <item x="23"/>
        <item x="87"/>
        <item x="7"/>
        <item x="70"/>
        <item x="134"/>
        <item x="8"/>
        <item x="71"/>
        <item x="135"/>
        <item x="9"/>
        <item x="72"/>
        <item x="136"/>
        <item x="10"/>
        <item x="73"/>
        <item x="137"/>
        <item x="11"/>
        <item x="81"/>
        <item x="138"/>
        <item x="24"/>
        <item x="88"/>
        <item x="25"/>
        <item x="89"/>
        <item m="1" x="515"/>
        <item x="90"/>
        <item x="74"/>
        <item x="139"/>
        <item x="12"/>
        <item x="75"/>
        <item x="140"/>
        <item x="13"/>
        <item x="76"/>
        <item x="141"/>
        <item x="14"/>
        <item x="82"/>
        <item x="142"/>
        <item x="26"/>
        <item x="91"/>
        <item x="27"/>
        <item x="92"/>
        <item x="15"/>
        <item x="77"/>
        <item x="148"/>
        <item x="16"/>
        <item x="78"/>
        <item x="143"/>
        <item x="17"/>
        <item x="79"/>
        <item x="144"/>
        <item x="18"/>
        <item x="80"/>
        <item x="145"/>
        <item x="19"/>
        <item x="83"/>
        <item x="146"/>
        <item x="38"/>
        <item x="102"/>
        <item x="39"/>
        <item x="103"/>
        <item x="28"/>
        <item x="93"/>
        <item x="29"/>
        <item x="94"/>
        <item x="149"/>
        <item x="30"/>
        <item x="95"/>
        <item x="150"/>
        <item x="31"/>
        <item x="96"/>
        <item x="151"/>
        <item x="32"/>
        <item x="104"/>
        <item x="152"/>
        <item x="40"/>
        <item x="105"/>
        <item x="41"/>
        <item x="106"/>
        <item x="33"/>
        <item x="97"/>
        <item x="153"/>
        <item x="34"/>
        <item x="98"/>
        <item x="154"/>
        <item x="35"/>
        <item x="99"/>
        <item x="155"/>
        <item x="36"/>
        <item x="100"/>
        <item x="156"/>
        <item x="37"/>
        <item x="101"/>
        <item x="157"/>
        <item x="42"/>
        <item x="107"/>
        <item x="43"/>
        <item x="108"/>
        <item x="44"/>
        <item x="45"/>
        <item x="109"/>
        <item x="46"/>
        <item x="110"/>
        <item x="158"/>
        <item x="47"/>
        <item x="111"/>
        <item x="159"/>
        <item x="48"/>
        <item x="112"/>
        <item x="160"/>
        <item x="49"/>
        <item x="113"/>
        <item x="50"/>
        <item x="114"/>
        <item x="51"/>
        <item x="115"/>
        <item x="161"/>
        <item x="52"/>
        <item x="116"/>
        <item x="162"/>
        <item x="53"/>
        <item x="117"/>
        <item x="163"/>
        <item x="54"/>
        <item x="118"/>
        <item x="164"/>
        <item x="55"/>
        <item x="119"/>
        <item x="165"/>
        <item x="56"/>
        <item x="120"/>
        <item m="1" x="521"/>
        <item x="57"/>
        <item x="121"/>
        <item x="166"/>
        <item x="58"/>
        <item x="122"/>
        <item x="167"/>
        <item x="59"/>
        <item x="123"/>
        <item x="168"/>
        <item x="60"/>
        <item x="124"/>
        <item x="169"/>
        <item x="61"/>
        <item x="125"/>
        <item x="170"/>
        <item x="62"/>
        <item x="126"/>
        <item x="171"/>
        <item x="172"/>
        <item x="174"/>
        <item x="175"/>
        <item x="173"/>
        <item x="177"/>
        <item x="178"/>
        <item x="176"/>
        <item x="180"/>
        <item x="181"/>
        <item x="179"/>
        <item x="183"/>
        <item x="184"/>
        <item x="182"/>
        <item x="186"/>
        <item x="187"/>
        <item x="185"/>
        <item x="188"/>
        <item x="189"/>
        <item x="190"/>
        <item x="191"/>
        <item x="192"/>
        <item x="193"/>
        <item m="1" x="514"/>
        <item x="195"/>
        <item x="196"/>
        <item x="194"/>
        <item x="198"/>
        <item x="199"/>
        <item x="197"/>
        <item x="201"/>
        <item x="202"/>
        <item x="200"/>
        <item x="204"/>
        <item x="205"/>
        <item x="203"/>
        <item x="206"/>
        <item x="207"/>
        <item x="208"/>
        <item x="209"/>
        <item x="210"/>
        <item x="212"/>
        <item x="213"/>
        <item x="211"/>
        <item x="215"/>
        <item x="216"/>
        <item x="214"/>
        <item x="218"/>
        <item x="219"/>
        <item x="217"/>
        <item x="221"/>
        <item x="222"/>
        <item x="220"/>
        <item x="224"/>
        <item x="223"/>
        <item x="225"/>
        <item x="226"/>
        <item x="227"/>
        <item x="228"/>
        <item m="1" x="518"/>
        <item x="230"/>
        <item x="231"/>
        <item x="229"/>
        <item x="233"/>
        <item x="234"/>
        <item x="232"/>
        <item x="235"/>
        <item x="236"/>
        <item x="237"/>
        <item x="238"/>
        <item x="239"/>
        <item x="240"/>
        <item x="241"/>
        <item x="242"/>
        <item x="243"/>
        <item x="244"/>
        <item x="245"/>
        <item m="1" x="516"/>
        <item x="247"/>
        <item x="246"/>
        <item x="249"/>
        <item x="250"/>
        <item x="248"/>
        <item x="252"/>
        <item x="253"/>
        <item x="251"/>
        <item x="255"/>
        <item x="256"/>
        <item x="254"/>
        <item x="258"/>
        <item x="259"/>
        <item x="257"/>
        <item x="261"/>
        <item x="260"/>
        <item m="1" x="513"/>
        <item x="262"/>
        <item x="263"/>
        <item x="265"/>
        <item x="266"/>
        <item x="264"/>
        <item x="268"/>
        <item x="269"/>
        <item x="267"/>
        <item x="271"/>
        <item x="272"/>
        <item x="270"/>
        <item x="274"/>
        <item x="275"/>
        <item x="273"/>
        <item x="277"/>
        <item x="278"/>
        <item x="276"/>
        <item x="280"/>
        <item x="279"/>
        <item x="282"/>
        <item x="281"/>
        <item x="285"/>
        <item x="283"/>
        <item x="284"/>
        <item x="287"/>
        <item x="288"/>
        <item x="286"/>
        <item x="290"/>
        <item x="291"/>
        <item x="289"/>
        <item x="293"/>
        <item x="292"/>
        <item x="295"/>
        <item x="296"/>
        <item x="294"/>
        <item x="297"/>
        <item x="298"/>
        <item x="299"/>
        <item x="301"/>
        <item x="302"/>
        <item x="303"/>
        <item x="304"/>
        <item x="300"/>
        <item x="306"/>
        <item x="307"/>
        <item x="305"/>
        <item x="309"/>
        <item x="308"/>
        <item m="1" x="517"/>
        <item x="310"/>
        <item x="311"/>
        <item x="313"/>
        <item x="314"/>
        <item x="312"/>
        <item x="316"/>
        <item x="315"/>
        <item x="317"/>
        <item x="319"/>
        <item x="320"/>
        <item x="318"/>
        <item x="322"/>
        <item x="323"/>
        <item x="321"/>
        <item x="326"/>
        <item x="325"/>
        <item x="324"/>
        <item x="328"/>
        <item x="329"/>
        <item x="327"/>
        <item x="331"/>
        <item x="332"/>
        <item x="330"/>
        <item x="334"/>
        <item x="333"/>
        <item x="335"/>
        <item x="337"/>
        <item x="338"/>
        <item x="336"/>
        <item x="340"/>
        <item x="341"/>
        <item x="339"/>
        <item x="343"/>
        <item x="344"/>
        <item x="342"/>
        <item x="346"/>
        <item x="347"/>
        <item x="345"/>
        <item x="349"/>
        <item x="350"/>
        <item x="348"/>
        <item x="351"/>
        <item x="352"/>
        <item m="1" x="520"/>
        <item m="1" x="523"/>
        <item x="354"/>
        <item x="355"/>
        <item x="353"/>
        <item x="357"/>
        <item x="358"/>
        <item x="356"/>
        <item x="360"/>
        <item x="361"/>
        <item x="359"/>
        <item x="363"/>
        <item x="364"/>
        <item x="362"/>
        <item x="366"/>
        <item x="367"/>
        <item x="365"/>
        <item x="368"/>
        <item x="369"/>
        <item x="370"/>
        <item x="371"/>
        <item x="372"/>
        <item m="1" x="522"/>
        <item x="374"/>
        <item x="375"/>
        <item x="373"/>
        <item x="377"/>
        <item x="378"/>
        <item x="376"/>
        <item x="380"/>
        <item x="381"/>
        <item x="379"/>
        <item x="383"/>
        <item x="384"/>
        <item x="382"/>
        <item x="386"/>
        <item x="385"/>
        <item m="1" x="519"/>
        <item x="388"/>
        <item x="387"/>
        <item x="389"/>
        <item x="390"/>
        <item x="392"/>
        <item x="393"/>
        <item x="391"/>
        <item x="395"/>
        <item x="396"/>
        <item x="394"/>
        <item x="398"/>
        <item x="399"/>
        <item x="397"/>
        <item x="401"/>
        <item x="402"/>
        <item x="400"/>
        <item x="404"/>
        <item x="405"/>
        <item x="403"/>
        <item x="407"/>
        <item x="408"/>
        <item x="406"/>
        <item x="410"/>
        <item x="411"/>
        <item x="409"/>
        <item x="413"/>
        <item x="414"/>
        <item x="412"/>
        <item x="416"/>
        <item x="417"/>
        <item x="415"/>
        <item x="419"/>
        <item x="420"/>
        <item x="418"/>
        <item x="422"/>
        <item x="423"/>
        <item x="421"/>
        <item x="424"/>
        <item x="425"/>
        <item x="426"/>
        <item x="427"/>
        <item m="1" x="526"/>
        <item m="1" x="524"/>
        <item m="1" x="525"/>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1"/>
        <item t="default"/>
      </items>
    </pivotField>
    <pivotField axis="axisPage" showAll="0">
      <items count="9">
        <item x="5"/>
        <item x="0"/>
        <item x="1"/>
        <item x="2"/>
        <item x="3"/>
        <item x="4"/>
        <item x="7"/>
        <item x="6"/>
        <item t="default"/>
      </items>
    </pivotField>
    <pivotField dataField="1" showAll="0">
      <items count="16">
        <item x="7"/>
        <item x="8"/>
        <item x="3"/>
        <item x="1"/>
        <item x="0"/>
        <item x="2"/>
        <item x="9"/>
        <item x="6"/>
        <item x="14"/>
        <item x="10"/>
        <item x="4"/>
        <item x="12"/>
        <item x="13"/>
        <item x="11"/>
        <item x="5"/>
        <item t="default"/>
      </items>
    </pivotField>
    <pivotField showAll="0">
      <items count="17">
        <item x="10"/>
        <item x="4"/>
        <item x="3"/>
        <item x="5"/>
        <item x="11"/>
        <item x="6"/>
        <item x="2"/>
        <item x="1"/>
        <item x="0"/>
        <item x="15"/>
        <item x="7"/>
        <item x="14"/>
        <item x="12"/>
        <item x="8"/>
        <item x="9"/>
        <item x="13"/>
        <item t="default"/>
      </items>
    </pivotField>
    <pivotField showAll="0"/>
    <pivotField showAll="0"/>
    <pivotField dataField="1" showAll="0"/>
    <pivotField dataField="1" showAll="0"/>
    <pivotField showAll="0"/>
    <pivotField dataField="1" showAll="0"/>
    <pivotField showAll="0"/>
    <pivotField dataField="1" dragToRow="0" dragToCol="0" dragToPage="0" showAll="0" defaultSubtotal="0"/>
    <pivotField dragToRow="0" dragToCol="0" dragToPage="0" showAll="0" defaultSubtotal="0"/>
  </pivotFields>
  <rowFields count="1">
    <field x="1"/>
  </rowFields>
  <rowItems count="156">
    <i>
      <x/>
    </i>
    <i>
      <x v="1"/>
    </i>
    <i>
      <x v="2"/>
    </i>
    <i>
      <x v="3"/>
    </i>
    <i>
      <x v="4"/>
    </i>
    <i>
      <x v="5"/>
    </i>
    <i>
      <x v="6"/>
    </i>
    <i>
      <x v="7"/>
    </i>
    <i>
      <x v="8"/>
    </i>
    <i>
      <x v="9"/>
    </i>
    <i>
      <x v="10"/>
    </i>
    <i>
      <x v="11"/>
    </i>
    <i>
      <x v="12"/>
    </i>
    <i>
      <x v="13"/>
    </i>
    <i>
      <x v="14"/>
    </i>
    <i>
      <x v="15"/>
    </i>
    <i>
      <x v="16"/>
    </i>
    <i>
      <x v="17"/>
    </i>
    <i>
      <x v="18"/>
    </i>
    <i>
      <x v="19"/>
    </i>
    <i>
      <x v="20"/>
    </i>
    <i>
      <x v="30"/>
    </i>
    <i>
      <x v="31"/>
    </i>
    <i>
      <x v="32"/>
    </i>
    <i>
      <x v="33"/>
    </i>
    <i>
      <x v="34"/>
    </i>
    <i>
      <x v="35"/>
    </i>
    <i>
      <x v="36"/>
    </i>
    <i>
      <x v="37"/>
    </i>
    <i>
      <x v="38"/>
    </i>
    <i>
      <x v="39"/>
    </i>
    <i>
      <x v="47"/>
    </i>
    <i>
      <x v="48"/>
    </i>
    <i>
      <x v="49"/>
    </i>
    <i>
      <x v="50"/>
    </i>
    <i>
      <x v="53"/>
    </i>
    <i>
      <x v="54"/>
    </i>
    <i>
      <x v="55"/>
    </i>
    <i>
      <x v="56"/>
    </i>
    <i>
      <x v="57"/>
    </i>
    <i>
      <x v="60"/>
    </i>
    <i>
      <x v="61"/>
    </i>
    <i>
      <x v="62"/>
    </i>
    <i>
      <x v="64"/>
    </i>
    <i>
      <x v="65"/>
    </i>
    <i>
      <x v="67"/>
    </i>
    <i>
      <x v="68"/>
    </i>
    <i>
      <x v="69"/>
    </i>
    <i>
      <x v="70"/>
    </i>
    <i>
      <x v="71"/>
    </i>
    <i>
      <x v="74"/>
    </i>
    <i>
      <x v="75"/>
    </i>
    <i>
      <x v="76"/>
    </i>
    <i>
      <x v="77"/>
    </i>
    <i>
      <x v="78"/>
    </i>
    <i>
      <x v="79"/>
    </i>
    <i>
      <x v="81"/>
    </i>
    <i>
      <x v="82"/>
    </i>
    <i>
      <x v="83"/>
    </i>
    <i>
      <x v="84"/>
    </i>
    <i>
      <x v="85"/>
    </i>
    <i>
      <x v="86"/>
    </i>
    <i>
      <x v="87"/>
    </i>
    <i>
      <x v="88"/>
    </i>
    <i>
      <x v="89"/>
    </i>
    <i>
      <x v="90"/>
    </i>
    <i>
      <x v="91"/>
    </i>
    <i>
      <x v="92"/>
    </i>
    <i>
      <x v="95"/>
    </i>
    <i>
      <x v="96"/>
    </i>
    <i>
      <x v="97"/>
    </i>
    <i>
      <x v="98"/>
    </i>
    <i>
      <x v="99"/>
    </i>
    <i>
      <x v="102"/>
    </i>
    <i>
      <x v="103"/>
    </i>
    <i>
      <x v="104"/>
    </i>
    <i>
      <x v="105"/>
    </i>
    <i>
      <x v="106"/>
    </i>
    <i>
      <x v="108"/>
    </i>
    <i>
      <x v="109"/>
    </i>
    <i>
      <x v="110"/>
    </i>
    <i>
      <x v="111"/>
    </i>
    <i>
      <x v="112"/>
    </i>
    <i>
      <x v="113"/>
    </i>
    <i>
      <x v="114"/>
    </i>
    <i>
      <x v="117"/>
    </i>
    <i>
      <x v="118"/>
    </i>
    <i>
      <x v="120"/>
    </i>
    <i>
      <x v="121"/>
    </i>
    <i>
      <x v="123"/>
    </i>
    <i>
      <x v="124"/>
    </i>
    <i>
      <x v="125"/>
    </i>
    <i>
      <x v="126"/>
    </i>
    <i>
      <x v="127"/>
    </i>
    <i>
      <x v="130"/>
    </i>
    <i>
      <x v="131"/>
    </i>
    <i>
      <x v="132"/>
    </i>
    <i>
      <x v="133"/>
    </i>
    <i>
      <x v="134"/>
    </i>
    <i>
      <x v="137"/>
    </i>
    <i>
      <x v="138"/>
    </i>
    <i>
      <x v="139"/>
    </i>
    <i>
      <x v="140"/>
    </i>
    <i>
      <x v="141"/>
    </i>
    <i>
      <x v="144"/>
    </i>
    <i>
      <x v="145"/>
    </i>
    <i>
      <x v="146"/>
    </i>
    <i>
      <x v="147"/>
    </i>
    <i>
      <x v="148"/>
    </i>
    <i>
      <x v="152"/>
    </i>
    <i>
      <x v="153"/>
    </i>
    <i>
      <x v="154"/>
    </i>
    <i>
      <x v="155"/>
    </i>
    <i>
      <x v="158"/>
    </i>
    <i>
      <x v="159"/>
    </i>
    <i>
      <x v="160"/>
    </i>
    <i>
      <x v="161"/>
    </i>
    <i>
      <x v="162"/>
    </i>
    <i>
      <x v="163"/>
    </i>
    <i>
      <x v="164"/>
    </i>
    <i>
      <x v="165"/>
    </i>
    <i>
      <x v="166"/>
    </i>
    <i>
      <x v="167"/>
    </i>
    <i>
      <x v="168"/>
    </i>
    <i>
      <x v="169"/>
    </i>
    <i>
      <x v="170"/>
    </i>
    <i>
      <x v="171"/>
    </i>
    <i>
      <x v="172"/>
    </i>
    <i>
      <x v="173"/>
    </i>
    <i>
      <x v="174"/>
    </i>
    <i>
      <x v="175"/>
    </i>
    <i>
      <x v="176"/>
    </i>
    <i>
      <x v="177"/>
    </i>
    <i>
      <x v="178"/>
    </i>
    <i>
      <x v="179"/>
    </i>
    <i>
      <x v="181"/>
    </i>
    <i>
      <x v="182"/>
    </i>
    <i>
      <x v="185"/>
    </i>
    <i>
      <x v="186"/>
    </i>
    <i>
      <x v="187"/>
    </i>
    <i>
      <x v="188"/>
    </i>
    <i>
      <x v="189"/>
    </i>
    <i>
      <x v="190"/>
    </i>
    <i>
      <x v="191"/>
    </i>
    <i>
      <x v="192"/>
    </i>
    <i>
      <x v="193"/>
    </i>
    <i>
      <x v="194"/>
    </i>
    <i>
      <x v="195"/>
    </i>
    <i>
      <x v="196"/>
    </i>
    <i>
      <x v="197"/>
    </i>
    <i>
      <x v="198"/>
    </i>
    <i>
      <x v="199"/>
    </i>
    <i>
      <x v="201"/>
    </i>
    <i>
      <x v="202"/>
    </i>
    <i>
      <x v="205"/>
    </i>
    <i t="grand">
      <x/>
    </i>
  </rowItems>
  <colFields count="1">
    <field x="-2"/>
  </colFields>
  <colItems count="5">
    <i>
      <x/>
    </i>
    <i i="1">
      <x v="1"/>
    </i>
    <i i="2">
      <x v="2"/>
    </i>
    <i i="3">
      <x v="3"/>
    </i>
    <i i="4">
      <x v="4"/>
    </i>
  </colItems>
  <pageFields count="1">
    <pageField fld="4" item="1" hier="-1"/>
  </pageFields>
  <dataFields count="5">
    <dataField name="Sum of Scrapped LB" fld="10" baseField="0" baseItem="0" numFmtId="37"/>
    <dataField name="Sum of Scrap " fld="14" baseField="0" baseItem="0" numFmtId="10"/>
    <dataField name="Sum of Enrobed LB" fld="9" baseField="0" baseItem="0" numFmtId="37"/>
    <dataField name="Sum of Scrap $" fld="12" baseField="0" baseItem="0"/>
    <dataField name="Average of Formula" fld="5" subtotal="average" baseField="1" baseItem="0"/>
  </dataFields>
  <formats count="14">
    <format dxfId="133">
      <pivotArea outline="0" collapsedLevelsAreSubtotals="1" fieldPosition="0">
        <references count="1">
          <reference field="4294967294" count="1" selected="0">
            <x v="0"/>
          </reference>
        </references>
      </pivotArea>
    </format>
    <format dxfId="132">
      <pivotArea dataOnly="0" labelOnly="1" outline="0" fieldPosition="0">
        <references count="1">
          <reference field="4294967294" count="1">
            <x v="0"/>
          </reference>
        </references>
      </pivotArea>
    </format>
    <format dxfId="131">
      <pivotArea outline="0" collapsedLevelsAreSubtotals="1" fieldPosition="0">
        <references count="1">
          <reference field="4294967294" count="1" selected="0">
            <x v="0"/>
          </reference>
        </references>
      </pivotArea>
    </format>
    <format dxfId="130">
      <pivotArea dataOnly="0" labelOnly="1" outline="0" fieldPosition="0">
        <references count="1">
          <reference field="4294967294" count="1">
            <x v="0"/>
          </reference>
        </references>
      </pivotArea>
    </format>
    <format dxfId="129">
      <pivotArea outline="0" collapsedLevelsAreSubtotals="1" fieldPosition="0">
        <references count="1">
          <reference field="4294967294" count="1" selected="0">
            <x v="1"/>
          </reference>
        </references>
      </pivotArea>
    </format>
    <format dxfId="128">
      <pivotArea dataOnly="0" labelOnly="1" outline="0" fieldPosition="0">
        <references count="1">
          <reference field="4294967294" count="1">
            <x v="1"/>
          </reference>
        </references>
      </pivotArea>
    </format>
    <format dxfId="127">
      <pivotArea outline="0" collapsedLevelsAreSubtotals="1" fieldPosition="0">
        <references count="1">
          <reference field="4294967294" count="1" selected="0">
            <x v="1"/>
          </reference>
        </references>
      </pivotArea>
    </format>
    <format dxfId="126">
      <pivotArea dataOnly="0" labelOnly="1" outline="0" fieldPosition="0">
        <references count="1">
          <reference field="4294967294" count="1">
            <x v="1"/>
          </reference>
        </references>
      </pivotArea>
    </format>
    <format dxfId="125">
      <pivotArea outline="0" collapsedLevelsAreSubtotals="1" fieldPosition="0">
        <references count="1">
          <reference field="4294967294" count="1" selected="0">
            <x v="2"/>
          </reference>
        </references>
      </pivotArea>
    </format>
    <format dxfId="124">
      <pivotArea dataOnly="0" labelOnly="1" outline="0" fieldPosition="0">
        <references count="1">
          <reference field="4294967294" count="1">
            <x v="2"/>
          </reference>
        </references>
      </pivotArea>
    </format>
    <format dxfId="123">
      <pivotArea outline="0" collapsedLevelsAreSubtotals="1" fieldPosition="0">
        <references count="1">
          <reference field="4294967294" count="1" selected="0">
            <x v="2"/>
          </reference>
        </references>
      </pivotArea>
    </format>
    <format dxfId="122">
      <pivotArea dataOnly="0" labelOnly="1" outline="0" fieldPosition="0">
        <references count="1">
          <reference field="4294967294" count="1">
            <x v="2"/>
          </reference>
        </references>
      </pivotArea>
    </format>
    <format dxfId="121">
      <pivotArea outline="0" collapsedLevelsAreSubtotals="1" fieldPosition="0">
        <references count="1">
          <reference field="4294967294" count="1" selected="0">
            <x v="2"/>
          </reference>
        </references>
      </pivotArea>
    </format>
    <format dxfId="12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F75A-B6A5-4EC3-AF29-B2CD667F9946}">
  <dimension ref="A1:N69"/>
  <sheetViews>
    <sheetView workbookViewId="0">
      <pane ySplit="3" topLeftCell="A52" activePane="bottomLeft" state="frozen"/>
      <selection pane="bottomLeft" activeCell="D75" sqref="D75"/>
    </sheetView>
  </sheetViews>
  <sheetFormatPr defaultRowHeight="15" x14ac:dyDescent="0.25"/>
  <cols>
    <col min="1" max="1" width="23.7109375" bestFit="1" customWidth="1"/>
    <col min="2" max="2" width="22.7109375" style="6" bestFit="1" customWidth="1"/>
    <col min="3" max="3" width="18.42578125" style="18" bestFit="1" customWidth="1"/>
    <col min="4" max="4" width="15.28515625" style="18" bestFit="1" customWidth="1"/>
    <col min="5" max="5" width="12.7109375" style="28" bestFit="1" customWidth="1"/>
    <col min="6" max="6" width="17.7109375" bestFit="1" customWidth="1"/>
    <col min="7" max="8" width="25.140625" bestFit="1" customWidth="1"/>
  </cols>
  <sheetData>
    <row r="1" spans="1:14" x14ac:dyDescent="0.25">
      <c r="A1" s="92" t="s">
        <v>55</v>
      </c>
      <c r="B1" s="92"/>
      <c r="C1" s="92"/>
      <c r="D1" s="92"/>
      <c r="E1" s="92"/>
      <c r="F1" s="92"/>
      <c r="G1" s="92"/>
      <c r="K1" s="44" t="s">
        <v>255</v>
      </c>
      <c r="L1" s="5">
        <f>GETPIVOTDATA("Sum of Scrapped LB",$A$3)/GETPIVOTDATA("Sum of Total Enrobed LB",$A$3)</f>
        <v>2.37860607151219E-2</v>
      </c>
      <c r="M1" s="44" t="s">
        <v>257</v>
      </c>
      <c r="N1" s="5"/>
    </row>
    <row r="2" spans="1:14" ht="15" customHeight="1" x14ac:dyDescent="0.25">
      <c r="A2" s="91" t="s">
        <v>56</v>
      </c>
      <c r="B2" s="91"/>
      <c r="C2" s="91"/>
      <c r="D2" s="91"/>
      <c r="E2" s="91"/>
      <c r="F2" s="93" t="s">
        <v>241</v>
      </c>
      <c r="G2" s="93"/>
      <c r="K2" s="44" t="s">
        <v>256</v>
      </c>
      <c r="L2" s="5"/>
      <c r="M2" s="44" t="s">
        <v>258</v>
      </c>
      <c r="N2" s="5"/>
    </row>
    <row r="3" spans="1:14" x14ac:dyDescent="0.25">
      <c r="A3" s="11" t="s">
        <v>53</v>
      </c>
      <c r="B3" s="18" t="s">
        <v>57</v>
      </c>
      <c r="C3" s="18" t="s">
        <v>59</v>
      </c>
      <c r="D3" s="28" t="s">
        <v>228</v>
      </c>
      <c r="E3" t="s">
        <v>60</v>
      </c>
      <c r="F3" s="39" t="s">
        <v>58</v>
      </c>
      <c r="G3" s="9" t="s">
        <v>61</v>
      </c>
    </row>
    <row r="4" spans="1:14" x14ac:dyDescent="0.25">
      <c r="A4" s="12" t="s">
        <v>51</v>
      </c>
      <c r="B4" s="45">
        <v>1128792.3999999999</v>
      </c>
      <c r="C4" s="45">
        <v>29123</v>
      </c>
      <c r="D4" s="29">
        <v>60071.664906399994</v>
      </c>
      <c r="E4" s="15">
        <v>2.5800138271660934E-2</v>
      </c>
      <c r="F4" s="79">
        <v>1128792.3999999999</v>
      </c>
      <c r="G4" s="37">
        <v>2.5800138271660934E-2</v>
      </c>
    </row>
    <row r="5" spans="1:14" x14ac:dyDescent="0.25">
      <c r="A5" s="13" t="s">
        <v>25</v>
      </c>
      <c r="B5" s="45">
        <v>462108.63</v>
      </c>
      <c r="C5" s="45">
        <v>9564</v>
      </c>
      <c r="D5" s="29">
        <v>19067.188025600004</v>
      </c>
      <c r="E5" s="15">
        <v>2.0696432351847659E-2</v>
      </c>
      <c r="F5" s="79">
        <v>462108.63</v>
      </c>
      <c r="G5" s="37">
        <v>2.0696432351847659E-2</v>
      </c>
    </row>
    <row r="6" spans="1:14" x14ac:dyDescent="0.25">
      <c r="A6" s="14" t="s">
        <v>15</v>
      </c>
      <c r="B6" s="45">
        <v>0</v>
      </c>
      <c r="C6" s="45">
        <v>368</v>
      </c>
      <c r="D6" s="29">
        <v>0</v>
      </c>
      <c r="E6" s="15">
        <v>1</v>
      </c>
      <c r="F6" s="79">
        <v>0</v>
      </c>
      <c r="G6" s="37">
        <v>1</v>
      </c>
    </row>
    <row r="7" spans="1:14" x14ac:dyDescent="0.25">
      <c r="A7" s="14" t="s">
        <v>9</v>
      </c>
      <c r="B7" s="45">
        <v>125973.63</v>
      </c>
      <c r="C7" s="45">
        <v>6036</v>
      </c>
      <c r="D7" s="29">
        <v>11582.064280000002</v>
      </c>
      <c r="E7" s="15">
        <v>4.7914789785767069E-2</v>
      </c>
      <c r="F7" s="79">
        <v>125973.63</v>
      </c>
      <c r="G7" s="37">
        <v>4.7914789785767069E-2</v>
      </c>
    </row>
    <row r="8" spans="1:14" x14ac:dyDescent="0.25">
      <c r="A8" s="14" t="s">
        <v>10</v>
      </c>
      <c r="B8" s="45">
        <v>39360</v>
      </c>
      <c r="C8" s="45">
        <v>461</v>
      </c>
      <c r="D8" s="29">
        <v>949.79368999999997</v>
      </c>
      <c r="E8" s="15">
        <v>1.171239837398374E-2</v>
      </c>
      <c r="F8" s="79">
        <v>39360</v>
      </c>
      <c r="G8" s="37">
        <v>1.171239837398374E-2</v>
      </c>
    </row>
    <row r="9" spans="1:14" x14ac:dyDescent="0.25">
      <c r="A9" s="14" t="s">
        <v>11</v>
      </c>
      <c r="B9" s="45">
        <v>67200</v>
      </c>
      <c r="C9" s="45">
        <v>1267</v>
      </c>
      <c r="D9" s="29">
        <v>4885.5646700000007</v>
      </c>
      <c r="E9" s="15">
        <v>1.8854166666666668E-2</v>
      </c>
      <c r="F9" s="79">
        <v>67200</v>
      </c>
      <c r="G9" s="37">
        <v>1.8854166666666668E-2</v>
      </c>
    </row>
    <row r="10" spans="1:14" x14ac:dyDescent="0.25">
      <c r="A10" s="14" t="s">
        <v>12</v>
      </c>
      <c r="B10" s="45">
        <v>204000</v>
      </c>
      <c r="C10" s="45">
        <v>992</v>
      </c>
      <c r="D10" s="29">
        <v>1142.8542336000003</v>
      </c>
      <c r="E10" s="15">
        <v>4.8627450980392155E-3</v>
      </c>
      <c r="F10" s="79">
        <v>204000</v>
      </c>
      <c r="G10" s="37">
        <v>4.8627450980392155E-3</v>
      </c>
    </row>
    <row r="11" spans="1:14" x14ac:dyDescent="0.25">
      <c r="A11" s="14" t="s">
        <v>13</v>
      </c>
      <c r="B11" s="45">
        <v>25575</v>
      </c>
      <c r="C11" s="45">
        <v>440</v>
      </c>
      <c r="D11" s="29">
        <v>506.91115199999996</v>
      </c>
      <c r="E11" s="15">
        <v>1.7204301075268817E-2</v>
      </c>
      <c r="F11" s="79">
        <v>25575</v>
      </c>
      <c r="G11" s="37">
        <v>1.7204301075268817E-2</v>
      </c>
    </row>
    <row r="12" spans="1:14" x14ac:dyDescent="0.25">
      <c r="A12" s="13" t="s">
        <v>26</v>
      </c>
      <c r="B12" s="45">
        <v>445081.53</v>
      </c>
      <c r="C12" s="45">
        <v>10419</v>
      </c>
      <c r="D12" s="29">
        <v>21233.690403600001</v>
      </c>
      <c r="E12" s="15">
        <v>2.3409194266048289E-2</v>
      </c>
      <c r="F12" s="79">
        <v>445081.53</v>
      </c>
      <c r="G12" s="37">
        <v>2.3409194266048289E-2</v>
      </c>
    </row>
    <row r="13" spans="1:14" x14ac:dyDescent="0.25">
      <c r="A13" s="14" t="s">
        <v>15</v>
      </c>
      <c r="B13" s="45">
        <v>0</v>
      </c>
      <c r="C13" s="45">
        <v>196</v>
      </c>
      <c r="D13" s="29">
        <v>0</v>
      </c>
      <c r="E13" s="15">
        <v>1</v>
      </c>
      <c r="F13" s="79">
        <v>0</v>
      </c>
      <c r="G13" s="37">
        <v>1</v>
      </c>
    </row>
    <row r="14" spans="1:14" x14ac:dyDescent="0.25">
      <c r="A14" s="14" t="s">
        <v>9</v>
      </c>
      <c r="B14" s="45">
        <v>101296.53</v>
      </c>
      <c r="C14" s="45">
        <v>7138</v>
      </c>
      <c r="D14" s="29">
        <v>13714.607120000001</v>
      </c>
      <c r="E14" s="15">
        <v>7.0466382214672107E-2</v>
      </c>
      <c r="F14" s="79">
        <v>101296.53</v>
      </c>
      <c r="G14" s="37">
        <v>7.0466382214672107E-2</v>
      </c>
    </row>
    <row r="15" spans="1:14" x14ac:dyDescent="0.25">
      <c r="A15" s="14" t="s">
        <v>10</v>
      </c>
      <c r="B15" s="45">
        <v>27360</v>
      </c>
      <c r="C15" s="45">
        <v>793</v>
      </c>
      <c r="D15" s="29">
        <v>1633.8099700000002</v>
      </c>
      <c r="E15" s="15">
        <v>2.8983918128654969E-2</v>
      </c>
      <c r="F15" s="79">
        <v>27360</v>
      </c>
      <c r="G15" s="37">
        <v>2.8983918128654969E-2</v>
      </c>
    </row>
    <row r="16" spans="1:14" x14ac:dyDescent="0.25">
      <c r="A16" s="14" t="s">
        <v>11</v>
      </c>
      <c r="B16" s="45">
        <v>57600</v>
      </c>
      <c r="C16" s="45">
        <v>1200</v>
      </c>
      <c r="D16" s="29">
        <v>4627.2119999999995</v>
      </c>
      <c r="E16" s="15">
        <v>2.0833333333333332E-2</v>
      </c>
      <c r="F16" s="79">
        <v>57600</v>
      </c>
      <c r="G16" s="37">
        <v>2.0833333333333332E-2</v>
      </c>
    </row>
    <row r="17" spans="1:8" x14ac:dyDescent="0.25">
      <c r="A17" s="14" t="s">
        <v>12</v>
      </c>
      <c r="B17" s="45">
        <v>240000</v>
      </c>
      <c r="C17" s="45">
        <v>892</v>
      </c>
      <c r="D17" s="29">
        <v>1027.6471536000001</v>
      </c>
      <c r="E17" s="15">
        <v>3.7166666666666667E-3</v>
      </c>
      <c r="F17" s="79">
        <v>240000</v>
      </c>
      <c r="G17" s="37">
        <v>3.7166666666666667E-3</v>
      </c>
    </row>
    <row r="18" spans="1:8" x14ac:dyDescent="0.25">
      <c r="A18" s="14" t="s">
        <v>13</v>
      </c>
      <c r="B18" s="45">
        <v>18825</v>
      </c>
      <c r="C18" s="45">
        <v>200</v>
      </c>
      <c r="D18" s="29">
        <v>230.41415999999995</v>
      </c>
      <c r="E18" s="15">
        <v>1.0624169986719787E-2</v>
      </c>
      <c r="F18" s="79">
        <v>18825</v>
      </c>
      <c r="G18" s="37">
        <v>1.0624169986719787E-2</v>
      </c>
    </row>
    <row r="19" spans="1:8" x14ac:dyDescent="0.25">
      <c r="A19" s="13" t="s">
        <v>24</v>
      </c>
      <c r="B19" s="45">
        <v>221602.24000000002</v>
      </c>
      <c r="C19" s="45">
        <v>9140</v>
      </c>
      <c r="D19" s="29">
        <v>19770.786477199996</v>
      </c>
      <c r="E19" s="15">
        <v>4.1245070446941326E-2</v>
      </c>
      <c r="F19" s="79">
        <v>221602.24000000002</v>
      </c>
      <c r="G19" s="37">
        <v>4.1245070446941326E-2</v>
      </c>
    </row>
    <row r="20" spans="1:8" x14ac:dyDescent="0.25">
      <c r="A20" s="14" t="s">
        <v>15</v>
      </c>
      <c r="B20" s="45">
        <v>0</v>
      </c>
      <c r="C20" s="45">
        <v>164</v>
      </c>
      <c r="D20" s="29">
        <v>0</v>
      </c>
      <c r="E20" s="15">
        <v>1</v>
      </c>
      <c r="F20" s="79">
        <v>0</v>
      </c>
      <c r="G20" s="37">
        <v>1</v>
      </c>
    </row>
    <row r="21" spans="1:8" x14ac:dyDescent="0.25">
      <c r="A21" s="14" t="s">
        <v>9</v>
      </c>
      <c r="B21" s="45">
        <v>106202.24000000002</v>
      </c>
      <c r="C21" s="45">
        <v>7060</v>
      </c>
      <c r="D21" s="29">
        <v>13474.182409999998</v>
      </c>
      <c r="E21" s="15">
        <v>6.6476940599369649E-2</v>
      </c>
      <c r="F21" s="79">
        <v>106202.24000000002</v>
      </c>
      <c r="G21" s="37">
        <v>6.6476940599369649E-2</v>
      </c>
    </row>
    <row r="22" spans="1:8" x14ac:dyDescent="0.25">
      <c r="A22" s="14" t="s">
        <v>10</v>
      </c>
      <c r="B22" s="45">
        <v>48000</v>
      </c>
      <c r="C22" s="45">
        <v>519</v>
      </c>
      <c r="D22" s="29">
        <v>1069.29051</v>
      </c>
      <c r="E22" s="15">
        <v>1.0812499999999999E-2</v>
      </c>
      <c r="F22" s="79">
        <v>48000</v>
      </c>
      <c r="G22" s="37">
        <v>1.0812499999999999E-2</v>
      </c>
    </row>
    <row r="23" spans="1:8" x14ac:dyDescent="0.25">
      <c r="A23" s="14" t="s">
        <v>11</v>
      </c>
      <c r="B23" s="45">
        <v>58400</v>
      </c>
      <c r="C23" s="45">
        <v>1338</v>
      </c>
      <c r="D23" s="29">
        <v>5159.3413799999998</v>
      </c>
      <c r="E23" s="15">
        <v>2.2910958904109588E-2</v>
      </c>
      <c r="F23" s="79">
        <v>58400</v>
      </c>
      <c r="G23" s="37">
        <v>2.2910958904109588E-2</v>
      </c>
    </row>
    <row r="24" spans="1:8" x14ac:dyDescent="0.25">
      <c r="A24" s="14" t="s">
        <v>12</v>
      </c>
      <c r="B24" s="45">
        <v>0</v>
      </c>
      <c r="C24" s="45">
        <v>5</v>
      </c>
      <c r="D24" s="29">
        <v>5.7603539999999995</v>
      </c>
      <c r="E24" s="15">
        <v>1</v>
      </c>
      <c r="F24" s="79">
        <v>0</v>
      </c>
      <c r="G24" s="37">
        <v>1</v>
      </c>
    </row>
    <row r="25" spans="1:8" x14ac:dyDescent="0.25">
      <c r="A25" s="14" t="s">
        <v>13</v>
      </c>
      <c r="B25" s="45">
        <v>9000</v>
      </c>
      <c r="C25" s="45">
        <v>54</v>
      </c>
      <c r="D25" s="29">
        <v>62.211823199999998</v>
      </c>
      <c r="E25" s="15">
        <v>6.0000000000000001E-3</v>
      </c>
      <c r="F25" s="79">
        <v>9000</v>
      </c>
      <c r="G25" s="37">
        <v>6.0000000000000001E-3</v>
      </c>
    </row>
    <row r="26" spans="1:8" x14ac:dyDescent="0.25">
      <c r="A26" s="12" t="s">
        <v>52</v>
      </c>
      <c r="B26" s="45">
        <v>1085982.6000000001</v>
      </c>
      <c r="C26" s="45">
        <v>20484.599999999999</v>
      </c>
      <c r="D26" s="29">
        <v>40350.779614400002</v>
      </c>
      <c r="E26" s="15">
        <v>1.8862733159813055E-2</v>
      </c>
      <c r="F26" s="79">
        <v>1065498</v>
      </c>
      <c r="G26" s="37">
        <v>1.9225376302911875E-2</v>
      </c>
      <c r="H26" s="38"/>
    </row>
    <row r="27" spans="1:8" x14ac:dyDescent="0.25">
      <c r="A27" s="13" t="s">
        <v>25</v>
      </c>
      <c r="B27" s="45">
        <v>428694</v>
      </c>
      <c r="C27" s="45">
        <v>7459</v>
      </c>
      <c r="D27" s="29">
        <v>15215.658016000003</v>
      </c>
      <c r="E27" s="15">
        <v>1.7399357117197815E-2</v>
      </c>
      <c r="F27" s="79">
        <v>421235</v>
      </c>
      <c r="G27" s="37">
        <v>1.7707455458354601E-2</v>
      </c>
    </row>
    <row r="28" spans="1:8" x14ac:dyDescent="0.25">
      <c r="A28" s="14" t="s">
        <v>15</v>
      </c>
      <c r="B28" s="45">
        <v>210</v>
      </c>
      <c r="C28" s="45">
        <v>210</v>
      </c>
      <c r="D28" s="29">
        <v>0</v>
      </c>
      <c r="E28" s="15">
        <v>1</v>
      </c>
      <c r="F28" s="79">
        <v>0</v>
      </c>
      <c r="G28" s="37">
        <v>1</v>
      </c>
    </row>
    <row r="29" spans="1:8" x14ac:dyDescent="0.25">
      <c r="A29" s="14" t="s">
        <v>9</v>
      </c>
      <c r="B29" s="45">
        <v>146645</v>
      </c>
      <c r="C29" s="45">
        <v>4900</v>
      </c>
      <c r="D29" s="29">
        <v>9370.2347700000028</v>
      </c>
      <c r="E29" s="15">
        <v>3.3414027072181121E-2</v>
      </c>
      <c r="F29" s="79">
        <v>141745</v>
      </c>
      <c r="G29" s="37">
        <v>3.4569120603901375E-2</v>
      </c>
    </row>
    <row r="30" spans="1:8" x14ac:dyDescent="0.25">
      <c r="A30" s="14" t="s">
        <v>10</v>
      </c>
      <c r="B30" s="45">
        <v>28653</v>
      </c>
      <c r="C30" s="45">
        <v>813</v>
      </c>
      <c r="D30" s="29">
        <v>1691.1456899999998</v>
      </c>
      <c r="E30" s="15">
        <v>2.8373992252120197E-2</v>
      </c>
      <c r="F30" s="79">
        <v>27840</v>
      </c>
      <c r="G30" s="37">
        <v>2.9202586206896551E-2</v>
      </c>
    </row>
    <row r="31" spans="1:8" x14ac:dyDescent="0.25">
      <c r="A31" s="14" t="s">
        <v>11</v>
      </c>
      <c r="B31" s="45">
        <v>37503</v>
      </c>
      <c r="C31" s="45">
        <v>703</v>
      </c>
      <c r="D31" s="29">
        <v>2737.6999299999998</v>
      </c>
      <c r="E31" s="15">
        <v>1.8745167053302401E-2</v>
      </c>
      <c r="F31" s="79">
        <v>36800</v>
      </c>
      <c r="G31" s="37">
        <v>1.9103260869565219E-2</v>
      </c>
    </row>
    <row r="32" spans="1:8" x14ac:dyDescent="0.25">
      <c r="A32" s="14" t="s">
        <v>12</v>
      </c>
      <c r="B32" s="45">
        <v>201195</v>
      </c>
      <c r="C32" s="45">
        <v>570</v>
      </c>
      <c r="D32" s="29">
        <v>1070.1396540000003</v>
      </c>
      <c r="E32" s="15">
        <v>2.8330723924550809E-3</v>
      </c>
      <c r="F32" s="79">
        <v>200625</v>
      </c>
      <c r="G32" s="37">
        <v>2.841121495327103E-3</v>
      </c>
    </row>
    <row r="33" spans="1:8" x14ac:dyDescent="0.25">
      <c r="A33" s="14" t="s">
        <v>13</v>
      </c>
      <c r="B33" s="45">
        <v>14488</v>
      </c>
      <c r="C33" s="45">
        <v>263</v>
      </c>
      <c r="D33" s="29">
        <v>346.43797200000006</v>
      </c>
      <c r="E33" s="15">
        <v>1.8152954168967422E-2</v>
      </c>
      <c r="F33" s="79">
        <v>14225</v>
      </c>
      <c r="G33" s="37">
        <v>1.8488576449912128E-2</v>
      </c>
    </row>
    <row r="34" spans="1:8" x14ac:dyDescent="0.25">
      <c r="A34" s="13" t="s">
        <v>26</v>
      </c>
      <c r="B34" s="45">
        <v>449799.6</v>
      </c>
      <c r="C34" s="45">
        <v>7413.6</v>
      </c>
      <c r="D34" s="29">
        <v>14693.112218</v>
      </c>
      <c r="E34" s="15">
        <v>1.6482006653629751E-2</v>
      </c>
      <c r="F34" s="79">
        <v>442386</v>
      </c>
      <c r="G34" s="37">
        <v>1.6758215675902945E-2</v>
      </c>
    </row>
    <row r="35" spans="1:8" x14ac:dyDescent="0.25">
      <c r="A35" s="14" t="s">
        <v>15</v>
      </c>
      <c r="B35" s="45">
        <v>398</v>
      </c>
      <c r="C35" s="45">
        <v>398</v>
      </c>
      <c r="D35" s="29">
        <v>0</v>
      </c>
      <c r="E35" s="15">
        <v>1</v>
      </c>
      <c r="F35" s="79">
        <v>0</v>
      </c>
      <c r="G35" s="37">
        <v>1</v>
      </c>
    </row>
    <row r="36" spans="1:8" x14ac:dyDescent="0.25">
      <c r="A36" s="14" t="s">
        <v>9</v>
      </c>
      <c r="B36" s="45">
        <v>126349</v>
      </c>
      <c r="C36" s="45">
        <v>4828</v>
      </c>
      <c r="D36" s="29">
        <v>9232.3678200000013</v>
      </c>
      <c r="E36" s="15">
        <v>3.8211620194857104E-2</v>
      </c>
      <c r="F36" s="79">
        <v>121521</v>
      </c>
      <c r="G36" s="37">
        <v>3.9729758642539151E-2</v>
      </c>
    </row>
    <row r="37" spans="1:8" x14ac:dyDescent="0.25">
      <c r="A37" s="14" t="s">
        <v>10</v>
      </c>
      <c r="B37" s="45">
        <v>33382.6</v>
      </c>
      <c r="C37" s="45">
        <v>742.6</v>
      </c>
      <c r="D37" s="29">
        <v>1544.704538</v>
      </c>
      <c r="E37" s="15">
        <v>2.2245121710112455E-2</v>
      </c>
      <c r="F37" s="79">
        <v>32640</v>
      </c>
      <c r="G37" s="37">
        <v>2.2751225490196078E-2</v>
      </c>
    </row>
    <row r="38" spans="1:8" x14ac:dyDescent="0.25">
      <c r="A38" s="14" t="s">
        <v>11</v>
      </c>
      <c r="B38" s="45">
        <v>29461</v>
      </c>
      <c r="C38" s="45">
        <v>661</v>
      </c>
      <c r="D38" s="29">
        <v>2574.1389099999997</v>
      </c>
      <c r="E38" s="15">
        <v>2.2436441397101253E-2</v>
      </c>
      <c r="F38" s="79">
        <v>28800</v>
      </c>
      <c r="G38" s="37">
        <v>2.2951388888888889E-2</v>
      </c>
    </row>
    <row r="39" spans="1:8" x14ac:dyDescent="0.25">
      <c r="A39" s="14" t="s">
        <v>12</v>
      </c>
      <c r="B39" s="45">
        <v>239940</v>
      </c>
      <c r="C39" s="45">
        <v>515</v>
      </c>
      <c r="D39" s="29">
        <v>969.01236200000005</v>
      </c>
      <c r="E39" s="15">
        <v>2.1463699258147872E-3</v>
      </c>
      <c r="F39" s="79">
        <v>239425</v>
      </c>
      <c r="G39" s="37">
        <v>2.1509867390623366E-3</v>
      </c>
    </row>
    <row r="40" spans="1:8" x14ac:dyDescent="0.25">
      <c r="A40" s="14" t="s">
        <v>13</v>
      </c>
      <c r="B40" s="45">
        <v>20269</v>
      </c>
      <c r="C40" s="45">
        <v>269</v>
      </c>
      <c r="D40" s="29">
        <v>372.88858800000003</v>
      </c>
      <c r="E40" s="15">
        <v>1.327149834722976E-2</v>
      </c>
      <c r="F40" s="79">
        <v>20000</v>
      </c>
      <c r="G40" s="37">
        <v>1.345E-2</v>
      </c>
    </row>
    <row r="41" spans="1:8" x14ac:dyDescent="0.25">
      <c r="A41" s="13" t="s">
        <v>24</v>
      </c>
      <c r="B41" s="45">
        <v>207489</v>
      </c>
      <c r="C41" s="45">
        <v>5612</v>
      </c>
      <c r="D41" s="29">
        <v>10442.009380400001</v>
      </c>
      <c r="E41" s="15">
        <v>2.7047216960899133E-2</v>
      </c>
      <c r="F41" s="79">
        <v>201877</v>
      </c>
      <c r="G41" s="37">
        <v>2.7799105395859856E-2</v>
      </c>
    </row>
    <row r="42" spans="1:8" x14ac:dyDescent="0.25">
      <c r="A42" s="14" t="s">
        <v>15</v>
      </c>
      <c r="B42" s="45">
        <v>243</v>
      </c>
      <c r="C42" s="45">
        <v>243</v>
      </c>
      <c r="D42" s="29">
        <v>0</v>
      </c>
      <c r="E42" s="15">
        <v>1</v>
      </c>
      <c r="F42" s="79">
        <v>0</v>
      </c>
      <c r="G42" s="37">
        <v>1</v>
      </c>
    </row>
    <row r="43" spans="1:8" x14ac:dyDescent="0.25">
      <c r="A43" s="14" t="s">
        <v>9</v>
      </c>
      <c r="B43" s="45">
        <v>134591</v>
      </c>
      <c r="C43" s="45">
        <v>4239</v>
      </c>
      <c r="D43" s="29">
        <v>8106.7669800000003</v>
      </c>
      <c r="E43" s="15">
        <v>3.1495419455981458E-2</v>
      </c>
      <c r="F43" s="79">
        <v>130352</v>
      </c>
      <c r="G43" s="37">
        <v>3.2519639130968454E-2</v>
      </c>
      <c r="H43" s="38"/>
    </row>
    <row r="44" spans="1:8" x14ac:dyDescent="0.25">
      <c r="A44" s="14" t="s">
        <v>10</v>
      </c>
      <c r="B44" s="45">
        <v>24215</v>
      </c>
      <c r="C44" s="45">
        <v>215</v>
      </c>
      <c r="D44" s="29">
        <v>447.22795000000002</v>
      </c>
      <c r="E44" s="15">
        <v>8.8787941358661991E-3</v>
      </c>
      <c r="F44" s="79">
        <v>24000</v>
      </c>
      <c r="G44" s="37">
        <v>8.9583333333333338E-3</v>
      </c>
      <c r="H44" s="38"/>
    </row>
    <row r="45" spans="1:8" x14ac:dyDescent="0.25">
      <c r="A45" s="14" t="s">
        <v>11</v>
      </c>
      <c r="B45" s="45">
        <v>35636</v>
      </c>
      <c r="C45" s="45">
        <v>436</v>
      </c>
      <c r="D45" s="29">
        <v>1697.9191599999999</v>
      </c>
      <c r="E45" s="15">
        <v>1.2234818722640027E-2</v>
      </c>
      <c r="F45" s="79">
        <v>35200</v>
      </c>
      <c r="G45" s="37">
        <v>1.2386363636363636E-2</v>
      </c>
    </row>
    <row r="46" spans="1:8" x14ac:dyDescent="0.25">
      <c r="A46" s="14" t="s">
        <v>12</v>
      </c>
      <c r="B46" s="45">
        <v>447</v>
      </c>
      <c r="C46" s="45">
        <v>447</v>
      </c>
      <c r="D46" s="29">
        <v>145.36404239999999</v>
      </c>
      <c r="E46" s="15">
        <v>1</v>
      </c>
      <c r="F46" s="79">
        <v>0</v>
      </c>
      <c r="G46" s="37">
        <v>1</v>
      </c>
    </row>
    <row r="47" spans="1:8" x14ac:dyDescent="0.25">
      <c r="A47" s="14" t="s">
        <v>13</v>
      </c>
      <c r="B47" s="45">
        <v>12357</v>
      </c>
      <c r="C47" s="45">
        <v>32</v>
      </c>
      <c r="D47" s="29">
        <v>44.731248000000001</v>
      </c>
      <c r="E47" s="15">
        <v>2.5896253135874402E-3</v>
      </c>
      <c r="F47" s="79">
        <v>12325</v>
      </c>
      <c r="G47" s="37">
        <v>2.5963488843813386E-3</v>
      </c>
    </row>
    <row r="48" spans="1:8" x14ac:dyDescent="0.25">
      <c r="A48" s="12" t="s">
        <v>247</v>
      </c>
      <c r="B48" s="45">
        <v>1264336.19</v>
      </c>
      <c r="C48" s="45">
        <v>33146.75</v>
      </c>
      <c r="D48" s="29">
        <v>71066.146679999991</v>
      </c>
      <c r="E48" s="15">
        <v>2.6216721677483564E-2</v>
      </c>
      <c r="F48" s="79">
        <v>1231189.44</v>
      </c>
      <c r="G48" s="37">
        <v>2.6922542480546274E-2</v>
      </c>
    </row>
    <row r="49" spans="1:7" x14ac:dyDescent="0.25">
      <c r="A49" s="13" t="s">
        <v>25</v>
      </c>
      <c r="B49" s="45">
        <v>526376.26</v>
      </c>
      <c r="C49" s="45">
        <v>12360</v>
      </c>
      <c r="D49" s="29">
        <v>27559.230197999997</v>
      </c>
      <c r="E49" s="15">
        <v>2.348130213927201E-2</v>
      </c>
      <c r="F49" s="79">
        <v>514016.26</v>
      </c>
      <c r="G49" s="37">
        <v>2.4045931932192184E-2</v>
      </c>
    </row>
    <row r="50" spans="1:7" x14ac:dyDescent="0.25">
      <c r="A50" s="14" t="s">
        <v>15</v>
      </c>
      <c r="B50" s="45">
        <v>171</v>
      </c>
      <c r="C50" s="45">
        <v>171</v>
      </c>
      <c r="D50" s="29">
        <v>0</v>
      </c>
      <c r="E50" s="15">
        <v>1</v>
      </c>
      <c r="F50" s="79"/>
      <c r="G50" s="37">
        <v>1</v>
      </c>
    </row>
    <row r="51" spans="1:7" x14ac:dyDescent="0.25">
      <c r="A51" s="14" t="s">
        <v>9</v>
      </c>
      <c r="B51" s="45">
        <v>179402.25999999998</v>
      </c>
      <c r="C51" s="45">
        <v>8176</v>
      </c>
      <c r="D51" s="29">
        <v>15797.72003</v>
      </c>
      <c r="E51" s="15">
        <v>4.5573561893813383E-2</v>
      </c>
      <c r="F51" s="79">
        <v>171226.25999999998</v>
      </c>
      <c r="G51" s="37">
        <v>4.7749685124232701E-2</v>
      </c>
    </row>
    <row r="52" spans="1:7" x14ac:dyDescent="0.25">
      <c r="A52" s="14" t="s">
        <v>10</v>
      </c>
      <c r="B52" s="45">
        <v>29192</v>
      </c>
      <c r="C52" s="45">
        <v>1352</v>
      </c>
      <c r="D52" s="29">
        <v>2812.3357599999999</v>
      </c>
      <c r="E52" s="15">
        <v>4.6314058646204442E-2</v>
      </c>
      <c r="F52" s="79">
        <v>27840</v>
      </c>
      <c r="G52" s="37">
        <v>4.8563218390804595E-2</v>
      </c>
    </row>
    <row r="53" spans="1:7" x14ac:dyDescent="0.25">
      <c r="A53" s="14" t="s">
        <v>11</v>
      </c>
      <c r="B53" s="45">
        <v>121998</v>
      </c>
      <c r="C53" s="45">
        <v>1998</v>
      </c>
      <c r="D53" s="29">
        <v>7780.8313799999996</v>
      </c>
      <c r="E53" s="15">
        <v>1.6377317660945263E-2</v>
      </c>
      <c r="F53" s="79">
        <v>120000</v>
      </c>
      <c r="G53" s="37">
        <v>1.6650000000000002E-2</v>
      </c>
    </row>
    <row r="54" spans="1:7" x14ac:dyDescent="0.25">
      <c r="A54" s="14" t="s">
        <v>12</v>
      </c>
      <c r="B54" s="45">
        <v>183479</v>
      </c>
      <c r="C54" s="45">
        <v>429</v>
      </c>
      <c r="D54" s="29">
        <v>762.57330000000024</v>
      </c>
      <c r="E54" s="15">
        <v>2.3381422397113568E-3</v>
      </c>
      <c r="F54" s="79">
        <v>183050</v>
      </c>
      <c r="G54" s="37">
        <v>2.3436219612127836E-3</v>
      </c>
    </row>
    <row r="55" spans="1:7" x14ac:dyDescent="0.25">
      <c r="A55" s="14" t="s">
        <v>13</v>
      </c>
      <c r="B55" s="45">
        <v>12134</v>
      </c>
      <c r="C55" s="45">
        <v>234</v>
      </c>
      <c r="D55" s="29">
        <v>405.76972799999999</v>
      </c>
      <c r="E55" s="15">
        <v>1.9284654689302787E-2</v>
      </c>
      <c r="F55" s="79">
        <v>11900</v>
      </c>
      <c r="G55" s="37">
        <v>1.9663865546218486E-2</v>
      </c>
    </row>
    <row r="56" spans="1:7" x14ac:dyDescent="0.25">
      <c r="A56" s="13" t="s">
        <v>26</v>
      </c>
      <c r="B56" s="45">
        <v>471193.89</v>
      </c>
      <c r="C56" s="45">
        <v>11643.75</v>
      </c>
      <c r="D56" s="29">
        <v>23728.160073999999</v>
      </c>
      <c r="E56" s="15">
        <v>2.4711165078986911E-2</v>
      </c>
      <c r="F56" s="79">
        <v>459550.14</v>
      </c>
      <c r="G56" s="37">
        <v>2.5337278757003534E-2</v>
      </c>
    </row>
    <row r="57" spans="1:7" x14ac:dyDescent="0.25">
      <c r="A57" s="14" t="s">
        <v>15</v>
      </c>
      <c r="B57" s="45">
        <v>565</v>
      </c>
      <c r="C57" s="45">
        <v>565</v>
      </c>
      <c r="D57" s="29">
        <v>0</v>
      </c>
      <c r="E57" s="15">
        <v>1</v>
      </c>
      <c r="F57" s="79"/>
      <c r="G57" s="37">
        <v>1</v>
      </c>
    </row>
    <row r="58" spans="1:7" x14ac:dyDescent="0.25">
      <c r="A58" s="14" t="s">
        <v>9</v>
      </c>
      <c r="B58" s="45">
        <v>149292.88999999998</v>
      </c>
      <c r="C58" s="45">
        <v>8812.75</v>
      </c>
      <c r="D58" s="29">
        <v>17053.382739999997</v>
      </c>
      <c r="E58" s="15">
        <v>5.9029937728447758E-2</v>
      </c>
      <c r="F58" s="79">
        <v>140480.13999999998</v>
      </c>
      <c r="G58" s="37">
        <v>6.2733066752353753E-2</v>
      </c>
    </row>
    <row r="59" spans="1:7" x14ac:dyDescent="0.25">
      <c r="A59" s="14" t="s">
        <v>10</v>
      </c>
      <c r="B59" s="45">
        <v>21608</v>
      </c>
      <c r="C59" s="45">
        <v>488</v>
      </c>
      <c r="D59" s="29">
        <v>1015.10344</v>
      </c>
      <c r="E59" s="15">
        <v>2.2584228063680118E-2</v>
      </c>
      <c r="F59" s="79">
        <v>21120</v>
      </c>
      <c r="G59" s="37">
        <v>2.3106060606060606E-2</v>
      </c>
    </row>
    <row r="60" spans="1:7" x14ac:dyDescent="0.25">
      <c r="A60" s="14" t="s">
        <v>11</v>
      </c>
      <c r="B60" s="45">
        <v>104340</v>
      </c>
      <c r="C60" s="45">
        <v>1140</v>
      </c>
      <c r="D60" s="29">
        <v>4439.5133999999998</v>
      </c>
      <c r="E60" s="15">
        <v>1.0925819436457734E-2</v>
      </c>
      <c r="F60" s="79">
        <v>103200</v>
      </c>
      <c r="G60" s="37">
        <v>1.1046511627906977E-2</v>
      </c>
    </row>
    <row r="61" spans="1:7" x14ac:dyDescent="0.25">
      <c r="A61" s="14" t="s">
        <v>12</v>
      </c>
      <c r="B61" s="45">
        <v>186552</v>
      </c>
      <c r="C61" s="45">
        <v>552</v>
      </c>
      <c r="D61" s="29">
        <v>1052.390318</v>
      </c>
      <c r="E61" s="15">
        <v>2.9589605043097902E-3</v>
      </c>
      <c r="F61" s="79">
        <v>186000</v>
      </c>
      <c r="G61" s="37">
        <v>2.9677419354838708E-3</v>
      </c>
    </row>
    <row r="62" spans="1:7" x14ac:dyDescent="0.25">
      <c r="A62" s="14" t="s">
        <v>13</v>
      </c>
      <c r="B62" s="45">
        <v>8836</v>
      </c>
      <c r="C62" s="45">
        <v>86</v>
      </c>
      <c r="D62" s="29">
        <v>167.77017600000002</v>
      </c>
      <c r="E62" s="15">
        <v>9.7329108193752838E-3</v>
      </c>
      <c r="F62" s="79">
        <v>8750</v>
      </c>
      <c r="G62" s="37">
        <v>9.8285714285714278E-3</v>
      </c>
    </row>
    <row r="63" spans="1:7" x14ac:dyDescent="0.25">
      <c r="A63" s="13" t="s">
        <v>24</v>
      </c>
      <c r="B63" s="45">
        <v>266766.04000000004</v>
      </c>
      <c r="C63" s="45">
        <v>9143</v>
      </c>
      <c r="D63" s="29">
        <v>19778.756408000001</v>
      </c>
      <c r="E63" s="15">
        <v>3.4273477988427607E-2</v>
      </c>
      <c r="F63" s="79">
        <v>257623.04000000004</v>
      </c>
      <c r="G63" s="37">
        <v>3.5489838175964378E-2</v>
      </c>
    </row>
    <row r="64" spans="1:7" x14ac:dyDescent="0.25">
      <c r="A64" s="14" t="s">
        <v>15</v>
      </c>
      <c r="B64" s="45">
        <v>159</v>
      </c>
      <c r="C64" s="45">
        <v>159</v>
      </c>
      <c r="D64" s="29">
        <v>0</v>
      </c>
      <c r="E64" s="15">
        <v>1</v>
      </c>
      <c r="F64" s="79"/>
      <c r="G64" s="37">
        <v>1</v>
      </c>
    </row>
    <row r="65" spans="1:7" x14ac:dyDescent="0.25">
      <c r="A65" s="14" t="s">
        <v>9</v>
      </c>
      <c r="B65" s="45">
        <v>144787.04000000004</v>
      </c>
      <c r="C65" s="45">
        <v>7204</v>
      </c>
      <c r="D65" s="29">
        <v>13463.698240000002</v>
      </c>
      <c r="E65" s="15">
        <v>4.9755834500104415E-2</v>
      </c>
      <c r="F65" s="79">
        <v>137583.04000000004</v>
      </c>
      <c r="G65" s="37">
        <v>5.2361104973403683E-2</v>
      </c>
    </row>
    <row r="66" spans="1:7" x14ac:dyDescent="0.25">
      <c r="A66" s="14" t="s">
        <v>10</v>
      </c>
      <c r="B66" s="45">
        <v>19750</v>
      </c>
      <c r="C66" s="45">
        <v>310</v>
      </c>
      <c r="D66" s="29">
        <v>644.84030000000007</v>
      </c>
      <c r="E66" s="15">
        <v>1.5696202531645571E-2</v>
      </c>
      <c r="F66" s="79">
        <v>19440</v>
      </c>
      <c r="G66" s="37">
        <v>1.5946502057613169E-2</v>
      </c>
    </row>
    <row r="67" spans="1:7" x14ac:dyDescent="0.25">
      <c r="A67" s="14" t="s">
        <v>11</v>
      </c>
      <c r="B67" s="45">
        <v>95042</v>
      </c>
      <c r="C67" s="45">
        <v>1442</v>
      </c>
      <c r="D67" s="29">
        <v>5615.5950199999997</v>
      </c>
      <c r="E67" s="15">
        <v>1.5172239641421687E-2</v>
      </c>
      <c r="F67" s="79">
        <v>93600</v>
      </c>
      <c r="G67" s="37">
        <v>1.5405982905982905E-2</v>
      </c>
    </row>
    <row r="68" spans="1:7" x14ac:dyDescent="0.25">
      <c r="A68" s="14" t="s">
        <v>13</v>
      </c>
      <c r="B68" s="45">
        <v>7028</v>
      </c>
      <c r="C68" s="45">
        <v>28</v>
      </c>
      <c r="D68" s="29">
        <v>54.622848000000005</v>
      </c>
      <c r="E68" s="15">
        <v>3.9840637450199202E-3</v>
      </c>
      <c r="F68" s="79">
        <v>7000</v>
      </c>
      <c r="G68" s="37">
        <v>4.0000000000000001E-3</v>
      </c>
    </row>
    <row r="69" spans="1:7" x14ac:dyDescent="0.25">
      <c r="A69" s="12" t="s">
        <v>54</v>
      </c>
      <c r="B69" s="45">
        <v>3479111.19</v>
      </c>
      <c r="C69" s="45">
        <v>82754.350000000006</v>
      </c>
      <c r="D69" s="29">
        <v>171488.5912008</v>
      </c>
      <c r="E69" s="15">
        <v>2.3786060715121907E-2</v>
      </c>
      <c r="F69" s="79">
        <v>3425479.84</v>
      </c>
      <c r="G69" s="37">
        <v>2.4158469430665228E-2</v>
      </c>
    </row>
  </sheetData>
  <mergeCells count="3">
    <mergeCell ref="A2:E2"/>
    <mergeCell ref="A1:G1"/>
    <mergeCell ref="F2:G2"/>
  </mergeCells>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expression" priority="11" id="{661B9A08-89EB-423A-A069-A7314EBF374A}">
            <xm:f>L1=Lists!$Q$2</xm:f>
            <x14:dxf>
              <font>
                <color rgb="FF006100"/>
              </font>
              <fill>
                <patternFill>
                  <bgColor rgb="FFC6EFCE"/>
                </patternFill>
              </fill>
            </x14:dxf>
          </x14:cfRule>
          <x14:cfRule type="expression" priority="12" id="{713E3956-A202-4FE5-A16C-5451B7C0422E}">
            <xm:f>L1&gt;Lists!$Q$2</xm:f>
            <x14:dxf>
              <font>
                <color rgb="FF9C0006"/>
              </font>
              <fill>
                <patternFill>
                  <bgColor rgb="FFFFC7CE"/>
                </patternFill>
              </fill>
            </x14:dxf>
          </x14:cfRule>
          <xm:sqref>L1</xm:sqref>
        </x14:conditionalFormatting>
        <x14:conditionalFormatting xmlns:xm="http://schemas.microsoft.com/office/excel/2006/main">
          <x14:cfRule type="expression" priority="10" id="{D246D57C-6EC0-4C48-AE6B-43DDF2B229D8}">
            <xm:f>L1&lt;Lists!$Q$2</xm:f>
            <x14:dxf>
              <font>
                <color rgb="FF006100"/>
              </font>
              <fill>
                <patternFill>
                  <bgColor rgb="FFC6EFCE"/>
                </patternFill>
              </fill>
            </x14:dxf>
          </x14:cfRule>
          <xm:sqref>L1</xm:sqref>
        </x14:conditionalFormatting>
        <x14:conditionalFormatting xmlns:xm="http://schemas.microsoft.com/office/excel/2006/main">
          <x14:cfRule type="expression" priority="8" id="{113F6E1B-94F9-4A7A-80E1-455EF3529B84}">
            <xm:f>L2=Lists!$Q$2</xm:f>
            <x14:dxf>
              <font>
                <color rgb="FF006100"/>
              </font>
              <fill>
                <patternFill>
                  <bgColor rgb="FFC6EFCE"/>
                </patternFill>
              </fill>
            </x14:dxf>
          </x14:cfRule>
          <x14:cfRule type="expression" priority="9" id="{C5010562-2FD5-4AF2-B024-6E1A45117531}">
            <xm:f>L2&gt;Lists!$Q$2</xm:f>
            <x14:dxf>
              <font>
                <color rgb="FF9C0006"/>
              </font>
              <fill>
                <patternFill>
                  <bgColor rgb="FFFFC7CE"/>
                </patternFill>
              </fill>
            </x14:dxf>
          </x14:cfRule>
          <xm:sqref>L2</xm:sqref>
        </x14:conditionalFormatting>
        <x14:conditionalFormatting xmlns:xm="http://schemas.microsoft.com/office/excel/2006/main">
          <x14:cfRule type="expression" priority="7" id="{C7903AF4-D47C-4F0B-81C8-326526814935}">
            <xm:f>L2&lt;Lists!$Q$2</xm:f>
            <x14:dxf>
              <font>
                <color rgb="FF006100"/>
              </font>
              <fill>
                <patternFill>
                  <bgColor rgb="FFC6EFCE"/>
                </patternFill>
              </fill>
            </x14:dxf>
          </x14:cfRule>
          <xm:sqref>L2</xm:sqref>
        </x14:conditionalFormatting>
        <x14:conditionalFormatting xmlns:xm="http://schemas.microsoft.com/office/excel/2006/main">
          <x14:cfRule type="expression" priority="5" id="{46EC94F2-1FD7-4E61-90F8-36B676D85B2D}">
            <xm:f>N1=Lists!$Q$2</xm:f>
            <x14:dxf>
              <font>
                <color rgb="FF006100"/>
              </font>
              <fill>
                <patternFill>
                  <bgColor rgb="FFC6EFCE"/>
                </patternFill>
              </fill>
            </x14:dxf>
          </x14:cfRule>
          <x14:cfRule type="expression" priority="6" id="{F0FBC24F-18D2-4444-AAA5-FFE165497CE0}">
            <xm:f>N1&gt;Lists!$Q$2</xm:f>
            <x14:dxf>
              <font>
                <color rgb="FF9C0006"/>
              </font>
              <fill>
                <patternFill>
                  <bgColor rgb="FFFFC7CE"/>
                </patternFill>
              </fill>
            </x14:dxf>
          </x14:cfRule>
          <xm:sqref>N1</xm:sqref>
        </x14:conditionalFormatting>
        <x14:conditionalFormatting xmlns:xm="http://schemas.microsoft.com/office/excel/2006/main">
          <x14:cfRule type="expression" priority="4" id="{B46EC2A5-DC1E-46F4-BBB2-6C3F50FAF7A9}">
            <xm:f>N1&lt;Lists!$Q$2</xm:f>
            <x14:dxf>
              <font>
                <color rgb="FF006100"/>
              </font>
              <fill>
                <patternFill>
                  <bgColor rgb="FFC6EFCE"/>
                </patternFill>
              </fill>
            </x14:dxf>
          </x14:cfRule>
          <xm:sqref>N1</xm:sqref>
        </x14:conditionalFormatting>
        <x14:conditionalFormatting xmlns:xm="http://schemas.microsoft.com/office/excel/2006/main">
          <x14:cfRule type="expression" priority="2" id="{4E83BB35-B53A-4CD3-BA71-9B71A7F21E9B}">
            <xm:f>N2=Lists!$Q$2</xm:f>
            <x14:dxf>
              <font>
                <color rgb="FF006100"/>
              </font>
              <fill>
                <patternFill>
                  <bgColor rgb="FFC6EFCE"/>
                </patternFill>
              </fill>
            </x14:dxf>
          </x14:cfRule>
          <x14:cfRule type="expression" priority="3" id="{8FAA8403-77F0-4469-87B9-30B5E5FF888E}">
            <xm:f>N2&gt;Lists!$Q$2</xm:f>
            <x14:dxf>
              <font>
                <color rgb="FF9C0006"/>
              </font>
              <fill>
                <patternFill>
                  <bgColor rgb="FFFFC7CE"/>
                </patternFill>
              </fill>
            </x14:dxf>
          </x14:cfRule>
          <xm:sqref>N2</xm:sqref>
        </x14:conditionalFormatting>
        <x14:conditionalFormatting xmlns:xm="http://schemas.microsoft.com/office/excel/2006/main">
          <x14:cfRule type="expression" priority="1" id="{308836DB-80A6-45CB-AC8D-A35E7BC672B2}">
            <xm:f>N2&lt;Lists!$Q$2</xm:f>
            <x14:dxf>
              <font>
                <color rgb="FF006100"/>
              </font>
              <fill>
                <patternFill>
                  <bgColor rgb="FFC6EFCE"/>
                </patternFill>
              </fill>
            </x14:dxf>
          </x14:cfRule>
          <xm:sqref>N2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C689-9625-4F8B-AB27-12828E4E49AD}">
  <dimension ref="A1:I518"/>
  <sheetViews>
    <sheetView workbookViewId="0">
      <pane ySplit="5" topLeftCell="A6" activePane="bottomLeft" state="frozen"/>
      <selection pane="bottomLeft" activeCell="A5" sqref="A5"/>
    </sheetView>
  </sheetViews>
  <sheetFormatPr defaultRowHeight="15" x14ac:dyDescent="0.25"/>
  <cols>
    <col min="1" max="1" width="15.42578125" bestFit="1" customWidth="1"/>
    <col min="2" max="2" width="22.7109375" style="20" bestFit="1" customWidth="1"/>
    <col min="3" max="3" width="18.42578125" style="20" bestFit="1" customWidth="1"/>
    <col min="4" max="4" width="13.85546875" style="20" bestFit="1" customWidth="1"/>
    <col min="5" max="5" width="12.7109375" style="25" bestFit="1" customWidth="1"/>
    <col min="6" max="6" width="17.7109375" style="20" bestFit="1" customWidth="1"/>
    <col min="7" max="7" width="25.140625" style="20" bestFit="1" customWidth="1"/>
    <col min="8" max="8" width="11.140625" style="1" bestFit="1" customWidth="1"/>
    <col min="9" max="9" width="10.85546875" style="2" bestFit="1" customWidth="1"/>
  </cols>
  <sheetData>
    <row r="1" spans="1:9" x14ac:dyDescent="0.25">
      <c r="A1" s="92" t="s">
        <v>55</v>
      </c>
      <c r="B1" s="92"/>
      <c r="C1" s="92"/>
      <c r="D1" s="92"/>
      <c r="E1" s="92"/>
      <c r="F1" s="92"/>
      <c r="G1" s="92"/>
    </row>
    <row r="2" spans="1:9" x14ac:dyDescent="0.25">
      <c r="A2" s="80"/>
      <c r="B2" s="80"/>
      <c r="C2" s="80"/>
      <c r="D2" s="80"/>
      <c r="E2" s="80"/>
      <c r="F2" s="80"/>
      <c r="G2" s="80"/>
    </row>
    <row r="3" spans="1:9" x14ac:dyDescent="0.25">
      <c r="A3" s="80"/>
      <c r="B3" s="80"/>
      <c r="C3" s="80"/>
      <c r="D3" s="80"/>
      <c r="E3" s="80"/>
      <c r="F3" s="80"/>
      <c r="G3" s="80"/>
    </row>
    <row r="4" spans="1:9" x14ac:dyDescent="0.25">
      <c r="A4" s="80"/>
      <c r="B4" s="80"/>
      <c r="C4" s="80"/>
      <c r="D4" s="80"/>
      <c r="E4" s="80"/>
      <c r="F4" s="80"/>
      <c r="G4" s="80"/>
    </row>
    <row r="5" spans="1:9" s="2" customFormat="1" x14ac:dyDescent="0.25">
      <c r="A5" s="35" t="s">
        <v>53</v>
      </c>
      <c r="B5" s="49" t="s">
        <v>57</v>
      </c>
      <c r="C5" s="49" t="s">
        <v>59</v>
      </c>
      <c r="D5" s="46" t="s">
        <v>228</v>
      </c>
      <c r="E5" s="15" t="s">
        <v>60</v>
      </c>
      <c r="F5" s="79" t="s">
        <v>58</v>
      </c>
      <c r="G5" s="37" t="s">
        <v>61</v>
      </c>
      <c r="H5" s="36" t="s">
        <v>0</v>
      </c>
      <c r="I5" s="36" t="s">
        <v>1</v>
      </c>
    </row>
    <row r="6" spans="1:9" x14ac:dyDescent="0.25">
      <c r="A6" s="12" t="s">
        <v>569</v>
      </c>
      <c r="B6" s="49"/>
      <c r="C6" s="49"/>
      <c r="E6" s="15">
        <v>1</v>
      </c>
      <c r="F6" s="79"/>
      <c r="G6" s="37">
        <v>1</v>
      </c>
      <c r="H6" s="1">
        <v>43832</v>
      </c>
      <c r="I6" s="2" t="s">
        <v>187</v>
      </c>
    </row>
    <row r="7" spans="1:9" x14ac:dyDescent="0.25">
      <c r="A7" s="12" t="s">
        <v>67</v>
      </c>
      <c r="B7" s="49">
        <v>10414.200000000001</v>
      </c>
      <c r="C7" s="49">
        <v>709</v>
      </c>
      <c r="D7" s="20">
        <v>1363.380676</v>
      </c>
      <c r="E7" s="15">
        <v>6.8080121372741054E-2</v>
      </c>
      <c r="F7" s="79">
        <v>10414.200000000001</v>
      </c>
      <c r="G7" s="37">
        <v>6.8080121372741054E-2</v>
      </c>
      <c r="H7" s="1">
        <v>43832</v>
      </c>
      <c r="I7" s="2" t="s">
        <v>188</v>
      </c>
    </row>
    <row r="8" spans="1:9" x14ac:dyDescent="0.25">
      <c r="A8" s="12" t="s">
        <v>68</v>
      </c>
      <c r="B8" s="49">
        <v>15542.720000000001</v>
      </c>
      <c r="C8" s="49">
        <v>651</v>
      </c>
      <c r="D8" s="20">
        <v>1108.5557691999998</v>
      </c>
      <c r="E8" s="15">
        <v>4.1884560746124226E-2</v>
      </c>
      <c r="F8" s="79">
        <v>15542.720000000001</v>
      </c>
      <c r="G8" s="37">
        <v>4.1884560746124226E-2</v>
      </c>
      <c r="H8" s="1">
        <v>43832</v>
      </c>
      <c r="I8" s="2" t="s">
        <v>189</v>
      </c>
    </row>
    <row r="9" spans="1:9" x14ac:dyDescent="0.25">
      <c r="A9" s="12" t="s">
        <v>66</v>
      </c>
      <c r="B9" s="49">
        <v>0</v>
      </c>
      <c r="C9" s="49">
        <v>30</v>
      </c>
      <c r="D9" s="20">
        <v>0</v>
      </c>
      <c r="E9" s="15">
        <v>1</v>
      </c>
      <c r="F9" s="79">
        <v>0</v>
      </c>
      <c r="G9" s="37">
        <v>1</v>
      </c>
      <c r="H9" s="1">
        <v>43833</v>
      </c>
      <c r="I9" s="2" t="s">
        <v>187</v>
      </c>
    </row>
    <row r="10" spans="1:9" x14ac:dyDescent="0.25">
      <c r="A10" s="12" t="s">
        <v>70</v>
      </c>
      <c r="B10" s="49">
        <v>13110.560000000001</v>
      </c>
      <c r="C10" s="49">
        <v>410</v>
      </c>
      <c r="D10" s="20">
        <v>796.00286159999996</v>
      </c>
      <c r="E10" s="15">
        <v>3.1272500945802466E-2</v>
      </c>
      <c r="F10" s="79">
        <v>13110.560000000001</v>
      </c>
      <c r="G10" s="37">
        <v>3.1272500945802466E-2</v>
      </c>
      <c r="H10" s="1">
        <v>43833</v>
      </c>
      <c r="I10" s="2" t="s">
        <v>188</v>
      </c>
    </row>
    <row r="11" spans="1:9" x14ac:dyDescent="0.25">
      <c r="A11" s="12" t="s">
        <v>71</v>
      </c>
      <c r="B11" s="49">
        <v>15943.25</v>
      </c>
      <c r="C11" s="49">
        <v>329</v>
      </c>
      <c r="D11" s="20">
        <v>640.01685999999995</v>
      </c>
      <c r="E11" s="15">
        <v>2.0635692220845811E-2</v>
      </c>
      <c r="F11" s="79">
        <v>15943.25</v>
      </c>
      <c r="G11" s="37">
        <v>2.0635692220845811E-2</v>
      </c>
      <c r="H11" s="1">
        <v>43833</v>
      </c>
      <c r="I11" s="2" t="s">
        <v>189</v>
      </c>
    </row>
    <row r="12" spans="1:9" x14ac:dyDescent="0.25">
      <c r="A12" s="12" t="s">
        <v>69</v>
      </c>
      <c r="B12" s="49">
        <v>5974.88</v>
      </c>
      <c r="C12" s="49">
        <v>480</v>
      </c>
      <c r="D12" s="20">
        <v>903.20403119999992</v>
      </c>
      <c r="E12" s="15">
        <v>8.0336341483008861E-2</v>
      </c>
      <c r="F12" s="79">
        <v>5974.88</v>
      </c>
      <c r="G12" s="37">
        <v>8.0336341483008861E-2</v>
      </c>
      <c r="H12" s="1">
        <v>43834</v>
      </c>
      <c r="I12" s="2" t="s">
        <v>187</v>
      </c>
    </row>
    <row r="13" spans="1:9" x14ac:dyDescent="0.25">
      <c r="A13" s="12" t="s">
        <v>127</v>
      </c>
      <c r="B13" s="49">
        <v>10000</v>
      </c>
      <c r="C13" s="49">
        <v>23</v>
      </c>
      <c r="D13" s="20">
        <v>26.4976284</v>
      </c>
      <c r="E13" s="15">
        <v>2.3E-3</v>
      </c>
      <c r="F13" s="79">
        <v>10000</v>
      </c>
      <c r="G13" s="37">
        <v>2.3E-3</v>
      </c>
      <c r="H13" s="1">
        <v>43834</v>
      </c>
      <c r="I13" s="2" t="s">
        <v>188</v>
      </c>
    </row>
    <row r="14" spans="1:9" x14ac:dyDescent="0.25">
      <c r="A14" s="12" t="s">
        <v>128</v>
      </c>
      <c r="B14" s="49">
        <v>9000</v>
      </c>
      <c r="C14" s="49">
        <v>10</v>
      </c>
      <c r="D14" s="20">
        <v>11.520707999999999</v>
      </c>
      <c r="E14" s="15">
        <v>1.1111111111111111E-3</v>
      </c>
      <c r="F14" s="79">
        <v>9000</v>
      </c>
      <c r="G14" s="37">
        <v>1.1111111111111111E-3</v>
      </c>
      <c r="H14" s="1">
        <v>43835</v>
      </c>
      <c r="I14" s="2" t="s">
        <v>187</v>
      </c>
    </row>
    <row r="15" spans="1:9" x14ac:dyDescent="0.25">
      <c r="A15" s="12" t="s">
        <v>129</v>
      </c>
      <c r="B15" s="49">
        <v>9000</v>
      </c>
      <c r="C15" s="49">
        <v>14</v>
      </c>
      <c r="D15" s="20">
        <v>16.128991199999998</v>
      </c>
      <c r="E15" s="15">
        <v>1.5555555555555555E-3</v>
      </c>
      <c r="F15" s="79">
        <v>9000</v>
      </c>
      <c r="G15" s="37">
        <v>1.5555555555555555E-3</v>
      </c>
      <c r="H15" s="1">
        <v>43835</v>
      </c>
      <c r="I15" s="2" t="s">
        <v>188</v>
      </c>
    </row>
    <row r="16" spans="1:9" x14ac:dyDescent="0.25">
      <c r="A16" s="12" t="s">
        <v>130</v>
      </c>
      <c r="B16" s="49">
        <v>10000</v>
      </c>
      <c r="C16" s="49">
        <v>5</v>
      </c>
      <c r="D16" s="20">
        <v>5.7603539999999995</v>
      </c>
      <c r="E16" s="15">
        <v>5.0000000000000001E-4</v>
      </c>
      <c r="F16" s="79">
        <v>10000</v>
      </c>
      <c r="G16" s="37">
        <v>5.0000000000000001E-4</v>
      </c>
      <c r="H16" s="1">
        <v>43835</v>
      </c>
      <c r="I16" s="2" t="s">
        <v>189</v>
      </c>
    </row>
    <row r="17" spans="1:9" x14ac:dyDescent="0.25">
      <c r="A17" s="12" t="s">
        <v>190</v>
      </c>
      <c r="B17" s="49">
        <v>0</v>
      </c>
      <c r="C17" s="49">
        <v>3</v>
      </c>
      <c r="D17" s="20">
        <v>0</v>
      </c>
      <c r="E17" s="15">
        <v>1</v>
      </c>
      <c r="F17" s="79">
        <v>0</v>
      </c>
      <c r="G17" s="37">
        <v>1</v>
      </c>
      <c r="H17" s="1">
        <v>43836</v>
      </c>
      <c r="I17" s="2" t="s">
        <v>187</v>
      </c>
    </row>
    <row r="18" spans="1:9" x14ac:dyDescent="0.25">
      <c r="A18" s="12" t="s">
        <v>73</v>
      </c>
      <c r="B18" s="49">
        <v>24302.400000000001</v>
      </c>
      <c r="C18" s="49">
        <v>460</v>
      </c>
      <c r="D18" s="20">
        <v>746.0237952</v>
      </c>
      <c r="E18" s="15">
        <v>1.8928171703206268E-2</v>
      </c>
      <c r="F18" s="79">
        <v>24302.400000000001</v>
      </c>
      <c r="G18" s="37">
        <v>1.8928171703206268E-2</v>
      </c>
      <c r="H18" s="1">
        <v>43836</v>
      </c>
      <c r="I18" s="2" t="s">
        <v>188</v>
      </c>
    </row>
    <row r="19" spans="1:9" x14ac:dyDescent="0.25">
      <c r="A19" s="12" t="s">
        <v>74</v>
      </c>
      <c r="B19" s="49">
        <v>20502.400000000001</v>
      </c>
      <c r="C19" s="49">
        <v>331</v>
      </c>
      <c r="D19" s="20">
        <v>608.52969080000003</v>
      </c>
      <c r="E19" s="15">
        <v>1.6144451381301699E-2</v>
      </c>
      <c r="F19" s="79">
        <v>20502.400000000001</v>
      </c>
      <c r="G19" s="37">
        <v>1.6144451381301699E-2</v>
      </c>
      <c r="H19" s="1">
        <v>43836</v>
      </c>
      <c r="I19" s="2" t="s">
        <v>189</v>
      </c>
    </row>
    <row r="20" spans="1:9" x14ac:dyDescent="0.25">
      <c r="A20" s="12" t="s">
        <v>72</v>
      </c>
      <c r="B20" s="49">
        <v>6164</v>
      </c>
      <c r="C20" s="49">
        <v>263</v>
      </c>
      <c r="D20" s="20">
        <v>481.77042840000001</v>
      </c>
      <c r="E20" s="15">
        <v>4.2667099286177804E-2</v>
      </c>
      <c r="F20" s="79">
        <v>6164</v>
      </c>
      <c r="G20" s="37">
        <v>4.2667099286177804E-2</v>
      </c>
      <c r="H20" s="1">
        <v>43837</v>
      </c>
      <c r="I20" s="2" t="s">
        <v>187</v>
      </c>
    </row>
    <row r="21" spans="1:9" x14ac:dyDescent="0.25">
      <c r="A21" s="12" t="s">
        <v>76</v>
      </c>
      <c r="B21" s="49">
        <v>22302.400000000001</v>
      </c>
      <c r="C21" s="49">
        <v>215</v>
      </c>
      <c r="D21" s="20">
        <v>382.52197719999998</v>
      </c>
      <c r="E21" s="15">
        <v>9.6402180931200229E-3</v>
      </c>
      <c r="F21" s="79">
        <v>22302.400000000001</v>
      </c>
      <c r="G21" s="37">
        <v>9.6402180931200229E-3</v>
      </c>
      <c r="H21" s="1">
        <v>43837</v>
      </c>
      <c r="I21" s="2" t="s">
        <v>188</v>
      </c>
    </row>
    <row r="22" spans="1:9" x14ac:dyDescent="0.25">
      <c r="A22" s="12" t="s">
        <v>77</v>
      </c>
      <c r="B22" s="49">
        <v>21702.400000000001</v>
      </c>
      <c r="C22" s="49">
        <v>407</v>
      </c>
      <c r="D22" s="20">
        <v>715.4544507999999</v>
      </c>
      <c r="E22" s="15">
        <v>1.8753686228251253E-2</v>
      </c>
      <c r="F22" s="79">
        <v>21702.400000000001</v>
      </c>
      <c r="G22" s="37">
        <v>1.8753686228251253E-2</v>
      </c>
      <c r="H22" s="1">
        <v>43837</v>
      </c>
      <c r="I22" s="2" t="s">
        <v>189</v>
      </c>
    </row>
    <row r="23" spans="1:9" x14ac:dyDescent="0.25">
      <c r="A23" s="12" t="s">
        <v>75</v>
      </c>
      <c r="B23" s="49">
        <v>9902.4</v>
      </c>
      <c r="C23" s="49">
        <v>334</v>
      </c>
      <c r="D23" s="20">
        <v>612.38358240000002</v>
      </c>
      <c r="E23" s="15">
        <v>3.3729196962352562E-2</v>
      </c>
      <c r="F23" s="79">
        <v>9902.4</v>
      </c>
      <c r="G23" s="37">
        <v>3.3729196962352562E-2</v>
      </c>
      <c r="H23" s="1">
        <v>43838</v>
      </c>
      <c r="I23" s="2" t="s">
        <v>187</v>
      </c>
    </row>
    <row r="24" spans="1:9" x14ac:dyDescent="0.25">
      <c r="A24" s="12" t="s">
        <v>79</v>
      </c>
      <c r="B24" s="49">
        <v>13789.6</v>
      </c>
      <c r="C24" s="49">
        <v>417</v>
      </c>
      <c r="D24" s="20">
        <v>684.51590439999995</v>
      </c>
      <c r="E24" s="15">
        <v>3.0240181005975517E-2</v>
      </c>
      <c r="F24" s="79">
        <v>13789.6</v>
      </c>
      <c r="G24" s="37">
        <v>3.0240181005975517E-2</v>
      </c>
      <c r="H24" s="1">
        <v>43838</v>
      </c>
      <c r="I24" s="2" t="s">
        <v>188</v>
      </c>
    </row>
    <row r="25" spans="1:9" x14ac:dyDescent="0.25">
      <c r="A25" s="12" t="s">
        <v>80</v>
      </c>
      <c r="B25" s="49">
        <v>12564</v>
      </c>
      <c r="C25" s="49">
        <v>660</v>
      </c>
      <c r="D25" s="20">
        <v>1245.2961072000003</v>
      </c>
      <c r="E25" s="15">
        <v>5.253104106972302E-2</v>
      </c>
      <c r="F25" s="79">
        <v>12564</v>
      </c>
      <c r="G25" s="37">
        <v>5.253104106972302E-2</v>
      </c>
      <c r="H25" s="1">
        <v>43838</v>
      </c>
      <c r="I25" s="2" t="s">
        <v>189</v>
      </c>
    </row>
    <row r="26" spans="1:9" x14ac:dyDescent="0.25">
      <c r="A26" s="12" t="s">
        <v>78</v>
      </c>
      <c r="B26" s="49">
        <v>11502.4</v>
      </c>
      <c r="C26" s="49">
        <v>444</v>
      </c>
      <c r="D26" s="20">
        <v>838.53018400000008</v>
      </c>
      <c r="E26" s="15">
        <v>3.8600639866462651E-2</v>
      </c>
      <c r="F26" s="79">
        <v>11502.4</v>
      </c>
      <c r="G26" s="37">
        <v>3.8600639866462651E-2</v>
      </c>
      <c r="H26" s="1">
        <v>43839</v>
      </c>
      <c r="I26" s="2" t="s">
        <v>187</v>
      </c>
    </row>
    <row r="27" spans="1:9" x14ac:dyDescent="0.25">
      <c r="A27" s="12" t="s">
        <v>82</v>
      </c>
      <c r="B27" s="49">
        <v>19789.599999999999</v>
      </c>
      <c r="C27" s="49">
        <v>442</v>
      </c>
      <c r="D27" s="20">
        <v>666.38902480000002</v>
      </c>
      <c r="E27" s="15">
        <v>2.2334963819379879E-2</v>
      </c>
      <c r="F27" s="79">
        <v>19789.599999999999</v>
      </c>
      <c r="G27" s="37">
        <v>2.2334963819379879E-2</v>
      </c>
      <c r="H27" s="1">
        <v>43839</v>
      </c>
      <c r="I27" s="2" t="s">
        <v>188</v>
      </c>
    </row>
    <row r="28" spans="1:9" x14ac:dyDescent="0.25">
      <c r="A28" s="12" t="s">
        <v>83</v>
      </c>
      <c r="B28" s="49">
        <v>17564</v>
      </c>
      <c r="C28" s="49">
        <v>331</v>
      </c>
      <c r="D28" s="20">
        <v>604.06029560000002</v>
      </c>
      <c r="E28" s="15">
        <v>1.8845365520382601E-2</v>
      </c>
      <c r="F28" s="79">
        <v>17564</v>
      </c>
      <c r="G28" s="37">
        <v>1.8845365520382601E-2</v>
      </c>
      <c r="H28" s="1">
        <v>43839</v>
      </c>
      <c r="I28" s="2" t="s">
        <v>189</v>
      </c>
    </row>
    <row r="29" spans="1:9" x14ac:dyDescent="0.25">
      <c r="A29" s="12" t="s">
        <v>81</v>
      </c>
      <c r="B29" s="49">
        <v>11502.4</v>
      </c>
      <c r="C29" s="49">
        <v>500</v>
      </c>
      <c r="D29" s="20">
        <v>941.7809072</v>
      </c>
      <c r="E29" s="15">
        <v>4.3469189038809294E-2</v>
      </c>
      <c r="F29" s="79">
        <v>11502.4</v>
      </c>
      <c r="G29" s="37">
        <v>4.3469189038809294E-2</v>
      </c>
      <c r="H29" s="1">
        <v>43840</v>
      </c>
      <c r="I29" s="2" t="s">
        <v>187</v>
      </c>
    </row>
    <row r="30" spans="1:9" x14ac:dyDescent="0.25">
      <c r="A30" s="12" t="s">
        <v>85</v>
      </c>
      <c r="B30" s="49">
        <v>20589.599999999999</v>
      </c>
      <c r="C30" s="49">
        <v>412</v>
      </c>
      <c r="D30" s="20">
        <v>729.60753560000012</v>
      </c>
      <c r="E30" s="15">
        <v>2.0010102187512143E-2</v>
      </c>
      <c r="F30" s="79">
        <v>20589.599999999999</v>
      </c>
      <c r="G30" s="37">
        <v>2.0010102187512143E-2</v>
      </c>
      <c r="H30" s="1">
        <v>43840</v>
      </c>
      <c r="I30" s="2" t="s">
        <v>188</v>
      </c>
    </row>
    <row r="31" spans="1:9" x14ac:dyDescent="0.25">
      <c r="A31" s="12" t="s">
        <v>86</v>
      </c>
      <c r="B31" s="49">
        <v>10000</v>
      </c>
      <c r="C31" s="49">
        <v>208</v>
      </c>
      <c r="D31" s="20">
        <v>315.31368400000002</v>
      </c>
      <c r="E31" s="15">
        <v>2.0799999999999999E-2</v>
      </c>
      <c r="F31" s="79">
        <v>10000</v>
      </c>
      <c r="G31" s="37">
        <v>2.0799999999999999E-2</v>
      </c>
      <c r="H31" s="1">
        <v>43840</v>
      </c>
      <c r="I31" s="2" t="s">
        <v>189</v>
      </c>
    </row>
    <row r="32" spans="1:9" x14ac:dyDescent="0.25">
      <c r="A32" s="12" t="s">
        <v>84</v>
      </c>
      <c r="B32" s="49">
        <v>10876.8</v>
      </c>
      <c r="C32" s="49">
        <v>472</v>
      </c>
      <c r="D32" s="20">
        <v>902.04604159999997</v>
      </c>
      <c r="E32" s="15">
        <v>4.3395116210650196E-2</v>
      </c>
      <c r="F32" s="79">
        <v>10876.8</v>
      </c>
      <c r="G32" s="37">
        <v>4.3395116210650196E-2</v>
      </c>
      <c r="H32" s="1">
        <v>43841</v>
      </c>
      <c r="I32" s="2" t="s">
        <v>187</v>
      </c>
    </row>
    <row r="33" spans="1:9" x14ac:dyDescent="0.25">
      <c r="A33" s="12" t="s">
        <v>131</v>
      </c>
      <c r="B33" s="49">
        <v>9000</v>
      </c>
      <c r="C33" s="49">
        <v>20</v>
      </c>
      <c r="D33" s="20">
        <v>23.041415999999998</v>
      </c>
      <c r="E33" s="15">
        <v>2.2222222222222222E-3</v>
      </c>
      <c r="F33" s="79">
        <v>9000</v>
      </c>
      <c r="G33" s="37">
        <v>2.2222222222222222E-3</v>
      </c>
      <c r="H33" s="1">
        <v>43841</v>
      </c>
      <c r="I33" s="2" t="s">
        <v>188</v>
      </c>
    </row>
    <row r="34" spans="1:9" x14ac:dyDescent="0.25">
      <c r="A34" s="12" t="s">
        <v>132</v>
      </c>
      <c r="B34" s="49">
        <v>6000</v>
      </c>
      <c r="C34" s="49">
        <v>18</v>
      </c>
      <c r="D34" s="20">
        <v>20.7372744</v>
      </c>
      <c r="E34" s="15">
        <v>3.0000000000000001E-3</v>
      </c>
      <c r="F34" s="79">
        <v>6000</v>
      </c>
      <c r="G34" s="37">
        <v>3.0000000000000001E-3</v>
      </c>
      <c r="H34" s="1">
        <v>43842</v>
      </c>
      <c r="I34" s="2" t="s">
        <v>187</v>
      </c>
    </row>
    <row r="35" spans="1:9" x14ac:dyDescent="0.25">
      <c r="A35" s="12" t="s">
        <v>133</v>
      </c>
      <c r="B35" s="49">
        <v>10000</v>
      </c>
      <c r="C35" s="49">
        <v>0</v>
      </c>
      <c r="D35" s="20">
        <v>0</v>
      </c>
      <c r="E35" s="15">
        <v>0</v>
      </c>
      <c r="F35" s="79">
        <v>10000</v>
      </c>
      <c r="G35" s="37">
        <v>0</v>
      </c>
      <c r="H35" s="1">
        <v>43842</v>
      </c>
      <c r="I35" s="2" t="s">
        <v>188</v>
      </c>
    </row>
    <row r="36" spans="1:9" x14ac:dyDescent="0.25">
      <c r="A36" s="12" t="s">
        <v>134</v>
      </c>
      <c r="B36" s="49">
        <v>10000</v>
      </c>
      <c r="C36" s="49">
        <v>0</v>
      </c>
      <c r="D36" s="20">
        <v>0</v>
      </c>
      <c r="E36" s="15">
        <v>0</v>
      </c>
      <c r="F36" s="79">
        <v>10000</v>
      </c>
      <c r="G36" s="37">
        <v>0</v>
      </c>
      <c r="H36" s="1">
        <v>43843</v>
      </c>
      <c r="I36" s="2" t="s">
        <v>187</v>
      </c>
    </row>
    <row r="37" spans="1:9" x14ac:dyDescent="0.25">
      <c r="A37" s="12" t="s">
        <v>88</v>
      </c>
      <c r="B37" s="49">
        <v>16266.4</v>
      </c>
      <c r="C37" s="49">
        <v>425</v>
      </c>
      <c r="D37" s="20">
        <v>651.3141832</v>
      </c>
      <c r="E37" s="15">
        <v>2.6127477499631142E-2</v>
      </c>
      <c r="F37" s="79">
        <v>16266.4</v>
      </c>
      <c r="G37" s="37">
        <v>2.6127477499631142E-2</v>
      </c>
      <c r="H37" s="1">
        <v>43843</v>
      </c>
      <c r="I37" s="2" t="s">
        <v>188</v>
      </c>
    </row>
    <row r="38" spans="1:9" x14ac:dyDescent="0.25">
      <c r="A38" s="12" t="s">
        <v>89</v>
      </c>
      <c r="B38" s="49">
        <v>18440.8</v>
      </c>
      <c r="C38" s="49">
        <v>584</v>
      </c>
      <c r="D38" s="20">
        <v>1103.6513128000001</v>
      </c>
      <c r="E38" s="15">
        <v>3.1668908073402453E-2</v>
      </c>
      <c r="F38" s="79">
        <v>18440.8</v>
      </c>
      <c r="G38" s="37">
        <v>3.1668908073402453E-2</v>
      </c>
      <c r="H38" s="1">
        <v>43843</v>
      </c>
      <c r="I38" s="2" t="s">
        <v>189</v>
      </c>
    </row>
    <row r="39" spans="1:9" x14ac:dyDescent="0.25">
      <c r="A39" s="12" t="s">
        <v>87</v>
      </c>
      <c r="B39" s="49">
        <v>5356</v>
      </c>
      <c r="C39" s="49">
        <v>246</v>
      </c>
      <c r="D39" s="20">
        <v>464.41992240000002</v>
      </c>
      <c r="E39" s="15">
        <v>4.5929798356982826E-2</v>
      </c>
      <c r="F39" s="79">
        <v>5356</v>
      </c>
      <c r="G39" s="37">
        <v>4.5929798356982826E-2</v>
      </c>
      <c r="H39" s="1">
        <v>43844</v>
      </c>
      <c r="I39" s="2" t="s">
        <v>187</v>
      </c>
    </row>
    <row r="40" spans="1:9" x14ac:dyDescent="0.25">
      <c r="A40" s="12" t="s">
        <v>91</v>
      </c>
      <c r="B40" s="49">
        <v>16815.2</v>
      </c>
      <c r="C40" s="49">
        <v>765</v>
      </c>
      <c r="D40" s="20">
        <v>1255.3341756</v>
      </c>
      <c r="E40" s="15">
        <v>4.5494552547694939E-2</v>
      </c>
      <c r="F40" s="79">
        <v>16815.2</v>
      </c>
      <c r="G40" s="37">
        <v>4.5494552547694939E-2</v>
      </c>
      <c r="H40" s="1">
        <v>43844</v>
      </c>
      <c r="I40" s="2" t="s">
        <v>188</v>
      </c>
    </row>
    <row r="41" spans="1:9" x14ac:dyDescent="0.25">
      <c r="A41" s="12" t="s">
        <v>92</v>
      </c>
      <c r="B41" s="49">
        <v>16789.599999999999</v>
      </c>
      <c r="C41" s="49">
        <v>618</v>
      </c>
      <c r="D41" s="20">
        <v>1305.8472744000001</v>
      </c>
      <c r="E41" s="15">
        <v>3.6808500500309718E-2</v>
      </c>
      <c r="F41" s="79">
        <v>16789.599999999999</v>
      </c>
      <c r="G41" s="37">
        <v>3.6808500500309718E-2</v>
      </c>
      <c r="H41" s="1">
        <v>43844</v>
      </c>
      <c r="I41" s="2" t="s">
        <v>189</v>
      </c>
    </row>
    <row r="42" spans="1:9" x14ac:dyDescent="0.25">
      <c r="A42" s="12" t="s">
        <v>90</v>
      </c>
      <c r="B42" s="49">
        <v>6312.48</v>
      </c>
      <c r="C42" s="49">
        <v>324</v>
      </c>
      <c r="D42" s="20">
        <v>614.61828000000003</v>
      </c>
      <c r="E42" s="15">
        <v>5.1326895293133605E-2</v>
      </c>
      <c r="F42" s="79">
        <v>6312.48</v>
      </c>
      <c r="G42" s="37">
        <v>5.1326895293133605E-2</v>
      </c>
      <c r="H42" s="1">
        <v>43845</v>
      </c>
      <c r="I42" s="2" t="s">
        <v>187</v>
      </c>
    </row>
    <row r="43" spans="1:9" x14ac:dyDescent="0.25">
      <c r="A43" s="12" t="s">
        <v>94</v>
      </c>
      <c r="B43" s="49">
        <v>28928</v>
      </c>
      <c r="C43" s="49">
        <v>579</v>
      </c>
      <c r="D43" s="20">
        <v>1263.4331052</v>
      </c>
      <c r="E43" s="15">
        <v>2.0015210176991149E-2</v>
      </c>
      <c r="F43" s="79">
        <v>28928</v>
      </c>
      <c r="G43" s="37">
        <v>2.0015210176991149E-2</v>
      </c>
      <c r="H43" s="1">
        <v>43845</v>
      </c>
      <c r="I43" s="2" t="s">
        <v>188</v>
      </c>
    </row>
    <row r="44" spans="1:9" x14ac:dyDescent="0.25">
      <c r="A44" s="12" t="s">
        <v>95</v>
      </c>
      <c r="B44" s="49">
        <v>32815.199999999997</v>
      </c>
      <c r="C44" s="49">
        <v>694</v>
      </c>
      <c r="D44" s="20">
        <v>1520.8957312</v>
      </c>
      <c r="E44" s="15">
        <v>2.1148735951632171E-2</v>
      </c>
      <c r="F44" s="79">
        <v>32815.199999999997</v>
      </c>
      <c r="G44" s="37">
        <v>2.1148735951632171E-2</v>
      </c>
      <c r="H44" s="1">
        <v>43845</v>
      </c>
      <c r="I44" s="2" t="s">
        <v>189</v>
      </c>
    </row>
    <row r="45" spans="1:9" x14ac:dyDescent="0.25">
      <c r="A45" s="12" t="s">
        <v>93</v>
      </c>
      <c r="B45" s="49">
        <v>10789.6</v>
      </c>
      <c r="C45" s="49">
        <v>555</v>
      </c>
      <c r="D45" s="20">
        <v>1460.2986700000001</v>
      </c>
      <c r="E45" s="15">
        <v>5.1438422184325643E-2</v>
      </c>
      <c r="F45" s="79">
        <v>10789.6</v>
      </c>
      <c r="G45" s="37">
        <v>5.1438422184325643E-2</v>
      </c>
      <c r="H45" s="1">
        <v>43846</v>
      </c>
      <c r="I45" s="2" t="s">
        <v>187</v>
      </c>
    </row>
    <row r="46" spans="1:9" x14ac:dyDescent="0.25">
      <c r="A46" s="12" t="s">
        <v>97</v>
      </c>
      <c r="B46" s="49">
        <v>33015.199999999997</v>
      </c>
      <c r="C46" s="49">
        <v>604</v>
      </c>
      <c r="D46" s="20">
        <v>1235.9845416000001</v>
      </c>
      <c r="E46" s="15">
        <v>1.8294603697690762E-2</v>
      </c>
      <c r="F46" s="79">
        <v>33015.199999999997</v>
      </c>
      <c r="G46" s="37">
        <v>1.8294603697690762E-2</v>
      </c>
      <c r="H46" s="1">
        <v>43846</v>
      </c>
      <c r="I46" s="2" t="s">
        <v>188</v>
      </c>
    </row>
    <row r="47" spans="1:9" x14ac:dyDescent="0.25">
      <c r="A47" s="12" t="s">
        <v>98</v>
      </c>
      <c r="B47" s="49">
        <v>31227.4</v>
      </c>
      <c r="C47" s="49">
        <v>691</v>
      </c>
      <c r="D47" s="20">
        <v>1352.8829044000001</v>
      </c>
      <c r="E47" s="15">
        <v>2.2128002971749168E-2</v>
      </c>
      <c r="F47" s="79">
        <v>31227.4</v>
      </c>
      <c r="G47" s="37">
        <v>2.2128002971749168E-2</v>
      </c>
      <c r="H47" s="1">
        <v>43846</v>
      </c>
      <c r="I47" s="2" t="s">
        <v>189</v>
      </c>
    </row>
    <row r="48" spans="1:9" x14ac:dyDescent="0.25">
      <c r="A48" s="12" t="s">
        <v>96</v>
      </c>
      <c r="B48" s="49">
        <v>24829.599999999999</v>
      </c>
      <c r="C48" s="49">
        <v>698</v>
      </c>
      <c r="D48" s="20">
        <v>1398.21056</v>
      </c>
      <c r="E48" s="15">
        <v>2.811160872507008E-2</v>
      </c>
      <c r="F48" s="79">
        <v>24829.599999999999</v>
      </c>
      <c r="G48" s="37">
        <v>2.811160872507008E-2</v>
      </c>
      <c r="H48" s="1">
        <v>43847</v>
      </c>
      <c r="I48" s="2" t="s">
        <v>187</v>
      </c>
    </row>
    <row r="49" spans="1:9" x14ac:dyDescent="0.25">
      <c r="A49" s="12" t="s">
        <v>100</v>
      </c>
      <c r="B49" s="49">
        <v>16065.6</v>
      </c>
      <c r="C49" s="49">
        <v>405</v>
      </c>
      <c r="D49" s="20">
        <v>766.86669800000004</v>
      </c>
      <c r="E49" s="15">
        <v>2.5209142515685689E-2</v>
      </c>
      <c r="F49" s="79">
        <v>16065.6</v>
      </c>
      <c r="G49" s="37">
        <v>2.5209142515685689E-2</v>
      </c>
      <c r="H49" s="1">
        <v>43847</v>
      </c>
      <c r="I49" s="2" t="s">
        <v>188</v>
      </c>
    </row>
    <row r="50" spans="1:9" x14ac:dyDescent="0.25">
      <c r="A50" s="12" t="s">
        <v>123</v>
      </c>
      <c r="B50" s="49">
        <v>16570</v>
      </c>
      <c r="C50" s="49">
        <v>292</v>
      </c>
      <c r="D50" s="20">
        <v>592.52248800000007</v>
      </c>
      <c r="E50" s="15">
        <v>1.7622208811104406E-2</v>
      </c>
      <c r="F50" s="79">
        <v>16570</v>
      </c>
      <c r="G50" s="37">
        <v>1.7622208811104406E-2</v>
      </c>
      <c r="H50" s="1">
        <v>43847</v>
      </c>
      <c r="I50" s="2" t="s">
        <v>189</v>
      </c>
    </row>
    <row r="51" spans="1:9" x14ac:dyDescent="0.25">
      <c r="A51" s="12" t="s">
        <v>99</v>
      </c>
      <c r="B51" s="49">
        <v>20040.64</v>
      </c>
      <c r="C51" s="49">
        <v>764</v>
      </c>
      <c r="D51" s="20">
        <v>1772.2040400000001</v>
      </c>
      <c r="E51" s="15">
        <v>3.8122535008861994E-2</v>
      </c>
      <c r="F51" s="79">
        <v>20040.64</v>
      </c>
      <c r="G51" s="37">
        <v>3.8122535008861994E-2</v>
      </c>
      <c r="H51" s="1">
        <v>43848</v>
      </c>
      <c r="I51" s="2" t="s">
        <v>187</v>
      </c>
    </row>
    <row r="52" spans="1:9" x14ac:dyDescent="0.25">
      <c r="A52" s="12" t="s">
        <v>135</v>
      </c>
      <c r="B52" s="49">
        <v>10000</v>
      </c>
      <c r="C52" s="49">
        <v>31</v>
      </c>
      <c r="D52" s="20">
        <v>35.714194800000001</v>
      </c>
      <c r="E52" s="15">
        <v>3.0999999999999999E-3</v>
      </c>
      <c r="F52" s="79">
        <v>10000</v>
      </c>
      <c r="G52" s="37">
        <v>3.0999999999999999E-3</v>
      </c>
      <c r="H52" s="1">
        <v>43848</v>
      </c>
      <c r="I52" s="2" t="s">
        <v>188</v>
      </c>
    </row>
    <row r="53" spans="1:9" x14ac:dyDescent="0.25">
      <c r="A53" s="12" t="s">
        <v>136</v>
      </c>
      <c r="B53" s="49">
        <v>7000</v>
      </c>
      <c r="C53" s="49">
        <v>115</v>
      </c>
      <c r="D53" s="20">
        <v>132.48814199999998</v>
      </c>
      <c r="E53" s="15">
        <v>1.6428571428571428E-2</v>
      </c>
      <c r="F53" s="79">
        <v>7000</v>
      </c>
      <c r="G53" s="37">
        <v>1.6428571428571428E-2</v>
      </c>
      <c r="H53" s="1">
        <v>43849</v>
      </c>
      <c r="I53" s="2" t="s">
        <v>187</v>
      </c>
    </row>
    <row r="54" spans="1:9" x14ac:dyDescent="0.25">
      <c r="A54" s="12" t="s">
        <v>137</v>
      </c>
      <c r="B54" s="49">
        <v>8000</v>
      </c>
      <c r="C54" s="49">
        <v>18</v>
      </c>
      <c r="D54" s="20">
        <v>20.7372744</v>
      </c>
      <c r="E54" s="15">
        <v>2.2499999999999998E-3</v>
      </c>
      <c r="F54" s="79">
        <v>8000</v>
      </c>
      <c r="G54" s="37">
        <v>2.2499999999999998E-3</v>
      </c>
      <c r="H54" s="1">
        <v>43849</v>
      </c>
      <c r="I54" s="2" t="s">
        <v>188</v>
      </c>
    </row>
    <row r="55" spans="1:9" x14ac:dyDescent="0.25">
      <c r="A55" s="12" t="s">
        <v>138</v>
      </c>
      <c r="B55" s="49">
        <v>7000</v>
      </c>
      <c r="C55" s="49">
        <v>24</v>
      </c>
      <c r="D55" s="20">
        <v>27.649699200000001</v>
      </c>
      <c r="E55" s="15">
        <v>3.4285714285714284E-3</v>
      </c>
      <c r="F55" s="79">
        <v>7000</v>
      </c>
      <c r="G55" s="37">
        <v>3.4285714285714284E-3</v>
      </c>
      <c r="H55" s="1">
        <v>43850</v>
      </c>
      <c r="I55" s="2" t="s">
        <v>188</v>
      </c>
    </row>
    <row r="56" spans="1:9" x14ac:dyDescent="0.25">
      <c r="A56" s="12" t="s">
        <v>139</v>
      </c>
      <c r="B56" s="49">
        <v>4000</v>
      </c>
      <c r="C56" s="49">
        <v>73</v>
      </c>
      <c r="D56" s="20">
        <v>84.101168399999992</v>
      </c>
      <c r="E56" s="15">
        <v>1.8249999999999999E-2</v>
      </c>
      <c r="F56" s="79">
        <v>4000</v>
      </c>
      <c r="G56" s="37">
        <v>1.8249999999999999E-2</v>
      </c>
      <c r="H56" s="1">
        <v>43851</v>
      </c>
      <c r="I56" s="2" t="s">
        <v>188</v>
      </c>
    </row>
    <row r="57" spans="1:9" x14ac:dyDescent="0.25">
      <c r="A57" s="12" t="s">
        <v>102</v>
      </c>
      <c r="B57" s="49">
        <v>12217.84</v>
      </c>
      <c r="C57" s="49">
        <v>355</v>
      </c>
      <c r="D57" s="20">
        <v>744.84508200000005</v>
      </c>
      <c r="E57" s="15">
        <v>2.9055872396430139E-2</v>
      </c>
      <c r="F57" s="79">
        <v>12217.84</v>
      </c>
      <c r="G57" s="37">
        <v>2.9055872396430139E-2</v>
      </c>
      <c r="H57" s="1">
        <v>43851</v>
      </c>
      <c r="I57" s="2" t="s">
        <v>189</v>
      </c>
    </row>
    <row r="58" spans="1:9" x14ac:dyDescent="0.25">
      <c r="A58" s="12" t="s">
        <v>101</v>
      </c>
      <c r="B58" s="49">
        <v>4305.6000000000004</v>
      </c>
      <c r="C58" s="49">
        <v>341</v>
      </c>
      <c r="D58" s="20">
        <v>661.72889000000009</v>
      </c>
      <c r="E58" s="15">
        <v>7.9199182460052017E-2</v>
      </c>
      <c r="F58" s="79">
        <v>4305.6000000000004</v>
      </c>
      <c r="G58" s="37">
        <v>7.9199182460052017E-2</v>
      </c>
      <c r="H58" s="1">
        <v>43852</v>
      </c>
      <c r="I58" s="2" t="s">
        <v>187</v>
      </c>
    </row>
    <row r="59" spans="1:9" x14ac:dyDescent="0.25">
      <c r="A59" s="12" t="s">
        <v>104</v>
      </c>
      <c r="B59" s="49">
        <v>32886.239999999998</v>
      </c>
      <c r="C59" s="49">
        <v>908</v>
      </c>
      <c r="D59" s="20">
        <v>1877.2946855999999</v>
      </c>
      <c r="E59" s="15">
        <v>2.761033185916055E-2</v>
      </c>
      <c r="F59" s="79">
        <v>32886.239999999998</v>
      </c>
      <c r="G59" s="37">
        <v>2.761033185916055E-2</v>
      </c>
      <c r="H59" s="1">
        <v>43852</v>
      </c>
      <c r="I59" s="2" t="s">
        <v>188</v>
      </c>
    </row>
    <row r="60" spans="1:9" x14ac:dyDescent="0.25">
      <c r="A60" s="12" t="s">
        <v>105</v>
      </c>
      <c r="B60" s="49">
        <v>26014.880000000001</v>
      </c>
      <c r="C60" s="49">
        <v>389</v>
      </c>
      <c r="D60" s="20">
        <v>902.96664520000013</v>
      </c>
      <c r="E60" s="15">
        <v>1.4952980755629085E-2</v>
      </c>
      <c r="F60" s="79">
        <v>26014.880000000001</v>
      </c>
      <c r="G60" s="37">
        <v>1.4952980755629085E-2</v>
      </c>
      <c r="H60" s="1">
        <v>43852</v>
      </c>
      <c r="I60" s="2" t="s">
        <v>189</v>
      </c>
    </row>
    <row r="61" spans="1:9" x14ac:dyDescent="0.25">
      <c r="A61" s="12" t="s">
        <v>103</v>
      </c>
      <c r="B61" s="49">
        <v>20150.560000000001</v>
      </c>
      <c r="C61" s="49">
        <v>1164</v>
      </c>
      <c r="D61" s="20">
        <v>2424.0257499999998</v>
      </c>
      <c r="E61" s="15">
        <v>5.7765143995998122E-2</v>
      </c>
      <c r="F61" s="79">
        <v>20150.560000000001</v>
      </c>
      <c r="G61" s="37">
        <v>5.7765143995998122E-2</v>
      </c>
      <c r="H61" s="1">
        <v>43853</v>
      </c>
      <c r="I61" s="2" t="s">
        <v>187</v>
      </c>
    </row>
    <row r="62" spans="1:9" x14ac:dyDescent="0.25">
      <c r="A62" s="12" t="s">
        <v>107</v>
      </c>
      <c r="B62" s="49">
        <v>23010.11</v>
      </c>
      <c r="C62" s="49">
        <v>669</v>
      </c>
      <c r="D62" s="20">
        <v>1781.3442447999998</v>
      </c>
      <c r="E62" s="15">
        <v>2.9074176525014438E-2</v>
      </c>
      <c r="F62" s="79">
        <v>23010.11</v>
      </c>
      <c r="G62" s="37">
        <v>2.9074176525014438E-2</v>
      </c>
      <c r="H62" s="1">
        <v>43853</v>
      </c>
      <c r="I62" s="2" t="s">
        <v>188</v>
      </c>
    </row>
    <row r="63" spans="1:9" x14ac:dyDescent="0.25">
      <c r="A63" s="12" t="s">
        <v>108</v>
      </c>
      <c r="B63" s="49">
        <v>17407.04</v>
      </c>
      <c r="C63" s="49">
        <v>729</v>
      </c>
      <c r="D63" s="20">
        <v>1487.6042048000002</v>
      </c>
      <c r="E63" s="15">
        <v>4.187960733128665E-2</v>
      </c>
      <c r="F63" s="79">
        <v>17407.04</v>
      </c>
      <c r="G63" s="37">
        <v>4.187960733128665E-2</v>
      </c>
      <c r="H63" s="1">
        <v>43853</v>
      </c>
      <c r="I63" s="2" t="s">
        <v>189</v>
      </c>
    </row>
    <row r="64" spans="1:9" x14ac:dyDescent="0.25">
      <c r="A64" s="12" t="s">
        <v>106</v>
      </c>
      <c r="B64" s="49">
        <v>21760</v>
      </c>
      <c r="C64" s="49">
        <v>531</v>
      </c>
      <c r="D64" s="20">
        <v>1222.9085299999999</v>
      </c>
      <c r="E64" s="15">
        <v>2.4402573529411765E-2</v>
      </c>
      <c r="F64" s="79">
        <v>21760</v>
      </c>
      <c r="G64" s="37">
        <v>2.4402573529411765E-2</v>
      </c>
      <c r="H64" s="1">
        <v>43854</v>
      </c>
      <c r="I64" s="2" t="s">
        <v>187</v>
      </c>
    </row>
    <row r="65" spans="1:9" x14ac:dyDescent="0.25">
      <c r="A65" s="12" t="s">
        <v>110</v>
      </c>
      <c r="B65" s="49">
        <v>15503.52</v>
      </c>
      <c r="C65" s="49">
        <v>279</v>
      </c>
      <c r="D65" s="20">
        <v>690.65947760000006</v>
      </c>
      <c r="E65" s="15">
        <v>1.7995913186166754E-2</v>
      </c>
      <c r="F65" s="79">
        <v>15503.52</v>
      </c>
      <c r="G65" s="37">
        <v>1.7995913186166754E-2</v>
      </c>
      <c r="H65" s="1">
        <v>43854</v>
      </c>
      <c r="I65" s="2" t="s">
        <v>188</v>
      </c>
    </row>
    <row r="66" spans="1:9" x14ac:dyDescent="0.25">
      <c r="A66" s="12" t="s">
        <v>124</v>
      </c>
      <c r="B66" s="49">
        <v>11200</v>
      </c>
      <c r="C66" s="49">
        <v>55</v>
      </c>
      <c r="D66" s="20">
        <v>144.48207000000002</v>
      </c>
      <c r="E66" s="15">
        <v>4.9107142857142856E-3</v>
      </c>
      <c r="F66" s="79">
        <v>11200</v>
      </c>
      <c r="G66" s="37">
        <v>4.9107142857142856E-3</v>
      </c>
      <c r="H66" s="1">
        <v>43854</v>
      </c>
      <c r="I66" s="2" t="s">
        <v>189</v>
      </c>
    </row>
    <row r="67" spans="1:9" x14ac:dyDescent="0.25">
      <c r="A67" s="12" t="s">
        <v>109</v>
      </c>
      <c r="B67" s="49">
        <v>10374.880000000001</v>
      </c>
      <c r="C67" s="49">
        <v>439</v>
      </c>
      <c r="D67" s="20">
        <v>1173.0168100000001</v>
      </c>
      <c r="E67" s="15">
        <v>4.2313742424008753E-2</v>
      </c>
      <c r="F67" s="79">
        <v>10374.880000000001</v>
      </c>
      <c r="G67" s="37">
        <v>4.2313742424008753E-2</v>
      </c>
      <c r="H67" s="1">
        <v>43855</v>
      </c>
      <c r="I67" s="2" t="s">
        <v>187</v>
      </c>
    </row>
    <row r="68" spans="1:9" x14ac:dyDescent="0.25">
      <c r="A68" s="12" t="s">
        <v>140</v>
      </c>
      <c r="B68" s="49">
        <v>8000</v>
      </c>
      <c r="C68" s="49">
        <v>81</v>
      </c>
      <c r="D68" s="20">
        <v>93.317734799999997</v>
      </c>
      <c r="E68" s="15">
        <v>1.0125E-2</v>
      </c>
      <c r="F68" s="79">
        <v>8000</v>
      </c>
      <c r="G68" s="37">
        <v>1.0125E-2</v>
      </c>
      <c r="H68" s="1">
        <v>43855</v>
      </c>
      <c r="I68" s="2" t="s">
        <v>188</v>
      </c>
    </row>
    <row r="69" spans="1:9" x14ac:dyDescent="0.25">
      <c r="A69" s="12" t="s">
        <v>141</v>
      </c>
      <c r="B69" s="49">
        <v>12000</v>
      </c>
      <c r="C69" s="49">
        <v>207</v>
      </c>
      <c r="D69" s="20">
        <v>238.4786556</v>
      </c>
      <c r="E69" s="15">
        <v>1.7250000000000001E-2</v>
      </c>
      <c r="F69" s="79">
        <v>12000</v>
      </c>
      <c r="G69" s="37">
        <v>1.7250000000000001E-2</v>
      </c>
      <c r="H69" s="1">
        <v>43856</v>
      </c>
      <c r="I69" s="2" t="s">
        <v>187</v>
      </c>
    </row>
    <row r="70" spans="1:9" x14ac:dyDescent="0.25">
      <c r="A70" s="12" t="s">
        <v>142</v>
      </c>
      <c r="B70" s="49">
        <v>4000</v>
      </c>
      <c r="C70" s="49">
        <v>1</v>
      </c>
      <c r="D70" s="20">
        <v>1.1520708</v>
      </c>
      <c r="E70" s="15">
        <v>2.5000000000000001E-4</v>
      </c>
      <c r="F70" s="79">
        <v>4000</v>
      </c>
      <c r="G70" s="37">
        <v>2.5000000000000001E-4</v>
      </c>
      <c r="H70" s="1">
        <v>43856</v>
      </c>
      <c r="I70" s="2" t="s">
        <v>188</v>
      </c>
    </row>
    <row r="71" spans="1:9" x14ac:dyDescent="0.25">
      <c r="A71" s="12" t="s">
        <v>143</v>
      </c>
      <c r="B71" s="49">
        <v>10000</v>
      </c>
      <c r="C71" s="49">
        <v>21</v>
      </c>
      <c r="D71" s="20">
        <v>24.193486799999999</v>
      </c>
      <c r="E71" s="15">
        <v>2.0999999999999999E-3</v>
      </c>
      <c r="F71" s="79">
        <v>10000</v>
      </c>
      <c r="G71" s="37">
        <v>2.0999999999999999E-3</v>
      </c>
      <c r="H71" s="1">
        <v>43857</v>
      </c>
      <c r="I71" s="2" t="s">
        <v>187</v>
      </c>
    </row>
    <row r="72" spans="1:9" x14ac:dyDescent="0.25">
      <c r="A72" s="12" t="s">
        <v>111</v>
      </c>
      <c r="B72" s="49">
        <v>14040</v>
      </c>
      <c r="C72" s="49">
        <v>117</v>
      </c>
      <c r="D72" s="20">
        <v>159.13954999999996</v>
      </c>
      <c r="E72" s="15">
        <v>8.3333333333333332E-3</v>
      </c>
      <c r="F72" s="79">
        <v>14040</v>
      </c>
      <c r="G72" s="37">
        <v>8.3333333333333332E-3</v>
      </c>
      <c r="H72" s="1">
        <v>43857</v>
      </c>
      <c r="I72" s="2" t="s">
        <v>188</v>
      </c>
    </row>
    <row r="73" spans="1:9" x14ac:dyDescent="0.25">
      <c r="A73" s="12" t="s">
        <v>112</v>
      </c>
      <c r="B73" s="49">
        <v>7420</v>
      </c>
      <c r="C73" s="49">
        <v>589</v>
      </c>
      <c r="D73" s="20">
        <v>1056.0169559999999</v>
      </c>
      <c r="E73" s="15">
        <v>7.9380053908355799E-2</v>
      </c>
      <c r="F73" s="79">
        <v>7420</v>
      </c>
      <c r="G73" s="37">
        <v>7.9380053908355799E-2</v>
      </c>
      <c r="H73" s="1">
        <v>43857</v>
      </c>
      <c r="I73" s="2" t="s">
        <v>189</v>
      </c>
    </row>
    <row r="74" spans="1:9" x14ac:dyDescent="0.25">
      <c r="A74" s="12" t="s">
        <v>191</v>
      </c>
      <c r="B74" s="49">
        <v>0</v>
      </c>
      <c r="C74" s="49">
        <v>7</v>
      </c>
      <c r="D74" s="20">
        <v>0</v>
      </c>
      <c r="E74" s="15">
        <v>1</v>
      </c>
      <c r="F74" s="79">
        <v>0</v>
      </c>
      <c r="G74" s="37">
        <v>1</v>
      </c>
      <c r="H74" s="1">
        <v>43858</v>
      </c>
      <c r="I74" s="2" t="s">
        <v>187</v>
      </c>
    </row>
    <row r="75" spans="1:9" x14ac:dyDescent="0.25">
      <c r="A75" s="12" t="s">
        <v>114</v>
      </c>
      <c r="B75" s="49">
        <v>14400</v>
      </c>
      <c r="C75" s="49">
        <v>439</v>
      </c>
      <c r="D75" s="20">
        <v>798.62752799999998</v>
      </c>
      <c r="E75" s="15">
        <v>3.048611111111111E-2</v>
      </c>
      <c r="F75" s="79">
        <v>14400</v>
      </c>
      <c r="G75" s="37">
        <v>3.048611111111111E-2</v>
      </c>
      <c r="H75" s="1">
        <v>43858</v>
      </c>
      <c r="I75" s="2" t="s">
        <v>188</v>
      </c>
    </row>
    <row r="76" spans="1:9" x14ac:dyDescent="0.25">
      <c r="A76" s="12" t="s">
        <v>115</v>
      </c>
      <c r="B76" s="49">
        <v>11200</v>
      </c>
      <c r="C76" s="49">
        <v>594</v>
      </c>
      <c r="D76" s="20">
        <v>1449.630134</v>
      </c>
      <c r="E76" s="15">
        <v>5.3035714285714283E-2</v>
      </c>
      <c r="F76" s="79">
        <v>11200</v>
      </c>
      <c r="G76" s="37">
        <v>5.3035714285714283E-2</v>
      </c>
      <c r="H76" s="1">
        <v>43858</v>
      </c>
      <c r="I76" s="2" t="s">
        <v>189</v>
      </c>
    </row>
    <row r="77" spans="1:9" x14ac:dyDescent="0.25">
      <c r="A77" s="12" t="s">
        <v>113</v>
      </c>
      <c r="B77" s="49">
        <v>3600</v>
      </c>
      <c r="C77" s="49">
        <v>316</v>
      </c>
      <c r="D77" s="20">
        <v>614.72744</v>
      </c>
      <c r="E77" s="15">
        <v>8.7777777777777774E-2</v>
      </c>
      <c r="F77" s="79">
        <v>3600</v>
      </c>
      <c r="G77" s="37">
        <v>8.7777777777777774E-2</v>
      </c>
      <c r="H77" s="1">
        <v>43859</v>
      </c>
      <c r="I77" s="2" t="s">
        <v>187</v>
      </c>
    </row>
    <row r="78" spans="1:9" x14ac:dyDescent="0.25">
      <c r="A78" s="12" t="s">
        <v>117</v>
      </c>
      <c r="B78" s="49">
        <v>25480</v>
      </c>
      <c r="C78" s="49">
        <v>555</v>
      </c>
      <c r="D78" s="20">
        <v>1418.7853235999999</v>
      </c>
      <c r="E78" s="15">
        <v>2.1781789638932497E-2</v>
      </c>
      <c r="F78" s="79">
        <v>25480</v>
      </c>
      <c r="G78" s="37">
        <v>2.1781789638932497E-2</v>
      </c>
      <c r="H78" s="1">
        <v>43859</v>
      </c>
      <c r="I78" s="2" t="s">
        <v>188</v>
      </c>
    </row>
    <row r="79" spans="1:9" x14ac:dyDescent="0.25">
      <c r="A79" s="12" t="s">
        <v>118</v>
      </c>
      <c r="B79" s="49">
        <v>26960</v>
      </c>
      <c r="C79" s="49">
        <v>720</v>
      </c>
      <c r="D79" s="20">
        <v>1724.3077136000002</v>
      </c>
      <c r="E79" s="15">
        <v>2.6706231454005934E-2</v>
      </c>
      <c r="F79" s="79">
        <v>26960</v>
      </c>
      <c r="G79" s="37">
        <v>2.6706231454005934E-2</v>
      </c>
      <c r="H79" s="1">
        <v>43859</v>
      </c>
      <c r="I79" s="2" t="s">
        <v>189</v>
      </c>
    </row>
    <row r="80" spans="1:9" x14ac:dyDescent="0.25">
      <c r="A80" s="12" t="s">
        <v>116</v>
      </c>
      <c r="B80" s="49">
        <v>15120</v>
      </c>
      <c r="C80" s="49">
        <v>461</v>
      </c>
      <c r="D80" s="20">
        <v>1185.3129100000001</v>
      </c>
      <c r="E80" s="15">
        <v>3.048941798941799E-2</v>
      </c>
      <c r="F80" s="79">
        <v>15120</v>
      </c>
      <c r="G80" s="37">
        <v>3.048941798941799E-2</v>
      </c>
      <c r="H80" s="1">
        <v>43860</v>
      </c>
      <c r="I80" s="2" t="s">
        <v>187</v>
      </c>
    </row>
    <row r="81" spans="1:9" x14ac:dyDescent="0.25">
      <c r="A81" s="12" t="s">
        <v>120</v>
      </c>
      <c r="B81" s="49">
        <v>26200</v>
      </c>
      <c r="C81" s="49">
        <v>546</v>
      </c>
      <c r="D81" s="20">
        <v>1506.2532272000001</v>
      </c>
      <c r="E81" s="15">
        <v>2.083969465648855E-2</v>
      </c>
      <c r="F81" s="79">
        <v>26200</v>
      </c>
      <c r="G81" s="37">
        <v>2.083969465648855E-2</v>
      </c>
      <c r="H81" s="1">
        <v>43860</v>
      </c>
      <c r="I81" s="2" t="s">
        <v>188</v>
      </c>
    </row>
    <row r="82" spans="1:9" x14ac:dyDescent="0.25">
      <c r="A82" s="12" t="s">
        <v>121</v>
      </c>
      <c r="B82" s="49">
        <v>27200</v>
      </c>
      <c r="C82" s="49">
        <v>527</v>
      </c>
      <c r="D82" s="20">
        <v>1325.5276212000001</v>
      </c>
      <c r="E82" s="15">
        <v>1.9375E-2</v>
      </c>
      <c r="F82" s="79">
        <v>27200</v>
      </c>
      <c r="G82" s="37">
        <v>1.9375E-2</v>
      </c>
      <c r="H82" s="1">
        <v>43860</v>
      </c>
      <c r="I82" s="2" t="s">
        <v>189</v>
      </c>
    </row>
    <row r="83" spans="1:9" x14ac:dyDescent="0.25">
      <c r="A83" s="12" t="s">
        <v>119</v>
      </c>
      <c r="B83" s="49">
        <v>10000</v>
      </c>
      <c r="C83" s="49">
        <v>417</v>
      </c>
      <c r="D83" s="20">
        <v>1135.9166700000001</v>
      </c>
      <c r="E83" s="15">
        <v>4.1700000000000001E-2</v>
      </c>
      <c r="F83" s="79">
        <v>10000</v>
      </c>
      <c r="G83" s="37">
        <v>4.1700000000000001E-2</v>
      </c>
      <c r="H83" s="1">
        <v>43861</v>
      </c>
      <c r="I83" s="2" t="s">
        <v>187</v>
      </c>
    </row>
    <row r="84" spans="1:9" x14ac:dyDescent="0.25">
      <c r="A84" s="12" t="s">
        <v>125</v>
      </c>
      <c r="B84" s="49">
        <v>7200</v>
      </c>
      <c r="C84" s="49">
        <v>20</v>
      </c>
      <c r="D84" s="20">
        <v>77.120200000000011</v>
      </c>
      <c r="E84" s="15">
        <v>2.7777777777777779E-3</v>
      </c>
      <c r="F84" s="79">
        <v>7200</v>
      </c>
      <c r="G84" s="37">
        <v>2.7777777777777779E-3</v>
      </c>
      <c r="H84" s="1">
        <v>43861</v>
      </c>
      <c r="I84" s="2" t="s">
        <v>188</v>
      </c>
    </row>
    <row r="85" spans="1:9" x14ac:dyDescent="0.25">
      <c r="A85" s="12" t="s">
        <v>126</v>
      </c>
      <c r="B85" s="49">
        <v>800</v>
      </c>
      <c r="C85" s="49">
        <v>192</v>
      </c>
      <c r="D85" s="20">
        <v>740.35392000000002</v>
      </c>
      <c r="E85" s="15">
        <v>0.24</v>
      </c>
      <c r="F85" s="79">
        <v>800</v>
      </c>
      <c r="G85" s="37">
        <v>0.24</v>
      </c>
      <c r="H85" s="1">
        <v>43861</v>
      </c>
      <c r="I85" s="2" t="s">
        <v>189</v>
      </c>
    </row>
    <row r="86" spans="1:9" x14ac:dyDescent="0.25">
      <c r="A86" s="12" t="s">
        <v>122</v>
      </c>
      <c r="B86" s="49">
        <v>13040</v>
      </c>
      <c r="C86" s="49">
        <v>351</v>
      </c>
      <c r="D86" s="20">
        <v>963.68282999999997</v>
      </c>
      <c r="E86" s="15">
        <v>2.691717791411043E-2</v>
      </c>
      <c r="F86" s="79">
        <v>13040</v>
      </c>
      <c r="G86" s="37">
        <v>2.691717791411043E-2</v>
      </c>
      <c r="H86" s="1">
        <v>43862</v>
      </c>
      <c r="I86" s="2" t="s">
        <v>187</v>
      </c>
    </row>
    <row r="87" spans="1:9" x14ac:dyDescent="0.25">
      <c r="A87" s="12" t="s">
        <v>172</v>
      </c>
      <c r="B87" s="49">
        <v>700</v>
      </c>
      <c r="C87" s="49">
        <v>75</v>
      </c>
      <c r="D87" s="20">
        <v>118.65599999999999</v>
      </c>
      <c r="E87" s="15">
        <v>0.10714285714285714</v>
      </c>
      <c r="F87" s="79">
        <v>625</v>
      </c>
      <c r="G87" s="37">
        <v>0.12</v>
      </c>
      <c r="H87" s="1">
        <v>43862</v>
      </c>
      <c r="I87" s="2" t="s">
        <v>188</v>
      </c>
    </row>
    <row r="88" spans="1:9" x14ac:dyDescent="0.25">
      <c r="A88" s="12" t="s">
        <v>173</v>
      </c>
      <c r="B88" s="49">
        <v>6002</v>
      </c>
      <c r="C88" s="49">
        <v>2</v>
      </c>
      <c r="D88" s="20">
        <v>3.1641599999999999</v>
      </c>
      <c r="E88" s="15">
        <v>3.332222592469177E-4</v>
      </c>
      <c r="F88" s="79">
        <v>6000</v>
      </c>
      <c r="G88" s="37">
        <v>3.3333333333333332E-4</v>
      </c>
      <c r="H88" s="1">
        <v>43863</v>
      </c>
      <c r="I88" s="2" t="s">
        <v>187</v>
      </c>
    </row>
    <row r="89" spans="1:9" x14ac:dyDescent="0.25">
      <c r="A89" s="12" t="s">
        <v>174</v>
      </c>
      <c r="B89" s="49">
        <v>10010</v>
      </c>
      <c r="C89" s="49">
        <v>10</v>
      </c>
      <c r="D89" s="20">
        <v>15.820799999999998</v>
      </c>
      <c r="E89" s="15">
        <v>9.99000999000999E-4</v>
      </c>
      <c r="F89" s="79">
        <v>10000</v>
      </c>
      <c r="G89" s="37">
        <v>1E-3</v>
      </c>
      <c r="H89" s="1">
        <v>43863</v>
      </c>
      <c r="I89" s="2" t="s">
        <v>188</v>
      </c>
    </row>
    <row r="90" spans="1:9" x14ac:dyDescent="0.25">
      <c r="A90" s="12" t="s">
        <v>175</v>
      </c>
      <c r="B90" s="49">
        <v>7002</v>
      </c>
      <c r="C90" s="49">
        <v>2</v>
      </c>
      <c r="D90" s="20">
        <v>3.1641599999999999</v>
      </c>
      <c r="E90" s="15">
        <v>2.8563267637817766E-4</v>
      </c>
      <c r="F90" s="79">
        <v>7000</v>
      </c>
      <c r="G90" s="37">
        <v>2.8571428571428574E-4</v>
      </c>
      <c r="H90" s="1">
        <v>43864</v>
      </c>
      <c r="I90" s="2" t="s">
        <v>187</v>
      </c>
    </row>
    <row r="91" spans="1:9" x14ac:dyDescent="0.25">
      <c r="A91" s="12" t="s">
        <v>144</v>
      </c>
      <c r="B91" s="49">
        <v>13566</v>
      </c>
      <c r="C91" s="49">
        <v>285</v>
      </c>
      <c r="D91" s="20">
        <v>544.85730000000001</v>
      </c>
      <c r="E91" s="15">
        <v>2.100840336134454E-2</v>
      </c>
      <c r="F91" s="79">
        <v>13281</v>
      </c>
      <c r="G91" s="37">
        <v>2.1459227467811159E-2</v>
      </c>
      <c r="H91" s="1">
        <v>43864</v>
      </c>
      <c r="I91" s="2" t="s">
        <v>188</v>
      </c>
    </row>
    <row r="92" spans="1:9" x14ac:dyDescent="0.25">
      <c r="A92" s="12" t="s">
        <v>145</v>
      </c>
      <c r="B92" s="49">
        <v>13317</v>
      </c>
      <c r="C92" s="49">
        <v>373</v>
      </c>
      <c r="D92" s="20">
        <v>674.19894000000011</v>
      </c>
      <c r="E92" s="15">
        <v>2.800931140647293E-2</v>
      </c>
      <c r="F92" s="79">
        <v>12944</v>
      </c>
      <c r="G92" s="37">
        <v>2.8816440049443757E-2</v>
      </c>
      <c r="H92" s="1">
        <v>43865</v>
      </c>
      <c r="I92" s="2" t="s">
        <v>187</v>
      </c>
    </row>
    <row r="93" spans="1:9" x14ac:dyDescent="0.25">
      <c r="A93" s="12" t="s">
        <v>147</v>
      </c>
      <c r="B93" s="49">
        <v>832</v>
      </c>
      <c r="C93" s="49">
        <v>15</v>
      </c>
      <c r="D93" s="20">
        <v>26.76492</v>
      </c>
      <c r="E93" s="15">
        <v>1.8028846153846152E-2</v>
      </c>
      <c r="F93" s="79">
        <v>817</v>
      </c>
      <c r="G93" s="37">
        <v>1.8359853121175031E-2</v>
      </c>
      <c r="H93" s="1">
        <v>43865</v>
      </c>
      <c r="I93" s="2" t="s">
        <v>188</v>
      </c>
    </row>
    <row r="94" spans="1:9" x14ac:dyDescent="0.25">
      <c r="A94" s="12" t="s">
        <v>148</v>
      </c>
      <c r="B94" s="49">
        <v>12440</v>
      </c>
      <c r="C94" s="49">
        <v>421</v>
      </c>
      <c r="D94" s="20">
        <v>1042.76298</v>
      </c>
      <c r="E94" s="15">
        <v>3.384244372990354E-2</v>
      </c>
      <c r="F94" s="79">
        <v>12019</v>
      </c>
      <c r="G94" s="37">
        <v>3.5027872535152674E-2</v>
      </c>
      <c r="H94" s="1">
        <v>43865</v>
      </c>
      <c r="I94" s="2" t="s">
        <v>189</v>
      </c>
    </row>
    <row r="95" spans="1:9" x14ac:dyDescent="0.25">
      <c r="A95" s="12" t="s">
        <v>146</v>
      </c>
      <c r="B95" s="49">
        <v>10879</v>
      </c>
      <c r="C95" s="49">
        <v>233</v>
      </c>
      <c r="D95" s="20">
        <v>445.44474000000002</v>
      </c>
      <c r="E95" s="15">
        <v>2.1417409688390478E-2</v>
      </c>
      <c r="F95" s="79">
        <v>10646</v>
      </c>
      <c r="G95" s="37">
        <v>2.188615442419688E-2</v>
      </c>
      <c r="H95" s="1">
        <v>43866</v>
      </c>
      <c r="I95" s="2" t="s">
        <v>187</v>
      </c>
    </row>
    <row r="96" spans="1:9" x14ac:dyDescent="0.25">
      <c r="A96" s="12" t="s">
        <v>150</v>
      </c>
      <c r="B96" s="49">
        <v>25189</v>
      </c>
      <c r="C96" s="49">
        <v>479</v>
      </c>
      <c r="D96" s="20">
        <v>1270.1636699999999</v>
      </c>
      <c r="E96" s="15">
        <v>1.9016237246417086E-2</v>
      </c>
      <c r="F96" s="79">
        <v>24710</v>
      </c>
      <c r="G96" s="37">
        <v>1.9384864427357346E-2</v>
      </c>
      <c r="H96" s="1">
        <v>43866</v>
      </c>
      <c r="I96" s="2" t="s">
        <v>188</v>
      </c>
    </row>
    <row r="97" spans="1:9" x14ac:dyDescent="0.25">
      <c r="A97" s="12" t="s">
        <v>151</v>
      </c>
      <c r="B97" s="49">
        <v>16034</v>
      </c>
      <c r="C97" s="49">
        <v>452</v>
      </c>
      <c r="D97" s="20">
        <v>1118.5958999999998</v>
      </c>
      <c r="E97" s="15">
        <v>2.8190096045902457E-2</v>
      </c>
      <c r="F97" s="79">
        <v>15582</v>
      </c>
      <c r="G97" s="37">
        <v>2.9007829546913104E-2</v>
      </c>
      <c r="H97" s="1">
        <v>43866</v>
      </c>
      <c r="I97" s="2" t="s">
        <v>189</v>
      </c>
    </row>
    <row r="98" spans="1:9" x14ac:dyDescent="0.25">
      <c r="A98" s="12" t="s">
        <v>149</v>
      </c>
      <c r="B98" s="49">
        <v>16742</v>
      </c>
      <c r="C98" s="49">
        <v>377</v>
      </c>
      <c r="D98" s="20">
        <v>885.78476999999998</v>
      </c>
      <c r="E98" s="15">
        <v>2.2518217656194002E-2</v>
      </c>
      <c r="F98" s="79">
        <v>16365</v>
      </c>
      <c r="G98" s="37">
        <v>2.3036969141460435E-2</v>
      </c>
      <c r="H98" s="1">
        <v>43867</v>
      </c>
      <c r="I98" s="2" t="s">
        <v>187</v>
      </c>
    </row>
    <row r="99" spans="1:9" x14ac:dyDescent="0.25">
      <c r="A99" s="12" t="s">
        <v>153</v>
      </c>
      <c r="B99" s="49">
        <v>23371</v>
      </c>
      <c r="C99" s="49">
        <v>306</v>
      </c>
      <c r="D99" s="20">
        <v>934.20321200000001</v>
      </c>
      <c r="E99" s="15">
        <v>1.3093149629883189E-2</v>
      </c>
      <c r="F99" s="79">
        <v>23065</v>
      </c>
      <c r="G99" s="37">
        <v>1.3266854541513115E-2</v>
      </c>
      <c r="H99" s="1">
        <v>43867</v>
      </c>
      <c r="I99" s="2" t="s">
        <v>188</v>
      </c>
    </row>
    <row r="100" spans="1:9" x14ac:dyDescent="0.25">
      <c r="A100" s="12" t="s">
        <v>154</v>
      </c>
      <c r="B100" s="49">
        <v>20007</v>
      </c>
      <c r="C100" s="49">
        <v>439</v>
      </c>
      <c r="D100" s="20">
        <v>1238.4073879999999</v>
      </c>
      <c r="E100" s="15">
        <v>2.1942320187934222E-2</v>
      </c>
      <c r="F100" s="79">
        <v>19568</v>
      </c>
      <c r="G100" s="37">
        <v>2.2434587080948486E-2</v>
      </c>
      <c r="H100" s="1">
        <v>43867</v>
      </c>
      <c r="I100" s="2" t="s">
        <v>189</v>
      </c>
    </row>
    <row r="101" spans="1:9" x14ac:dyDescent="0.25">
      <c r="A101" s="12" t="s">
        <v>152</v>
      </c>
      <c r="B101" s="49">
        <v>15675</v>
      </c>
      <c r="C101" s="49">
        <v>398</v>
      </c>
      <c r="D101" s="20">
        <v>605.18373000000008</v>
      </c>
      <c r="E101" s="15">
        <v>2.5390749601275919E-2</v>
      </c>
      <c r="F101" s="79">
        <v>15277</v>
      </c>
      <c r="G101" s="37">
        <v>2.6052235386528767E-2</v>
      </c>
      <c r="H101" s="1">
        <v>43868</v>
      </c>
      <c r="I101" s="2" t="s">
        <v>187</v>
      </c>
    </row>
    <row r="102" spans="1:9" x14ac:dyDescent="0.25">
      <c r="A102" s="12" t="s">
        <v>156</v>
      </c>
      <c r="B102" s="49">
        <v>10774</v>
      </c>
      <c r="C102" s="49">
        <v>446</v>
      </c>
      <c r="D102" s="20">
        <v>1140.1207300000001</v>
      </c>
      <c r="E102" s="15">
        <v>4.1395953220716541E-2</v>
      </c>
      <c r="F102" s="79">
        <v>10328</v>
      </c>
      <c r="G102" s="37">
        <v>4.3183578621223857E-2</v>
      </c>
      <c r="H102" s="1">
        <v>43868</v>
      </c>
      <c r="I102" s="2" t="s">
        <v>188</v>
      </c>
    </row>
    <row r="103" spans="1:9" x14ac:dyDescent="0.25">
      <c r="A103" s="12" t="s">
        <v>176</v>
      </c>
      <c r="B103" s="49">
        <v>13016</v>
      </c>
      <c r="C103" s="49">
        <v>16</v>
      </c>
      <c r="D103" s="20">
        <v>31.213056000000002</v>
      </c>
      <c r="E103" s="15">
        <v>1.2292562999385371E-3</v>
      </c>
      <c r="F103" s="79">
        <v>13000</v>
      </c>
      <c r="G103" s="37">
        <v>1.2307692307692308E-3</v>
      </c>
      <c r="H103" s="1">
        <v>43868</v>
      </c>
      <c r="I103" s="2" t="s">
        <v>189</v>
      </c>
    </row>
    <row r="104" spans="1:9" x14ac:dyDescent="0.25">
      <c r="A104" s="12" t="s">
        <v>155</v>
      </c>
      <c r="B104" s="49">
        <v>11128</v>
      </c>
      <c r="C104" s="49">
        <v>305</v>
      </c>
      <c r="D104" s="20">
        <v>682.21939999999995</v>
      </c>
      <c r="E104" s="15">
        <v>2.7408339324227173E-2</v>
      </c>
      <c r="F104" s="79">
        <v>10823</v>
      </c>
      <c r="G104" s="37">
        <v>2.818072623117435E-2</v>
      </c>
      <c r="H104" s="1">
        <v>43869</v>
      </c>
      <c r="I104" s="2" t="s">
        <v>187</v>
      </c>
    </row>
    <row r="105" spans="1:9" x14ac:dyDescent="0.25">
      <c r="A105" s="12" t="s">
        <v>177</v>
      </c>
      <c r="B105" s="49">
        <v>10004</v>
      </c>
      <c r="C105" s="49">
        <v>4</v>
      </c>
      <c r="D105" s="20">
        <v>7.8032640000000004</v>
      </c>
      <c r="E105" s="15">
        <v>3.9984006397441024E-4</v>
      </c>
      <c r="F105" s="79">
        <v>10000</v>
      </c>
      <c r="G105" s="37">
        <v>4.0000000000000002E-4</v>
      </c>
      <c r="H105" s="1">
        <v>43869</v>
      </c>
      <c r="I105" s="2" t="s">
        <v>188</v>
      </c>
    </row>
    <row r="106" spans="1:9" x14ac:dyDescent="0.25">
      <c r="A106" s="12" t="s">
        <v>178</v>
      </c>
      <c r="B106" s="49">
        <v>10000</v>
      </c>
      <c r="C106" s="49">
        <v>0</v>
      </c>
      <c r="D106" s="20">
        <v>0</v>
      </c>
      <c r="E106" s="15">
        <v>0</v>
      </c>
      <c r="F106" s="79">
        <v>10000</v>
      </c>
      <c r="G106" s="37">
        <v>0</v>
      </c>
      <c r="H106" s="1">
        <v>43870</v>
      </c>
      <c r="I106" s="2" t="s">
        <v>187</v>
      </c>
    </row>
    <row r="107" spans="1:9" x14ac:dyDescent="0.25">
      <c r="A107" s="12" t="s">
        <v>179</v>
      </c>
      <c r="B107" s="49">
        <v>8008</v>
      </c>
      <c r="C107" s="49">
        <v>8</v>
      </c>
      <c r="D107" s="20">
        <v>15.606528000000001</v>
      </c>
      <c r="E107" s="15">
        <v>9.99000999000999E-4</v>
      </c>
      <c r="F107" s="79">
        <v>8000</v>
      </c>
      <c r="G107" s="37">
        <v>1E-3</v>
      </c>
      <c r="H107" s="1">
        <v>43870</v>
      </c>
      <c r="I107" s="2" t="s">
        <v>188</v>
      </c>
    </row>
    <row r="108" spans="1:9" x14ac:dyDescent="0.25">
      <c r="A108" s="12" t="s">
        <v>180</v>
      </c>
      <c r="B108" s="49">
        <v>9007</v>
      </c>
      <c r="C108" s="49">
        <v>7</v>
      </c>
      <c r="D108" s="20">
        <v>13.655712000000001</v>
      </c>
      <c r="E108" s="15">
        <v>7.7717330964805148E-4</v>
      </c>
      <c r="F108" s="79">
        <v>9000</v>
      </c>
      <c r="G108" s="37">
        <v>7.7777777777777773E-4</v>
      </c>
      <c r="H108" s="1">
        <v>43871</v>
      </c>
      <c r="I108" s="2" t="s">
        <v>187</v>
      </c>
    </row>
    <row r="109" spans="1:9" x14ac:dyDescent="0.25">
      <c r="A109" s="12" t="s">
        <v>158</v>
      </c>
      <c r="B109" s="49">
        <v>13922</v>
      </c>
      <c r="C109" s="49">
        <v>220</v>
      </c>
      <c r="D109" s="20">
        <v>422.14741800000002</v>
      </c>
      <c r="E109" s="15">
        <v>1.5802327251831633E-2</v>
      </c>
      <c r="F109" s="79">
        <v>13702</v>
      </c>
      <c r="G109" s="37">
        <v>1.6056050211647934E-2</v>
      </c>
      <c r="H109" s="1">
        <v>43871</v>
      </c>
      <c r="I109" s="2" t="s">
        <v>188</v>
      </c>
    </row>
    <row r="110" spans="1:9" x14ac:dyDescent="0.25">
      <c r="A110" s="12" t="s">
        <v>159</v>
      </c>
      <c r="B110" s="49">
        <v>14905</v>
      </c>
      <c r="C110" s="49">
        <v>203</v>
      </c>
      <c r="D110" s="20">
        <v>331.94974200000001</v>
      </c>
      <c r="E110" s="15">
        <v>1.3619590741361959E-2</v>
      </c>
      <c r="F110" s="79">
        <v>14702</v>
      </c>
      <c r="G110" s="37">
        <v>1.3807645218337642E-2</v>
      </c>
      <c r="H110" s="1">
        <v>43871</v>
      </c>
      <c r="I110" s="2" t="s">
        <v>189</v>
      </c>
    </row>
    <row r="111" spans="1:9" x14ac:dyDescent="0.25">
      <c r="A111" s="12" t="s">
        <v>157</v>
      </c>
      <c r="B111" s="49">
        <v>57</v>
      </c>
      <c r="C111" s="49">
        <v>57</v>
      </c>
      <c r="D111" s="20">
        <v>108.97146000000001</v>
      </c>
      <c r="E111" s="15">
        <v>1</v>
      </c>
      <c r="F111" s="79">
        <v>0</v>
      </c>
      <c r="G111" s="37">
        <v>1</v>
      </c>
      <c r="H111" s="1">
        <v>43872</v>
      </c>
      <c r="I111" s="2" t="s">
        <v>187</v>
      </c>
    </row>
    <row r="112" spans="1:9" x14ac:dyDescent="0.25">
      <c r="A112" s="12" t="s">
        <v>161</v>
      </c>
      <c r="B112" s="49">
        <v>16368</v>
      </c>
      <c r="C112" s="49">
        <v>240</v>
      </c>
      <c r="D112" s="20">
        <v>598.96868199999994</v>
      </c>
      <c r="E112" s="15">
        <v>1.466275659824047E-2</v>
      </c>
      <c r="F112" s="79">
        <v>16128</v>
      </c>
      <c r="G112" s="37">
        <v>1.488095238095238E-2</v>
      </c>
      <c r="H112" s="1">
        <v>43872</v>
      </c>
      <c r="I112" s="2" t="s">
        <v>188</v>
      </c>
    </row>
    <row r="113" spans="1:9" x14ac:dyDescent="0.25">
      <c r="A113" s="12" t="s">
        <v>162</v>
      </c>
      <c r="B113" s="49">
        <v>20571</v>
      </c>
      <c r="C113" s="49">
        <v>269</v>
      </c>
      <c r="D113" s="20">
        <v>695.95640800000001</v>
      </c>
      <c r="E113" s="15">
        <v>1.3076661319333042E-2</v>
      </c>
      <c r="F113" s="79">
        <v>20302</v>
      </c>
      <c r="G113" s="37">
        <v>1.3249926115653629E-2</v>
      </c>
      <c r="H113" s="1">
        <v>43872</v>
      </c>
      <c r="I113" s="2" t="s">
        <v>189</v>
      </c>
    </row>
    <row r="114" spans="1:9" x14ac:dyDescent="0.25">
      <c r="A114" s="12" t="s">
        <v>160</v>
      </c>
      <c r="B114" s="49">
        <v>6614</v>
      </c>
      <c r="C114" s="49">
        <v>199</v>
      </c>
      <c r="D114" s="20">
        <v>333.80334000000005</v>
      </c>
      <c r="E114" s="15">
        <v>3.0087692772905957E-2</v>
      </c>
      <c r="F114" s="79">
        <v>6415</v>
      </c>
      <c r="G114" s="37">
        <v>3.1021044427123928E-2</v>
      </c>
      <c r="H114" s="1">
        <v>43873</v>
      </c>
      <c r="I114" s="2" t="s">
        <v>187</v>
      </c>
    </row>
    <row r="115" spans="1:9" x14ac:dyDescent="0.25">
      <c r="A115" s="12" t="s">
        <v>164</v>
      </c>
      <c r="B115" s="49">
        <v>17773</v>
      </c>
      <c r="C115" s="49">
        <v>329</v>
      </c>
      <c r="D115" s="20">
        <v>895.74425999999994</v>
      </c>
      <c r="E115" s="15">
        <v>1.8511224891689642E-2</v>
      </c>
      <c r="F115" s="79">
        <v>17444</v>
      </c>
      <c r="G115" s="37">
        <v>1.886035313001605E-2</v>
      </c>
      <c r="H115" s="1">
        <v>43873</v>
      </c>
      <c r="I115" s="2" t="s">
        <v>188</v>
      </c>
    </row>
    <row r="116" spans="1:9" x14ac:dyDescent="0.25">
      <c r="A116" s="12" t="s">
        <v>165</v>
      </c>
      <c r="B116" s="49">
        <v>24460</v>
      </c>
      <c r="C116" s="49">
        <v>288</v>
      </c>
      <c r="D116" s="20">
        <v>598.57040799999993</v>
      </c>
      <c r="E116" s="15">
        <v>1.1774325429272281E-2</v>
      </c>
      <c r="F116" s="79">
        <v>24172</v>
      </c>
      <c r="G116" s="37">
        <v>1.1914611947708093E-2</v>
      </c>
      <c r="H116" s="1">
        <v>43873</v>
      </c>
      <c r="I116" s="2" t="s">
        <v>189</v>
      </c>
    </row>
    <row r="117" spans="1:9" x14ac:dyDescent="0.25">
      <c r="A117" s="12" t="s">
        <v>163</v>
      </c>
      <c r="B117" s="49">
        <v>15044</v>
      </c>
      <c r="C117" s="49">
        <v>383</v>
      </c>
      <c r="D117" s="20">
        <v>1021.25653</v>
      </c>
      <c r="E117" s="15">
        <v>2.5458654613134804E-2</v>
      </c>
      <c r="F117" s="79">
        <v>14661</v>
      </c>
      <c r="G117" s="37">
        <v>2.6123729622808813E-2</v>
      </c>
      <c r="H117" s="1">
        <v>43874</v>
      </c>
      <c r="I117" s="2" t="s">
        <v>187</v>
      </c>
    </row>
    <row r="118" spans="1:9" x14ac:dyDescent="0.25">
      <c r="A118" s="12" t="s">
        <v>167</v>
      </c>
      <c r="B118" s="49">
        <v>14808</v>
      </c>
      <c r="C118" s="49">
        <v>161</v>
      </c>
      <c r="D118" s="20">
        <v>307.79658000000001</v>
      </c>
      <c r="E118" s="15">
        <v>1.0872501350621285E-2</v>
      </c>
      <c r="F118" s="79">
        <v>14647</v>
      </c>
      <c r="G118" s="37">
        <v>1.0992012016112515E-2</v>
      </c>
      <c r="H118" s="1">
        <v>43874</v>
      </c>
      <c r="I118" s="2" t="s">
        <v>188</v>
      </c>
    </row>
    <row r="119" spans="1:9" x14ac:dyDescent="0.25">
      <c r="A119" s="12" t="s">
        <v>168</v>
      </c>
      <c r="B119" s="49">
        <v>17871</v>
      </c>
      <c r="C119" s="49">
        <v>283</v>
      </c>
      <c r="D119" s="20">
        <v>484.18780800000002</v>
      </c>
      <c r="E119" s="15">
        <v>1.5835711487885401E-2</v>
      </c>
      <c r="F119" s="79">
        <v>17588</v>
      </c>
      <c r="G119" s="37">
        <v>1.6090516261087106E-2</v>
      </c>
      <c r="H119" s="1">
        <v>43874</v>
      </c>
      <c r="I119" s="2" t="s">
        <v>189</v>
      </c>
    </row>
    <row r="120" spans="1:9" x14ac:dyDescent="0.25">
      <c r="A120" s="12" t="s">
        <v>166</v>
      </c>
      <c r="B120" s="49">
        <v>14637</v>
      </c>
      <c r="C120" s="49">
        <v>223</v>
      </c>
      <c r="D120" s="20">
        <v>627.12846999999999</v>
      </c>
      <c r="E120" s="15">
        <v>1.523536243765799E-2</v>
      </c>
      <c r="F120" s="79">
        <v>14414</v>
      </c>
      <c r="G120" s="37">
        <v>1.5471069793256556E-2</v>
      </c>
      <c r="H120" s="1">
        <v>43875</v>
      </c>
      <c r="I120" s="2" t="s">
        <v>187</v>
      </c>
    </row>
    <row r="121" spans="1:9" x14ac:dyDescent="0.25">
      <c r="A121" s="12" t="s">
        <v>170</v>
      </c>
      <c r="B121" s="49">
        <v>14509</v>
      </c>
      <c r="C121" s="49">
        <v>342</v>
      </c>
      <c r="D121" s="20">
        <v>616.25677199999996</v>
      </c>
      <c r="E121" s="15">
        <v>2.3571576263009167E-2</v>
      </c>
      <c r="F121" s="79">
        <v>14167</v>
      </c>
      <c r="G121" s="37">
        <v>2.4140608456271619E-2</v>
      </c>
      <c r="H121" s="1">
        <v>43875</v>
      </c>
      <c r="I121" s="2" t="s">
        <v>188</v>
      </c>
    </row>
    <row r="122" spans="1:9" x14ac:dyDescent="0.25">
      <c r="A122" s="12" t="s">
        <v>171</v>
      </c>
      <c r="B122" s="49">
        <v>3071</v>
      </c>
      <c r="C122" s="49">
        <v>71</v>
      </c>
      <c r="D122" s="20">
        <v>136.98553200000001</v>
      </c>
      <c r="E122" s="15">
        <v>2.3119505047215889E-2</v>
      </c>
      <c r="F122" s="79">
        <v>3000</v>
      </c>
      <c r="G122" s="37">
        <v>2.3666666666666666E-2</v>
      </c>
      <c r="H122" s="1">
        <v>43875</v>
      </c>
      <c r="I122" s="2" t="s">
        <v>189</v>
      </c>
    </row>
    <row r="123" spans="1:9" x14ac:dyDescent="0.25">
      <c r="A123" s="12" t="s">
        <v>169</v>
      </c>
      <c r="B123" s="49">
        <v>7505</v>
      </c>
      <c r="C123" s="49">
        <v>204</v>
      </c>
      <c r="D123" s="20">
        <v>384.26778000000002</v>
      </c>
      <c r="E123" s="15">
        <v>2.7181878747501664E-2</v>
      </c>
      <c r="F123" s="79">
        <v>7301</v>
      </c>
      <c r="G123" s="37">
        <v>2.7941377893439256E-2</v>
      </c>
      <c r="H123" s="1">
        <v>43876</v>
      </c>
      <c r="I123" s="2" t="s">
        <v>187</v>
      </c>
    </row>
    <row r="124" spans="1:9" x14ac:dyDescent="0.25">
      <c r="A124" s="12" t="s">
        <v>181</v>
      </c>
      <c r="B124" s="49">
        <v>7067</v>
      </c>
      <c r="C124" s="49">
        <v>67</v>
      </c>
      <c r="D124" s="20">
        <v>62.426112000000003</v>
      </c>
      <c r="E124" s="15">
        <v>9.4806848733550303E-3</v>
      </c>
      <c r="F124" s="79">
        <v>7000</v>
      </c>
      <c r="G124" s="37">
        <v>9.571428571428571E-3</v>
      </c>
      <c r="H124" s="1">
        <v>43876</v>
      </c>
      <c r="I124" s="2" t="s">
        <v>188</v>
      </c>
    </row>
    <row r="125" spans="1:9" x14ac:dyDescent="0.25">
      <c r="A125" s="12" t="s">
        <v>182</v>
      </c>
      <c r="B125" s="49">
        <v>9017</v>
      </c>
      <c r="C125" s="49">
        <v>17</v>
      </c>
      <c r="D125" s="20">
        <v>33.163872000000005</v>
      </c>
      <c r="E125" s="15">
        <v>1.8853277143174004E-3</v>
      </c>
      <c r="F125" s="79">
        <v>9000</v>
      </c>
      <c r="G125" s="37">
        <v>1.888888888888889E-3</v>
      </c>
      <c r="H125" s="1">
        <v>43877</v>
      </c>
      <c r="I125" s="2" t="s">
        <v>187</v>
      </c>
    </row>
    <row r="126" spans="1:9" x14ac:dyDescent="0.25">
      <c r="A126" s="12" t="s">
        <v>183</v>
      </c>
      <c r="B126" s="49">
        <v>10050</v>
      </c>
      <c r="C126" s="49">
        <v>50</v>
      </c>
      <c r="D126" s="20">
        <v>97.540800000000004</v>
      </c>
      <c r="E126" s="15">
        <v>4.9751243781094526E-3</v>
      </c>
      <c r="F126" s="79">
        <v>10000</v>
      </c>
      <c r="G126" s="37">
        <v>5.0000000000000001E-3</v>
      </c>
      <c r="H126" s="1">
        <v>43877</v>
      </c>
      <c r="I126" s="2" t="s">
        <v>188</v>
      </c>
    </row>
    <row r="127" spans="1:9" x14ac:dyDescent="0.25">
      <c r="A127" s="12" t="s">
        <v>184</v>
      </c>
      <c r="B127" s="49">
        <v>10054</v>
      </c>
      <c r="C127" s="49">
        <v>54</v>
      </c>
      <c r="D127" s="20">
        <v>105.344064</v>
      </c>
      <c r="E127" s="15">
        <v>5.3709966182613885E-3</v>
      </c>
      <c r="F127" s="79">
        <v>10000</v>
      </c>
      <c r="G127" s="37">
        <v>5.4000000000000003E-3</v>
      </c>
      <c r="H127" s="1">
        <v>43878</v>
      </c>
      <c r="I127" s="2" t="s">
        <v>187</v>
      </c>
    </row>
    <row r="128" spans="1:9" x14ac:dyDescent="0.25">
      <c r="A128" s="12" t="s">
        <v>185</v>
      </c>
      <c r="B128" s="49">
        <v>5</v>
      </c>
      <c r="C128" s="49">
        <v>5</v>
      </c>
      <c r="D128" s="20">
        <v>0</v>
      </c>
      <c r="E128" s="15">
        <v>1</v>
      </c>
      <c r="F128" s="79">
        <v>0</v>
      </c>
      <c r="G128" s="37">
        <v>1</v>
      </c>
      <c r="H128" s="1">
        <v>43879</v>
      </c>
      <c r="I128" s="2" t="s">
        <v>187</v>
      </c>
    </row>
    <row r="129" spans="1:9" x14ac:dyDescent="0.25">
      <c r="A129" s="12" t="s">
        <v>192</v>
      </c>
      <c r="B129" s="49">
        <v>15831</v>
      </c>
      <c r="C129" s="49">
        <v>392</v>
      </c>
      <c r="D129" s="20">
        <v>735.45276000000013</v>
      </c>
      <c r="E129" s="15">
        <v>2.4761543806455687E-2</v>
      </c>
      <c r="F129" s="79">
        <v>15439</v>
      </c>
      <c r="G129" s="37">
        <v>2.5390245482220353E-2</v>
      </c>
      <c r="H129" s="1">
        <v>43879</v>
      </c>
      <c r="I129" s="2" t="s">
        <v>188</v>
      </c>
    </row>
    <row r="130" spans="1:9" x14ac:dyDescent="0.25">
      <c r="A130" s="12" t="s">
        <v>193</v>
      </c>
      <c r="B130" s="49">
        <v>22282</v>
      </c>
      <c r="C130" s="49">
        <v>461</v>
      </c>
      <c r="D130" s="20">
        <v>731.54406000000006</v>
      </c>
      <c r="E130" s="15">
        <v>2.0689345660174132E-2</v>
      </c>
      <c r="F130" s="79">
        <v>21821</v>
      </c>
      <c r="G130" s="37">
        <v>2.1126437835112966E-2</v>
      </c>
      <c r="H130" s="1">
        <v>43880</v>
      </c>
      <c r="I130" s="2" t="s">
        <v>187</v>
      </c>
    </row>
    <row r="131" spans="1:9" x14ac:dyDescent="0.25">
      <c r="A131" s="12" t="s">
        <v>198</v>
      </c>
      <c r="B131" s="49">
        <v>17426</v>
      </c>
      <c r="C131" s="49">
        <v>305</v>
      </c>
      <c r="D131" s="20">
        <v>568.40117000000009</v>
      </c>
      <c r="E131" s="15">
        <v>1.750258234821531E-2</v>
      </c>
      <c r="F131" s="79">
        <v>17121</v>
      </c>
      <c r="G131" s="37">
        <v>1.7814380001168157E-2</v>
      </c>
      <c r="H131" s="1">
        <v>43880</v>
      </c>
      <c r="I131" s="2" t="s">
        <v>188</v>
      </c>
    </row>
    <row r="132" spans="1:9" x14ac:dyDescent="0.25">
      <c r="A132" s="12" t="s">
        <v>199</v>
      </c>
      <c r="B132" s="49">
        <v>17442</v>
      </c>
      <c r="C132" s="49">
        <v>262</v>
      </c>
      <c r="D132" s="20">
        <v>491.37407999999999</v>
      </c>
      <c r="E132" s="15">
        <v>1.5021213163628025E-2</v>
      </c>
      <c r="F132" s="79">
        <v>17180</v>
      </c>
      <c r="G132" s="37">
        <v>1.5250291036088475E-2</v>
      </c>
      <c r="H132" s="1">
        <v>43880</v>
      </c>
      <c r="I132" s="2" t="s">
        <v>189</v>
      </c>
    </row>
    <row r="133" spans="1:9" x14ac:dyDescent="0.25">
      <c r="A133" s="12" t="s">
        <v>194</v>
      </c>
      <c r="B133" s="49">
        <v>11403</v>
      </c>
      <c r="C133" s="49">
        <v>282</v>
      </c>
      <c r="D133" s="20">
        <v>517.90940999999998</v>
      </c>
      <c r="E133" s="15">
        <v>2.4730334122599316E-2</v>
      </c>
      <c r="F133" s="79">
        <v>11121</v>
      </c>
      <c r="G133" s="37">
        <v>2.5357431885621798E-2</v>
      </c>
      <c r="H133" s="1">
        <v>43881</v>
      </c>
      <c r="I133" s="2" t="s">
        <v>187</v>
      </c>
    </row>
    <row r="134" spans="1:9" x14ac:dyDescent="0.25">
      <c r="A134" s="12" t="s">
        <v>196</v>
      </c>
      <c r="B134" s="49">
        <v>22574</v>
      </c>
      <c r="C134" s="49">
        <v>250</v>
      </c>
      <c r="D134" s="20">
        <v>419.52979999999997</v>
      </c>
      <c r="E134" s="15">
        <v>1.1074687693807034E-2</v>
      </c>
      <c r="F134" s="79">
        <v>22324</v>
      </c>
      <c r="G134" s="37">
        <v>1.1198709908618527E-2</v>
      </c>
      <c r="H134" s="1">
        <v>43881</v>
      </c>
      <c r="I134" s="2" t="s">
        <v>188</v>
      </c>
    </row>
    <row r="135" spans="1:9" x14ac:dyDescent="0.25">
      <c r="A135" s="12" t="s">
        <v>197</v>
      </c>
      <c r="B135" s="49">
        <v>21263</v>
      </c>
      <c r="C135" s="49">
        <v>412</v>
      </c>
      <c r="D135" s="20">
        <v>701.88305000000003</v>
      </c>
      <c r="E135" s="15">
        <v>1.9376381507783473E-2</v>
      </c>
      <c r="F135" s="79">
        <v>20851</v>
      </c>
      <c r="G135" s="37">
        <v>1.9759244160951515E-2</v>
      </c>
      <c r="H135" s="1">
        <v>43881</v>
      </c>
      <c r="I135" s="2" t="s">
        <v>189</v>
      </c>
    </row>
    <row r="136" spans="1:9" x14ac:dyDescent="0.25">
      <c r="A136" s="12" t="s">
        <v>195</v>
      </c>
      <c r="B136" s="49">
        <v>10951</v>
      </c>
      <c r="C136" s="49">
        <v>224</v>
      </c>
      <c r="D136" s="20">
        <v>413.57547</v>
      </c>
      <c r="E136" s="15">
        <v>2.0454752990594467E-2</v>
      </c>
      <c r="F136" s="79">
        <v>10727</v>
      </c>
      <c r="G136" s="37">
        <v>2.0881886827631212E-2</v>
      </c>
      <c r="H136" s="1">
        <v>43882</v>
      </c>
      <c r="I136" s="2" t="s">
        <v>187</v>
      </c>
    </row>
    <row r="137" spans="1:9" x14ac:dyDescent="0.25">
      <c r="A137" s="12" t="s">
        <v>212</v>
      </c>
      <c r="B137" s="49">
        <v>17033</v>
      </c>
      <c r="C137" s="49">
        <v>354</v>
      </c>
      <c r="D137" s="20">
        <v>649.79252000000008</v>
      </c>
      <c r="E137" s="15">
        <v>2.0783185580931132E-2</v>
      </c>
      <c r="F137" s="79">
        <v>16679</v>
      </c>
      <c r="G137" s="37">
        <v>2.1224294022423408E-2</v>
      </c>
      <c r="H137" s="1">
        <v>43882</v>
      </c>
      <c r="I137" s="2" t="s">
        <v>188</v>
      </c>
    </row>
    <row r="138" spans="1:9" x14ac:dyDescent="0.25">
      <c r="A138" s="12" t="s">
        <v>213</v>
      </c>
      <c r="B138" s="49">
        <v>13384</v>
      </c>
      <c r="C138" s="49">
        <v>384</v>
      </c>
      <c r="D138" s="20">
        <v>670.99771200000009</v>
      </c>
      <c r="E138" s="15">
        <v>2.8690974297668859E-2</v>
      </c>
      <c r="F138" s="79">
        <v>13000</v>
      </c>
      <c r="G138" s="37">
        <v>2.9538461538461538E-2</v>
      </c>
      <c r="H138" s="1">
        <v>43882</v>
      </c>
      <c r="I138" s="2" t="s">
        <v>189</v>
      </c>
    </row>
    <row r="139" spans="1:9" x14ac:dyDescent="0.25">
      <c r="A139" s="12" t="s">
        <v>214</v>
      </c>
      <c r="B139" s="49">
        <v>11360</v>
      </c>
      <c r="C139" s="49">
        <v>197</v>
      </c>
      <c r="D139" s="20">
        <v>376.62065999999999</v>
      </c>
      <c r="E139" s="15">
        <v>1.7341549295774649E-2</v>
      </c>
      <c r="F139" s="79">
        <v>11163</v>
      </c>
      <c r="G139" s="37">
        <v>1.7647585774433396E-2</v>
      </c>
      <c r="H139" s="1">
        <v>43883</v>
      </c>
      <c r="I139" s="2" t="s">
        <v>187</v>
      </c>
    </row>
    <row r="140" spans="1:9" x14ac:dyDescent="0.25">
      <c r="A140" s="12" t="s">
        <v>215</v>
      </c>
      <c r="B140" s="49">
        <v>9008</v>
      </c>
      <c r="C140" s="49">
        <v>8</v>
      </c>
      <c r="D140" s="20">
        <v>15.606528000000001</v>
      </c>
      <c r="E140" s="15">
        <v>8.8809946714031975E-4</v>
      </c>
      <c r="F140" s="79">
        <v>9000</v>
      </c>
      <c r="G140" s="37">
        <v>8.8888888888888893E-4</v>
      </c>
      <c r="H140" s="1">
        <v>43883</v>
      </c>
      <c r="I140" s="2" t="s">
        <v>188</v>
      </c>
    </row>
    <row r="141" spans="1:9" x14ac:dyDescent="0.25">
      <c r="A141" s="12" t="s">
        <v>216</v>
      </c>
      <c r="B141" s="49">
        <v>9024</v>
      </c>
      <c r="C141" s="49">
        <v>24</v>
      </c>
      <c r="D141" s="20">
        <v>27.311424000000002</v>
      </c>
      <c r="E141" s="15">
        <v>2.6595744680851063E-3</v>
      </c>
      <c r="F141" s="79">
        <v>9000</v>
      </c>
      <c r="G141" s="37">
        <v>2.6666666666666666E-3</v>
      </c>
      <c r="H141" s="1">
        <v>43884</v>
      </c>
      <c r="I141" s="2" t="s">
        <v>187</v>
      </c>
    </row>
    <row r="142" spans="1:9" x14ac:dyDescent="0.25">
      <c r="A142" s="12" t="s">
        <v>217</v>
      </c>
      <c r="B142" s="49">
        <v>9005</v>
      </c>
      <c r="C142" s="49">
        <v>5</v>
      </c>
      <c r="D142" s="20">
        <v>9.7540800000000001</v>
      </c>
      <c r="E142" s="15">
        <v>5.5524708495280405E-4</v>
      </c>
      <c r="F142" s="79">
        <v>9000</v>
      </c>
      <c r="G142" s="37">
        <v>5.5555555555555556E-4</v>
      </c>
      <c r="H142" s="1">
        <v>43884</v>
      </c>
      <c r="I142" s="2" t="s">
        <v>188</v>
      </c>
    </row>
    <row r="143" spans="1:9" x14ac:dyDescent="0.25">
      <c r="A143" s="12" t="s">
        <v>218</v>
      </c>
      <c r="B143" s="49">
        <v>11000</v>
      </c>
      <c r="C143" s="49">
        <v>0</v>
      </c>
      <c r="D143" s="20">
        <v>0</v>
      </c>
      <c r="E143" s="15">
        <v>0</v>
      </c>
      <c r="F143" s="79">
        <v>11000</v>
      </c>
      <c r="G143" s="37">
        <v>0</v>
      </c>
      <c r="H143" s="1">
        <v>43885</v>
      </c>
      <c r="I143" s="2" t="s">
        <v>187</v>
      </c>
    </row>
    <row r="144" spans="1:9" x14ac:dyDescent="0.25">
      <c r="A144" s="12" t="s">
        <v>219</v>
      </c>
      <c r="B144" s="49">
        <v>21900</v>
      </c>
      <c r="C144" s="49">
        <v>478</v>
      </c>
      <c r="D144" s="20">
        <v>885.558312</v>
      </c>
      <c r="E144" s="15">
        <v>2.1826484018264841E-2</v>
      </c>
      <c r="F144" s="79">
        <v>21422</v>
      </c>
      <c r="G144" s="37">
        <v>2.231350947623938E-2</v>
      </c>
      <c r="H144" s="1">
        <v>43885</v>
      </c>
      <c r="I144" s="2" t="s">
        <v>188</v>
      </c>
    </row>
    <row r="145" spans="1:9" x14ac:dyDescent="0.25">
      <c r="A145" s="12" t="s">
        <v>220</v>
      </c>
      <c r="B145" s="49">
        <v>26441</v>
      </c>
      <c r="C145" s="49">
        <v>992</v>
      </c>
      <c r="D145" s="20">
        <v>1883.0768559999999</v>
      </c>
      <c r="E145" s="15">
        <v>3.7517491774138649E-2</v>
      </c>
      <c r="F145" s="79">
        <v>25449</v>
      </c>
      <c r="G145" s="37">
        <v>3.8979920625564858E-2</v>
      </c>
      <c r="H145" s="1">
        <v>43885</v>
      </c>
      <c r="I145" s="2" t="s">
        <v>189</v>
      </c>
    </row>
    <row r="146" spans="1:9" x14ac:dyDescent="0.25">
      <c r="A146" s="12" t="s">
        <v>221</v>
      </c>
      <c r="B146" s="49">
        <v>1126</v>
      </c>
      <c r="C146" s="49">
        <v>126</v>
      </c>
      <c r="D146" s="20">
        <v>240.88428000000002</v>
      </c>
      <c r="E146" s="15">
        <v>0.11190053285968028</v>
      </c>
      <c r="F146" s="79">
        <v>1000</v>
      </c>
      <c r="G146" s="37">
        <v>0.126</v>
      </c>
      <c r="H146" s="1">
        <v>43886</v>
      </c>
      <c r="I146" s="2" t="s">
        <v>187</v>
      </c>
    </row>
    <row r="147" spans="1:9" x14ac:dyDescent="0.25">
      <c r="A147" s="12" t="s">
        <v>231</v>
      </c>
      <c r="B147" s="49">
        <v>35095</v>
      </c>
      <c r="C147" s="49">
        <v>971</v>
      </c>
      <c r="D147" s="20">
        <v>1866.4908720000001</v>
      </c>
      <c r="E147" s="15">
        <v>2.7667758940019944E-2</v>
      </c>
      <c r="F147" s="79">
        <v>34124</v>
      </c>
      <c r="G147" s="37">
        <v>2.8455046301723127E-2</v>
      </c>
      <c r="H147" s="1">
        <v>43886</v>
      </c>
      <c r="I147" s="2" t="s">
        <v>188</v>
      </c>
    </row>
    <row r="148" spans="1:9" x14ac:dyDescent="0.25">
      <c r="A148" s="12" t="s">
        <v>232</v>
      </c>
      <c r="B148" s="49">
        <v>35805</v>
      </c>
      <c r="C148" s="49">
        <v>454</v>
      </c>
      <c r="D148" s="20">
        <v>810.33569800000009</v>
      </c>
      <c r="E148" s="15">
        <v>1.2679793324954615E-2</v>
      </c>
      <c r="F148" s="79">
        <v>35351</v>
      </c>
      <c r="G148" s="37">
        <v>1.284263528613052E-2</v>
      </c>
      <c r="H148" s="1">
        <v>43886</v>
      </c>
      <c r="I148" s="2" t="s">
        <v>189</v>
      </c>
    </row>
    <row r="149" spans="1:9" x14ac:dyDescent="0.25">
      <c r="A149" s="12" t="s">
        <v>233</v>
      </c>
      <c r="B149" s="49">
        <v>22081</v>
      </c>
      <c r="C149" s="49">
        <v>550</v>
      </c>
      <c r="D149" s="20">
        <v>1067.9773</v>
      </c>
      <c r="E149" s="15">
        <v>2.4908292196911371E-2</v>
      </c>
      <c r="F149" s="79">
        <v>21531</v>
      </c>
      <c r="G149" s="37">
        <v>2.5544563652408155E-2</v>
      </c>
      <c r="H149" s="1">
        <v>43887</v>
      </c>
      <c r="I149" s="2" t="s">
        <v>187</v>
      </c>
    </row>
    <row r="150" spans="1:9" x14ac:dyDescent="0.25">
      <c r="A150" s="12" t="s">
        <v>234</v>
      </c>
      <c r="B150" s="49">
        <v>35500</v>
      </c>
      <c r="C150" s="49">
        <v>654</v>
      </c>
      <c r="D150" s="20">
        <v>1248.0922999999998</v>
      </c>
      <c r="E150" s="15">
        <v>1.8422535211267604E-2</v>
      </c>
      <c r="F150" s="79">
        <v>34846</v>
      </c>
      <c r="G150" s="37">
        <v>1.8768294782758422E-2</v>
      </c>
      <c r="H150" s="1">
        <v>43887</v>
      </c>
      <c r="I150" s="2" t="s">
        <v>188</v>
      </c>
    </row>
    <row r="151" spans="1:9" x14ac:dyDescent="0.25">
      <c r="A151" s="12" t="s">
        <v>235</v>
      </c>
      <c r="B151" s="49">
        <v>32824.6</v>
      </c>
      <c r="C151" s="49">
        <v>698.6</v>
      </c>
      <c r="D151" s="20">
        <v>1336.8435919999999</v>
      </c>
      <c r="E151" s="15">
        <v>2.1282818374024362E-2</v>
      </c>
      <c r="F151" s="79">
        <v>32126</v>
      </c>
      <c r="G151" s="37">
        <v>2.1745626595281082E-2</v>
      </c>
      <c r="H151" s="1">
        <v>43887</v>
      </c>
      <c r="I151" s="2" t="s">
        <v>189</v>
      </c>
    </row>
    <row r="152" spans="1:9" x14ac:dyDescent="0.25">
      <c r="A152" s="12" t="s">
        <v>236</v>
      </c>
      <c r="B152" s="49">
        <v>26745</v>
      </c>
      <c r="C152" s="49">
        <v>463</v>
      </c>
      <c r="D152" s="20">
        <v>904.85109</v>
      </c>
      <c r="E152" s="15">
        <v>1.7311647036829313E-2</v>
      </c>
      <c r="F152" s="79">
        <v>26282</v>
      </c>
      <c r="G152" s="37">
        <v>1.7616619739745834E-2</v>
      </c>
      <c r="H152" s="1">
        <v>43888</v>
      </c>
      <c r="I152" s="2" t="s">
        <v>187</v>
      </c>
    </row>
    <row r="153" spans="1:9" x14ac:dyDescent="0.25">
      <c r="A153" s="12" t="s">
        <v>237</v>
      </c>
      <c r="B153" s="49">
        <v>20198</v>
      </c>
      <c r="C153" s="49">
        <v>737</v>
      </c>
      <c r="D153" s="20">
        <v>1405.6277160000002</v>
      </c>
      <c r="E153" s="15">
        <v>3.6488761263491432E-2</v>
      </c>
      <c r="F153" s="79">
        <v>19461</v>
      </c>
      <c r="G153" s="37">
        <v>3.7870613020913622E-2</v>
      </c>
      <c r="H153" s="1">
        <v>43888</v>
      </c>
      <c r="I153" s="2" t="s">
        <v>188</v>
      </c>
    </row>
    <row r="154" spans="1:9" x14ac:dyDescent="0.25">
      <c r="A154" s="12" t="s">
        <v>239</v>
      </c>
      <c r="B154" s="49">
        <v>23512</v>
      </c>
      <c r="C154" s="49">
        <v>461</v>
      </c>
      <c r="D154" s="20">
        <v>881.81538599999988</v>
      </c>
      <c r="E154" s="15">
        <v>1.9607009186798231E-2</v>
      </c>
      <c r="F154" s="79">
        <v>23051</v>
      </c>
      <c r="G154" s="37">
        <v>1.9999132358682919E-2</v>
      </c>
      <c r="H154" s="1">
        <v>43888</v>
      </c>
      <c r="I154" s="2" t="s">
        <v>189</v>
      </c>
    </row>
    <row r="155" spans="1:9" x14ac:dyDescent="0.25">
      <c r="A155" s="12" t="s">
        <v>238</v>
      </c>
      <c r="B155" s="49">
        <v>9456</v>
      </c>
      <c r="C155" s="49">
        <v>942</v>
      </c>
      <c r="D155" s="20">
        <v>1091.6951423999999</v>
      </c>
      <c r="E155" s="15">
        <v>9.9619289340101516E-2</v>
      </c>
      <c r="F155" s="79">
        <v>8514</v>
      </c>
      <c r="G155" s="37">
        <v>0.11064129668780831</v>
      </c>
      <c r="H155" s="1">
        <v>43889</v>
      </c>
      <c r="I155" s="2" t="s">
        <v>187</v>
      </c>
    </row>
    <row r="156" spans="1:9" x14ac:dyDescent="0.25">
      <c r="A156" s="12" t="s">
        <v>248</v>
      </c>
      <c r="B156" s="49">
        <v>17084</v>
      </c>
      <c r="C156" s="49">
        <v>179</v>
      </c>
      <c r="D156" s="20">
        <v>309.16348600000003</v>
      </c>
      <c r="E156" s="15">
        <v>1.047763989697963E-2</v>
      </c>
      <c r="F156" s="79">
        <v>16905</v>
      </c>
      <c r="G156" s="37">
        <v>1.0588583259390712E-2</v>
      </c>
      <c r="H156" s="1">
        <v>43889</v>
      </c>
      <c r="I156" s="2" t="s">
        <v>188</v>
      </c>
    </row>
    <row r="157" spans="1:9" x14ac:dyDescent="0.25">
      <c r="A157" s="12" t="s">
        <v>249</v>
      </c>
      <c r="B157" s="49">
        <v>19971</v>
      </c>
      <c r="C157" s="49">
        <v>291</v>
      </c>
      <c r="D157" s="20">
        <v>545.16779799999995</v>
      </c>
      <c r="E157" s="15">
        <v>1.4571128135796906E-2</v>
      </c>
      <c r="F157" s="79">
        <v>19680</v>
      </c>
      <c r="G157" s="37">
        <v>1.4786585365853658E-2</v>
      </c>
      <c r="H157" s="1">
        <v>43889</v>
      </c>
      <c r="I157" s="2" t="s">
        <v>189</v>
      </c>
    </row>
    <row r="158" spans="1:9" x14ac:dyDescent="0.25">
      <c r="A158" s="12" t="s">
        <v>240</v>
      </c>
      <c r="B158" s="49">
        <v>16086</v>
      </c>
      <c r="C158" s="49">
        <v>449</v>
      </c>
      <c r="D158" s="20">
        <v>734.43580800000007</v>
      </c>
      <c r="E158" s="15">
        <v>2.7912470471217206E-2</v>
      </c>
      <c r="F158" s="79">
        <v>15637</v>
      </c>
      <c r="G158" s="37">
        <v>2.8713947688175482E-2</v>
      </c>
      <c r="H158" s="1">
        <v>43890</v>
      </c>
      <c r="I158" s="2" t="s">
        <v>187</v>
      </c>
    </row>
    <row r="159" spans="1:9" x14ac:dyDescent="0.25">
      <c r="A159" s="12" t="s">
        <v>251</v>
      </c>
      <c r="B159" s="49">
        <v>11084</v>
      </c>
      <c r="C159" s="49">
        <v>84</v>
      </c>
      <c r="D159" s="20">
        <v>27.311424000000002</v>
      </c>
      <c r="E159" s="15">
        <v>7.5784915193071092E-3</v>
      </c>
      <c r="F159" s="79">
        <v>11000</v>
      </c>
      <c r="G159" s="37">
        <v>7.6363636363636364E-3</v>
      </c>
      <c r="H159" s="1">
        <v>43890</v>
      </c>
      <c r="I159" s="2" t="s">
        <v>188</v>
      </c>
    </row>
    <row r="160" spans="1:9" x14ac:dyDescent="0.25">
      <c r="A160" s="12" t="s">
        <v>252</v>
      </c>
      <c r="B160" s="49">
        <v>10077</v>
      </c>
      <c r="C160" s="49">
        <v>77</v>
      </c>
      <c r="D160" s="20">
        <v>101.44243200000001</v>
      </c>
      <c r="E160" s="15">
        <v>7.6411630445569114E-3</v>
      </c>
      <c r="F160" s="79">
        <v>10000</v>
      </c>
      <c r="G160" s="37">
        <v>7.7000000000000002E-3</v>
      </c>
      <c r="H160" s="1">
        <v>43891</v>
      </c>
      <c r="I160" s="2" t="s">
        <v>187</v>
      </c>
    </row>
    <row r="161" spans="1:9" x14ac:dyDescent="0.25">
      <c r="A161" s="12" t="s">
        <v>253</v>
      </c>
      <c r="B161" s="49">
        <v>11030</v>
      </c>
      <c r="C161" s="49">
        <v>30</v>
      </c>
      <c r="D161" s="20">
        <v>58.524480000000004</v>
      </c>
      <c r="E161" s="15">
        <v>2.7198549410698096E-3</v>
      </c>
      <c r="F161" s="79">
        <v>11000</v>
      </c>
      <c r="G161" s="37">
        <v>2.7272727272727275E-3</v>
      </c>
      <c r="H161" s="1">
        <v>43891</v>
      </c>
      <c r="I161" s="2" t="s">
        <v>188</v>
      </c>
    </row>
    <row r="162" spans="1:9" x14ac:dyDescent="0.25">
      <c r="A162" s="12" t="s">
        <v>254</v>
      </c>
      <c r="B162" s="49">
        <v>11059</v>
      </c>
      <c r="C162" s="49">
        <v>59</v>
      </c>
      <c r="D162" s="20">
        <v>115.098144</v>
      </c>
      <c r="E162" s="15">
        <v>5.3350212496609097E-3</v>
      </c>
      <c r="F162" s="79">
        <v>11000</v>
      </c>
      <c r="G162" s="37">
        <v>5.3636363636363638E-3</v>
      </c>
      <c r="H162" s="1">
        <v>43891</v>
      </c>
      <c r="I162" s="2" t="s">
        <v>189</v>
      </c>
    </row>
    <row r="163" spans="1:9" x14ac:dyDescent="0.25">
      <c r="A163" s="12" t="s">
        <v>259</v>
      </c>
      <c r="B163" s="49">
        <v>20</v>
      </c>
      <c r="C163" s="49">
        <v>20</v>
      </c>
      <c r="D163" s="20">
        <v>0</v>
      </c>
      <c r="E163" s="15">
        <v>1</v>
      </c>
      <c r="F163" s="79"/>
      <c r="G163" s="37">
        <v>1</v>
      </c>
      <c r="H163" s="1">
        <v>43892</v>
      </c>
      <c r="I163" s="2" t="s">
        <v>187</v>
      </c>
    </row>
    <row r="164" spans="1:9" x14ac:dyDescent="0.25">
      <c r="A164" s="48" t="s">
        <v>260</v>
      </c>
      <c r="B164" s="49">
        <v>23753</v>
      </c>
      <c r="C164" s="49">
        <v>313</v>
      </c>
      <c r="D164" s="20">
        <v>723.34100999999998</v>
      </c>
      <c r="E164" s="47">
        <v>1.3177282869532269E-2</v>
      </c>
      <c r="F164" s="79">
        <v>23440</v>
      </c>
      <c r="G164" s="37">
        <v>1.3353242320819112E-2</v>
      </c>
      <c r="H164" s="1">
        <v>43892</v>
      </c>
      <c r="I164" s="2" t="s">
        <v>188</v>
      </c>
    </row>
    <row r="165" spans="1:9" x14ac:dyDescent="0.25">
      <c r="A165" s="48" t="s">
        <v>261</v>
      </c>
      <c r="B165" s="49">
        <v>27478</v>
      </c>
      <c r="C165" s="49">
        <v>798</v>
      </c>
      <c r="D165" s="20">
        <v>1871.0992719999999</v>
      </c>
      <c r="E165" s="47">
        <v>2.9041414950141932E-2</v>
      </c>
      <c r="F165" s="79">
        <v>26680</v>
      </c>
      <c r="G165" s="37">
        <v>2.9910044977511246E-2</v>
      </c>
      <c r="H165" s="1">
        <v>43892</v>
      </c>
      <c r="I165" s="2" t="s">
        <v>189</v>
      </c>
    </row>
    <row r="166" spans="1:9" x14ac:dyDescent="0.25">
      <c r="A166" s="57" t="s">
        <v>250</v>
      </c>
      <c r="B166" s="55">
        <v>1014</v>
      </c>
      <c r="C166" s="55">
        <v>14</v>
      </c>
      <c r="D166" s="55">
        <v>7.8032640000000004</v>
      </c>
      <c r="E166" s="56">
        <v>1.3806706114398421E-2</v>
      </c>
      <c r="F166" s="55">
        <v>1000</v>
      </c>
      <c r="G166" s="56">
        <v>1.4E-2</v>
      </c>
      <c r="H166" s="1">
        <v>43893</v>
      </c>
      <c r="I166" s="2" t="s">
        <v>187</v>
      </c>
    </row>
    <row r="167" spans="1:9" x14ac:dyDescent="0.25">
      <c r="A167" s="57" t="s">
        <v>266</v>
      </c>
      <c r="B167" s="55">
        <v>29073</v>
      </c>
      <c r="C167" s="55">
        <v>633</v>
      </c>
      <c r="D167" s="55">
        <v>1499.2073599999999</v>
      </c>
      <c r="E167" s="56">
        <v>2.177277886698999E-2</v>
      </c>
      <c r="F167" s="55">
        <v>28440</v>
      </c>
      <c r="G167" s="56">
        <v>2.2257383966244725E-2</v>
      </c>
      <c r="H167" s="1">
        <v>43893</v>
      </c>
      <c r="I167" s="2" t="s">
        <v>188</v>
      </c>
    </row>
    <row r="168" spans="1:9" x14ac:dyDescent="0.25">
      <c r="A168" s="57" t="s">
        <v>267</v>
      </c>
      <c r="B168" s="55">
        <v>26947</v>
      </c>
      <c r="C168" s="55">
        <v>747</v>
      </c>
      <c r="D168" s="55">
        <v>1801.7152860000001</v>
      </c>
      <c r="E168" s="56">
        <v>2.7721082124169665E-2</v>
      </c>
      <c r="F168" s="55">
        <v>26200</v>
      </c>
      <c r="G168" s="56">
        <v>2.851145038167939E-2</v>
      </c>
      <c r="H168" s="1">
        <v>43893</v>
      </c>
      <c r="I168" s="2" t="s">
        <v>189</v>
      </c>
    </row>
    <row r="169" spans="1:9" x14ac:dyDescent="0.25">
      <c r="A169" s="57" t="s">
        <v>262</v>
      </c>
      <c r="B169" s="55">
        <v>13820</v>
      </c>
      <c r="C169" s="55">
        <v>300</v>
      </c>
      <c r="D169" s="55">
        <v>779.45995400000004</v>
      </c>
      <c r="E169" s="56">
        <v>2.1707670043415339E-2</v>
      </c>
      <c r="F169" s="55">
        <v>13520</v>
      </c>
      <c r="G169" s="56">
        <v>2.2189349112426034E-2</v>
      </c>
      <c r="H169" s="1">
        <v>43894</v>
      </c>
      <c r="I169" s="2" t="s">
        <v>187</v>
      </c>
    </row>
    <row r="170" spans="1:9" x14ac:dyDescent="0.25">
      <c r="A170" s="60" t="s">
        <v>270</v>
      </c>
      <c r="B170" s="58">
        <v>29244</v>
      </c>
      <c r="C170" s="58">
        <v>488</v>
      </c>
      <c r="D170" s="58">
        <v>1222.9096599999998</v>
      </c>
      <c r="E170" s="59">
        <v>1.6687183695800849E-2</v>
      </c>
      <c r="F170" s="58">
        <v>28756</v>
      </c>
      <c r="G170" s="59">
        <v>1.6970371400751149E-2</v>
      </c>
      <c r="H170" s="1">
        <v>43894</v>
      </c>
      <c r="I170" s="2" t="s">
        <v>188</v>
      </c>
    </row>
    <row r="171" spans="1:9" x14ac:dyDescent="0.25">
      <c r="A171" s="60" t="s">
        <v>271</v>
      </c>
      <c r="B171" s="58">
        <v>26145</v>
      </c>
      <c r="C171" s="58">
        <v>545</v>
      </c>
      <c r="D171" s="58">
        <v>1121.1309059999999</v>
      </c>
      <c r="E171" s="59">
        <v>2.084528590552687E-2</v>
      </c>
      <c r="F171" s="58">
        <v>25600</v>
      </c>
      <c r="G171" s="59">
        <v>2.1289062500000001E-2</v>
      </c>
      <c r="H171" s="1">
        <v>43894</v>
      </c>
      <c r="I171" s="2" t="s">
        <v>189</v>
      </c>
    </row>
    <row r="172" spans="1:9" x14ac:dyDescent="0.25">
      <c r="A172" s="60" t="s">
        <v>268</v>
      </c>
      <c r="B172" s="58">
        <v>13052</v>
      </c>
      <c r="C172" s="58">
        <v>452</v>
      </c>
      <c r="D172" s="58">
        <v>1146.978378</v>
      </c>
      <c r="E172" s="59">
        <v>3.4630707937480847E-2</v>
      </c>
      <c r="F172" s="58">
        <v>12600</v>
      </c>
      <c r="G172" s="59">
        <v>3.5873015873015876E-2</v>
      </c>
      <c r="H172" s="1">
        <v>43895</v>
      </c>
      <c r="I172" s="2" t="s">
        <v>187</v>
      </c>
    </row>
    <row r="173" spans="1:9" x14ac:dyDescent="0.25">
      <c r="A173" s="12" t="s">
        <v>276</v>
      </c>
      <c r="B173" s="49">
        <v>23297</v>
      </c>
      <c r="C173" s="49">
        <v>319</v>
      </c>
      <c r="D173" s="20">
        <v>866.90935799999988</v>
      </c>
      <c r="E173" s="15">
        <v>1.3692750139502941E-2</v>
      </c>
      <c r="F173" s="79">
        <v>22978</v>
      </c>
      <c r="G173" s="37">
        <v>1.3882844459918182E-2</v>
      </c>
      <c r="H173" s="1">
        <v>43895</v>
      </c>
      <c r="I173" s="2" t="s">
        <v>188</v>
      </c>
    </row>
    <row r="174" spans="1:9" x14ac:dyDescent="0.25">
      <c r="A174" s="12" t="s">
        <v>277</v>
      </c>
      <c r="B174" s="49">
        <v>15537</v>
      </c>
      <c r="C174" s="49">
        <v>498</v>
      </c>
      <c r="D174" s="20">
        <v>1186.7820299999998</v>
      </c>
      <c r="E174" s="15">
        <v>3.2052519791465534E-2</v>
      </c>
      <c r="F174" s="79">
        <v>15039</v>
      </c>
      <c r="G174" s="37">
        <v>3.3113903849990023E-2</v>
      </c>
      <c r="H174" s="1">
        <v>43895</v>
      </c>
      <c r="I174" s="2" t="s">
        <v>189</v>
      </c>
    </row>
    <row r="175" spans="1:9" x14ac:dyDescent="0.25">
      <c r="A175" s="12" t="s">
        <v>272</v>
      </c>
      <c r="B175" s="49">
        <v>15744</v>
      </c>
      <c r="C175" s="49">
        <v>424</v>
      </c>
      <c r="D175" s="20">
        <v>1031.896236</v>
      </c>
      <c r="E175" s="15">
        <v>2.693089430894309E-2</v>
      </c>
      <c r="F175" s="79">
        <v>15320</v>
      </c>
      <c r="G175" s="37">
        <v>2.7676240208877285E-2</v>
      </c>
      <c r="H175" s="1">
        <v>43896</v>
      </c>
      <c r="I175" s="2" t="s">
        <v>187</v>
      </c>
    </row>
    <row r="176" spans="1:9" x14ac:dyDescent="0.25">
      <c r="A176" s="64" t="s">
        <v>285</v>
      </c>
      <c r="B176" s="65">
        <v>10156</v>
      </c>
      <c r="C176" s="65">
        <v>349</v>
      </c>
      <c r="D176" s="65">
        <v>912.28857999999991</v>
      </c>
      <c r="E176" s="66">
        <v>3.4363922804253641E-2</v>
      </c>
      <c r="F176" s="65">
        <v>9807</v>
      </c>
      <c r="G176" s="66">
        <v>3.5586825736718668E-2</v>
      </c>
      <c r="H176" s="1">
        <v>43896</v>
      </c>
      <c r="I176" s="2" t="s">
        <v>188</v>
      </c>
    </row>
    <row r="177" spans="1:9" x14ac:dyDescent="0.25">
      <c r="A177" s="64" t="s">
        <v>286</v>
      </c>
      <c r="B177" s="65">
        <v>4882</v>
      </c>
      <c r="C177" s="65">
        <v>82</v>
      </c>
      <c r="D177" s="65">
        <v>85.674819999999997</v>
      </c>
      <c r="E177" s="66">
        <v>1.6796394920114706E-2</v>
      </c>
      <c r="F177" s="65">
        <v>4800</v>
      </c>
      <c r="G177" s="66">
        <v>1.7083333333333332E-2</v>
      </c>
      <c r="H177" s="1">
        <v>43896</v>
      </c>
      <c r="I177" s="2" t="s">
        <v>189</v>
      </c>
    </row>
    <row r="178" spans="1:9" x14ac:dyDescent="0.25">
      <c r="A178" s="64" t="s">
        <v>278</v>
      </c>
      <c r="B178" s="65">
        <v>10597</v>
      </c>
      <c r="C178" s="65">
        <v>558</v>
      </c>
      <c r="D178" s="65">
        <v>1366.4177099999999</v>
      </c>
      <c r="E178" s="66">
        <v>5.2656412192129846E-2</v>
      </c>
      <c r="F178" s="65">
        <v>10039</v>
      </c>
      <c r="G178" s="66">
        <v>5.5583225420858653E-2</v>
      </c>
      <c r="H178" s="1">
        <v>43897</v>
      </c>
      <c r="I178" s="2" t="s">
        <v>189</v>
      </c>
    </row>
    <row r="179" spans="1:9" x14ac:dyDescent="0.25">
      <c r="A179" s="12" t="s">
        <v>287</v>
      </c>
      <c r="B179" s="49">
        <v>10</v>
      </c>
      <c r="C179" s="49">
        <v>10</v>
      </c>
      <c r="D179" s="20">
        <v>0</v>
      </c>
      <c r="E179" s="15">
        <v>1</v>
      </c>
      <c r="F179" s="79"/>
      <c r="G179" s="37">
        <v>1</v>
      </c>
      <c r="H179" s="1">
        <v>43899</v>
      </c>
      <c r="I179" s="2" t="s">
        <v>187</v>
      </c>
    </row>
    <row r="180" spans="1:9" x14ac:dyDescent="0.25">
      <c r="A180" s="57" t="s">
        <v>288</v>
      </c>
      <c r="B180" s="55">
        <v>8502</v>
      </c>
      <c r="C180" s="55">
        <v>527</v>
      </c>
      <c r="D180" s="55">
        <v>1032.92</v>
      </c>
      <c r="E180" s="56">
        <v>6.1985415196424372E-2</v>
      </c>
      <c r="F180" s="55">
        <v>7975</v>
      </c>
      <c r="G180" s="56">
        <v>6.6081504702194357E-2</v>
      </c>
      <c r="H180" s="1">
        <v>43899</v>
      </c>
      <c r="I180" s="2" t="s">
        <v>188</v>
      </c>
    </row>
    <row r="181" spans="1:9" x14ac:dyDescent="0.25">
      <c r="A181" s="57" t="s">
        <v>289</v>
      </c>
      <c r="B181" s="55">
        <v>20212</v>
      </c>
      <c r="C181" s="55">
        <v>517</v>
      </c>
      <c r="D181" s="55">
        <v>902.69820000000004</v>
      </c>
      <c r="E181" s="56">
        <v>2.5578864041163666E-2</v>
      </c>
      <c r="F181" s="55">
        <v>19695</v>
      </c>
      <c r="G181" s="56">
        <v>2.625031733942625E-2</v>
      </c>
      <c r="H181" s="1">
        <v>43899</v>
      </c>
      <c r="I181" s="2" t="s">
        <v>189</v>
      </c>
    </row>
    <row r="182" spans="1:9" x14ac:dyDescent="0.25">
      <c r="A182" s="68" t="s">
        <v>290</v>
      </c>
      <c r="B182" s="69">
        <v>859.84</v>
      </c>
      <c r="C182" s="69">
        <v>292</v>
      </c>
      <c r="D182" s="69">
        <v>562.52</v>
      </c>
      <c r="E182" s="70">
        <v>0.33959806475623372</v>
      </c>
      <c r="F182" s="69">
        <v>567.84</v>
      </c>
      <c r="G182" s="70">
        <v>0.51422936038320655</v>
      </c>
      <c r="H182" s="71">
        <v>43900</v>
      </c>
      <c r="I182" s="72" t="s">
        <v>187</v>
      </c>
    </row>
    <row r="183" spans="1:9" x14ac:dyDescent="0.25">
      <c r="A183" s="68" t="s">
        <v>291</v>
      </c>
      <c r="B183" s="69">
        <v>25528</v>
      </c>
      <c r="C183" s="69">
        <v>905</v>
      </c>
      <c r="D183" s="69">
        <v>1895.1420879999998</v>
      </c>
      <c r="E183" s="70">
        <v>3.5451269194609843E-2</v>
      </c>
      <c r="F183" s="69">
        <v>24623</v>
      </c>
      <c r="G183" s="70">
        <v>3.6754254152621534E-2</v>
      </c>
      <c r="H183" s="71">
        <v>43900</v>
      </c>
      <c r="I183" s="72" t="s">
        <v>188</v>
      </c>
    </row>
    <row r="184" spans="1:9" x14ac:dyDescent="0.25">
      <c r="A184" s="68" t="s">
        <v>292</v>
      </c>
      <c r="B184" s="69">
        <v>30830</v>
      </c>
      <c r="C184" s="69">
        <v>679</v>
      </c>
      <c r="D184" s="69">
        <v>1176.4316660000002</v>
      </c>
      <c r="E184" s="70">
        <v>2.2024002594875122E-2</v>
      </c>
      <c r="F184" s="69">
        <v>30151</v>
      </c>
      <c r="G184" s="70">
        <v>2.251998275347418E-2</v>
      </c>
      <c r="H184" s="71">
        <v>43900</v>
      </c>
      <c r="I184" s="72" t="s">
        <v>189</v>
      </c>
    </row>
    <row r="185" spans="1:9" x14ac:dyDescent="0.25">
      <c r="A185" s="68" t="s">
        <v>293</v>
      </c>
      <c r="B185" s="69">
        <v>13055</v>
      </c>
      <c r="C185" s="69">
        <v>440</v>
      </c>
      <c r="D185" s="69">
        <v>877.05585999999994</v>
      </c>
      <c r="E185" s="70">
        <v>3.3703561853695899E-2</v>
      </c>
      <c r="F185" s="69">
        <v>12615</v>
      </c>
      <c r="G185" s="70">
        <v>3.4879112168053901E-2</v>
      </c>
      <c r="H185" s="1">
        <v>43901</v>
      </c>
      <c r="I185" s="2" t="s">
        <v>189</v>
      </c>
    </row>
    <row r="186" spans="1:9" x14ac:dyDescent="0.25">
      <c r="A186" s="12" t="s">
        <v>296</v>
      </c>
      <c r="B186" s="49">
        <v>24629</v>
      </c>
      <c r="C186" s="49">
        <v>881</v>
      </c>
      <c r="D186" s="20">
        <v>2047.8003320000003</v>
      </c>
      <c r="E186" s="15">
        <v>3.5770839254537334E-2</v>
      </c>
      <c r="F186" s="79">
        <v>23748</v>
      </c>
      <c r="G186" s="37">
        <v>3.7097860872494524E-2</v>
      </c>
    </row>
    <row r="187" spans="1:9" x14ac:dyDescent="0.25">
      <c r="A187" s="12" t="s">
        <v>297</v>
      </c>
      <c r="B187" s="49">
        <v>13990</v>
      </c>
      <c r="C187" s="49">
        <v>1364</v>
      </c>
      <c r="D187" s="20">
        <v>2613.663728</v>
      </c>
      <c r="E187" s="15">
        <v>9.7498213009292345E-2</v>
      </c>
      <c r="F187" s="79">
        <v>12626</v>
      </c>
      <c r="G187" s="37">
        <v>0.10803104704577855</v>
      </c>
    </row>
    <row r="188" spans="1:9" x14ac:dyDescent="0.25">
      <c r="A188" s="12" t="s">
        <v>294</v>
      </c>
      <c r="B188" s="49">
        <v>9170</v>
      </c>
      <c r="C188" s="49">
        <v>520</v>
      </c>
      <c r="D188" s="20">
        <v>893.17421000000002</v>
      </c>
      <c r="E188" s="15">
        <v>5.6706652126499453E-2</v>
      </c>
      <c r="F188" s="79">
        <v>8650</v>
      </c>
      <c r="G188" s="37">
        <v>6.0115606936416183E-2</v>
      </c>
    </row>
    <row r="189" spans="1:9" x14ac:dyDescent="0.25">
      <c r="A189" s="12" t="s">
        <v>298</v>
      </c>
      <c r="B189" s="49">
        <v>32771</v>
      </c>
      <c r="C189" s="49">
        <v>963</v>
      </c>
      <c r="D189" s="20">
        <v>2260.9469199999999</v>
      </c>
      <c r="E189" s="15">
        <v>2.938573738976534E-2</v>
      </c>
      <c r="F189" s="79">
        <v>31808</v>
      </c>
      <c r="G189" s="37">
        <v>3.027540241448692E-2</v>
      </c>
    </row>
    <row r="190" spans="1:9" x14ac:dyDescent="0.25">
      <c r="A190" s="12" t="s">
        <v>299</v>
      </c>
      <c r="B190" s="49">
        <v>33498.400000000001</v>
      </c>
      <c r="C190" s="49">
        <v>672</v>
      </c>
      <c r="D190" s="20">
        <v>1411.114372</v>
      </c>
      <c r="E190" s="15">
        <v>2.0060659613593483E-2</v>
      </c>
      <c r="F190" s="79">
        <v>32826.400000000001</v>
      </c>
      <c r="G190" s="37">
        <v>2.0471327955547972E-2</v>
      </c>
    </row>
    <row r="191" spans="1:9" x14ac:dyDescent="0.25">
      <c r="A191" s="12" t="s">
        <v>300</v>
      </c>
      <c r="B191" s="49">
        <v>18007.8</v>
      </c>
      <c r="C191" s="49">
        <v>567</v>
      </c>
      <c r="D191" s="20">
        <v>1417.39805</v>
      </c>
      <c r="E191" s="15">
        <v>3.1486355912437945E-2</v>
      </c>
      <c r="F191" s="79">
        <v>17440.8</v>
      </c>
      <c r="G191" s="37">
        <v>3.250997660657768E-2</v>
      </c>
    </row>
    <row r="192" spans="1:9" x14ac:dyDescent="0.25">
      <c r="A192" s="12" t="s">
        <v>301</v>
      </c>
      <c r="B192" s="49">
        <v>35319.199999999997</v>
      </c>
      <c r="C192" s="49">
        <v>780</v>
      </c>
      <c r="D192" s="20">
        <v>1761.7311520000001</v>
      </c>
      <c r="E192" s="15">
        <v>2.2084305420281322E-2</v>
      </c>
      <c r="F192" s="79">
        <v>34539.199999999997</v>
      </c>
      <c r="G192" s="37">
        <v>2.2583036086533562E-2</v>
      </c>
    </row>
    <row r="193" spans="1:7" x14ac:dyDescent="0.25">
      <c r="A193" s="12" t="s">
        <v>302</v>
      </c>
      <c r="B193" s="49">
        <v>14859</v>
      </c>
      <c r="C193" s="49">
        <v>59</v>
      </c>
      <c r="D193" s="20">
        <v>112.95695600000001</v>
      </c>
      <c r="E193" s="15">
        <v>3.9706575139646007E-3</v>
      </c>
      <c r="F193" s="79">
        <v>14800</v>
      </c>
      <c r="G193" s="37">
        <v>3.9864864864864865E-3</v>
      </c>
    </row>
    <row r="194" spans="1:7" x14ac:dyDescent="0.25">
      <c r="A194" s="12" t="s">
        <v>303</v>
      </c>
      <c r="B194" s="49">
        <v>26622.400000000001</v>
      </c>
      <c r="C194" s="49">
        <v>556</v>
      </c>
      <c r="D194" s="20">
        <v>1274.76602</v>
      </c>
      <c r="E194" s="15">
        <v>2.0884668549792654E-2</v>
      </c>
      <c r="F194" s="79">
        <v>26066.400000000001</v>
      </c>
      <c r="G194" s="37">
        <v>2.1330141484823373E-2</v>
      </c>
    </row>
    <row r="195" spans="1:7" x14ac:dyDescent="0.25">
      <c r="A195" s="12" t="s">
        <v>304</v>
      </c>
      <c r="B195" s="49">
        <v>9003</v>
      </c>
      <c r="C195" s="49">
        <v>3</v>
      </c>
      <c r="D195" s="20">
        <v>5.8524480000000008</v>
      </c>
      <c r="E195" s="15">
        <v>3.332222592469177E-4</v>
      </c>
      <c r="F195" s="79">
        <v>9000</v>
      </c>
      <c r="G195" s="37">
        <v>3.3333333333333332E-4</v>
      </c>
    </row>
    <row r="196" spans="1:7" x14ac:dyDescent="0.25">
      <c r="A196" s="12" t="s">
        <v>305</v>
      </c>
      <c r="B196" s="49">
        <v>10003</v>
      </c>
      <c r="C196" s="49">
        <v>3</v>
      </c>
      <c r="D196" s="20">
        <v>5.8524480000000008</v>
      </c>
      <c r="E196" s="15">
        <v>2.9991002699190244E-4</v>
      </c>
      <c r="F196" s="79">
        <v>10000</v>
      </c>
      <c r="G196" s="37">
        <v>2.9999999999999997E-4</v>
      </c>
    </row>
    <row r="197" spans="1:7" x14ac:dyDescent="0.25">
      <c r="A197" s="12" t="s">
        <v>306</v>
      </c>
      <c r="B197" s="49">
        <v>5017</v>
      </c>
      <c r="C197" s="49">
        <v>17</v>
      </c>
      <c r="D197" s="20">
        <v>33.163872000000005</v>
      </c>
      <c r="E197" s="15">
        <v>3.3884791708192145E-3</v>
      </c>
      <c r="F197" s="79">
        <v>5000</v>
      </c>
      <c r="G197" s="37">
        <v>3.3999999999999998E-3</v>
      </c>
    </row>
    <row r="198" spans="1:7" x14ac:dyDescent="0.25">
      <c r="A198" s="12" t="s">
        <v>307</v>
      </c>
      <c r="B198" s="49">
        <v>12003</v>
      </c>
      <c r="C198" s="49">
        <v>3</v>
      </c>
      <c r="D198" s="20">
        <v>5.8524480000000008</v>
      </c>
      <c r="E198" s="15">
        <v>2.4993751562109475E-4</v>
      </c>
      <c r="F198" s="79">
        <v>12000</v>
      </c>
      <c r="G198" s="37">
        <v>2.5000000000000001E-4</v>
      </c>
    </row>
    <row r="199" spans="1:7" x14ac:dyDescent="0.25">
      <c r="A199" s="12" t="s">
        <v>308</v>
      </c>
      <c r="B199" s="49">
        <v>13951.2</v>
      </c>
      <c r="C199" s="49">
        <v>450</v>
      </c>
      <c r="D199" s="20">
        <v>826.76344200000005</v>
      </c>
      <c r="E199" s="15">
        <v>3.2255289867538277E-2</v>
      </c>
      <c r="F199" s="79">
        <v>13501.2</v>
      </c>
      <c r="G199" s="37">
        <v>3.3330370633721448E-2</v>
      </c>
    </row>
    <row r="200" spans="1:7" x14ac:dyDescent="0.25">
      <c r="A200" s="12" t="s">
        <v>309</v>
      </c>
      <c r="B200" s="49">
        <v>16907.2</v>
      </c>
      <c r="C200" s="49">
        <v>492</v>
      </c>
      <c r="D200" s="20">
        <v>944.31140400000004</v>
      </c>
      <c r="E200" s="15">
        <v>2.91000283902716E-2</v>
      </c>
      <c r="F200" s="79">
        <v>16415.2</v>
      </c>
      <c r="G200" s="37">
        <v>2.9972220868463375E-2</v>
      </c>
    </row>
    <row r="201" spans="1:7" x14ac:dyDescent="0.25">
      <c r="A201" s="12" t="s">
        <v>310</v>
      </c>
      <c r="B201" s="49">
        <v>23646.92</v>
      </c>
      <c r="C201" s="49">
        <v>513</v>
      </c>
      <c r="D201" s="20">
        <v>1038.5954340000001</v>
      </c>
      <c r="E201" s="15">
        <v>2.1694157209480137E-2</v>
      </c>
      <c r="F201" s="79">
        <v>23133.919999999998</v>
      </c>
      <c r="G201" s="37">
        <v>2.2175230138255862E-2</v>
      </c>
    </row>
    <row r="202" spans="1:7" x14ac:dyDescent="0.25">
      <c r="A202" s="12" t="s">
        <v>311</v>
      </c>
      <c r="B202" s="49">
        <v>26327.200000000001</v>
      </c>
      <c r="C202" s="49">
        <v>312</v>
      </c>
      <c r="D202" s="20">
        <v>611.72175600000003</v>
      </c>
      <c r="E202" s="15">
        <v>1.1850861466468139E-2</v>
      </c>
      <c r="F202" s="79">
        <v>26015.200000000001</v>
      </c>
      <c r="G202" s="37">
        <v>1.1992988714290108E-2</v>
      </c>
    </row>
    <row r="203" spans="1:7" x14ac:dyDescent="0.25">
      <c r="A203" s="12" t="s">
        <v>312</v>
      </c>
      <c r="B203" s="49">
        <v>10233.799999999999</v>
      </c>
      <c r="C203" s="49">
        <v>393</v>
      </c>
      <c r="D203" s="20">
        <v>754.03234800000007</v>
      </c>
      <c r="E203" s="15">
        <v>3.8402157556332937E-2</v>
      </c>
      <c r="F203" s="79">
        <v>9840.7999999999993</v>
      </c>
      <c r="G203" s="37">
        <v>3.9935777579058619E-2</v>
      </c>
    </row>
    <row r="204" spans="1:7" x14ac:dyDescent="0.25">
      <c r="A204" s="12" t="s">
        <v>313</v>
      </c>
      <c r="B204" s="49">
        <v>25862.2</v>
      </c>
      <c r="C204" s="49">
        <v>419</v>
      </c>
      <c r="D204" s="20">
        <v>972.65565200000003</v>
      </c>
      <c r="E204" s="15">
        <v>1.6201251246993682E-2</v>
      </c>
      <c r="F204" s="79">
        <v>25443.200000000001</v>
      </c>
      <c r="G204" s="37">
        <v>1.6468054332788327E-2</v>
      </c>
    </row>
    <row r="205" spans="1:7" x14ac:dyDescent="0.25">
      <c r="A205" s="12" t="s">
        <v>314</v>
      </c>
      <c r="B205" s="49">
        <v>25305.8</v>
      </c>
      <c r="C205" s="49">
        <v>525</v>
      </c>
      <c r="D205" s="20">
        <v>1099.454342</v>
      </c>
      <c r="E205" s="15">
        <v>2.0746232089086297E-2</v>
      </c>
      <c r="F205" s="79">
        <v>24780.799999999999</v>
      </c>
      <c r="G205" s="37">
        <v>2.1185756714876033E-2</v>
      </c>
    </row>
    <row r="206" spans="1:7" x14ac:dyDescent="0.25">
      <c r="A206" s="12" t="s">
        <v>315</v>
      </c>
      <c r="B206" s="49">
        <v>13774.8</v>
      </c>
      <c r="C206" s="49">
        <v>334</v>
      </c>
      <c r="D206" s="20">
        <v>842.73510999999996</v>
      </c>
      <c r="E206" s="15">
        <v>2.4247176002555392E-2</v>
      </c>
      <c r="F206" s="79">
        <v>13440.8</v>
      </c>
      <c r="G206" s="37">
        <v>2.4849711326706745E-2</v>
      </c>
    </row>
    <row r="207" spans="1:7" x14ac:dyDescent="0.25">
      <c r="A207" s="12" t="s">
        <v>316</v>
      </c>
      <c r="B207" s="49">
        <v>26121.4</v>
      </c>
      <c r="C207" s="49">
        <v>515</v>
      </c>
      <c r="D207" s="20">
        <v>1239.150296</v>
      </c>
      <c r="E207" s="15">
        <v>1.9715635455986279E-2</v>
      </c>
      <c r="F207" s="79">
        <v>25606.400000000001</v>
      </c>
      <c r="G207" s="37">
        <v>2.0112159460134966E-2</v>
      </c>
    </row>
    <row r="208" spans="1:7" x14ac:dyDescent="0.25">
      <c r="A208" s="12" t="s">
        <v>317</v>
      </c>
      <c r="B208" s="49">
        <v>26870.799999999999</v>
      </c>
      <c r="C208" s="49">
        <v>490</v>
      </c>
      <c r="D208" s="20">
        <v>958.75418400000001</v>
      </c>
      <c r="E208" s="15">
        <v>1.8235407952126474E-2</v>
      </c>
      <c r="F208" s="79">
        <v>26380.799999999999</v>
      </c>
      <c r="G208" s="37">
        <v>1.8574114507520622E-2</v>
      </c>
    </row>
    <row r="209" spans="1:7" x14ac:dyDescent="0.25">
      <c r="A209" s="12" t="s">
        <v>318</v>
      </c>
      <c r="B209" s="49">
        <v>16288.8</v>
      </c>
      <c r="C209" s="49">
        <v>508</v>
      </c>
      <c r="D209" s="20">
        <v>1260.6336200000001</v>
      </c>
      <c r="E209" s="15">
        <v>3.1187073326457444E-2</v>
      </c>
      <c r="F209" s="79">
        <v>15780.8</v>
      </c>
      <c r="G209" s="37">
        <v>3.2191016931967964E-2</v>
      </c>
    </row>
    <row r="210" spans="1:7" x14ac:dyDescent="0.25">
      <c r="A210" s="12" t="s">
        <v>319</v>
      </c>
      <c r="B210" s="49">
        <v>19835.8</v>
      </c>
      <c r="C210" s="49">
        <v>379</v>
      </c>
      <c r="D210" s="20">
        <v>954.53809999999999</v>
      </c>
      <c r="E210" s="15">
        <v>1.9106867381199651E-2</v>
      </c>
      <c r="F210" s="79">
        <v>19456.8</v>
      </c>
      <c r="G210" s="37">
        <v>1.9479051025862424E-2</v>
      </c>
    </row>
    <row r="211" spans="1:7" x14ac:dyDescent="0.25">
      <c r="A211" s="12" t="s">
        <v>320</v>
      </c>
      <c r="B211" s="49">
        <v>13696.8</v>
      </c>
      <c r="C211" s="49">
        <v>316</v>
      </c>
      <c r="D211" s="20">
        <v>600.15589</v>
      </c>
      <c r="E211" s="15">
        <v>2.3071082296594825E-2</v>
      </c>
      <c r="F211" s="79">
        <v>13380.8</v>
      </c>
      <c r="G211" s="37">
        <v>2.3615927298816217E-2</v>
      </c>
    </row>
    <row r="212" spans="1:7" x14ac:dyDescent="0.25">
      <c r="A212" s="12" t="s">
        <v>321</v>
      </c>
      <c r="B212" s="49">
        <v>15929.6</v>
      </c>
      <c r="C212" s="49">
        <v>236</v>
      </c>
      <c r="D212" s="20">
        <v>426.82219000000003</v>
      </c>
      <c r="E212" s="15">
        <v>1.4815186822016874E-2</v>
      </c>
      <c r="F212" s="79">
        <v>15693.6</v>
      </c>
      <c r="G212" s="37">
        <v>1.5037977264617423E-2</v>
      </c>
    </row>
    <row r="213" spans="1:7" x14ac:dyDescent="0.25">
      <c r="A213" s="12" t="s">
        <v>322</v>
      </c>
      <c r="B213" s="49">
        <v>7367</v>
      </c>
      <c r="C213" s="49">
        <v>239</v>
      </c>
      <c r="D213" s="20">
        <v>456.91541999999998</v>
      </c>
      <c r="E213" s="15">
        <v>3.2441970951540652E-2</v>
      </c>
      <c r="F213" s="79">
        <v>7128</v>
      </c>
      <c r="G213" s="37">
        <v>3.3529741863075196E-2</v>
      </c>
    </row>
    <row r="214" spans="1:7" x14ac:dyDescent="0.25">
      <c r="A214" s="12" t="s">
        <v>323</v>
      </c>
      <c r="B214" s="49">
        <v>7831.48</v>
      </c>
      <c r="C214" s="49">
        <v>355</v>
      </c>
      <c r="D214" s="20">
        <v>678.68190000000004</v>
      </c>
      <c r="E214" s="15">
        <v>4.5329873791416182E-2</v>
      </c>
      <c r="F214" s="79">
        <v>7476.48</v>
      </c>
      <c r="G214" s="37">
        <v>4.7482237630542719E-2</v>
      </c>
    </row>
    <row r="215" spans="1:7" x14ac:dyDescent="0.25">
      <c r="A215" s="12" t="s">
        <v>324</v>
      </c>
      <c r="B215" s="49">
        <v>8847.6</v>
      </c>
      <c r="C215" s="49">
        <v>294</v>
      </c>
      <c r="D215" s="20">
        <v>562.06331999999998</v>
      </c>
      <c r="E215" s="15">
        <v>3.3229350332293503E-2</v>
      </c>
      <c r="F215" s="79">
        <v>8553.6</v>
      </c>
      <c r="G215" s="37">
        <v>3.4371492704826034E-2</v>
      </c>
    </row>
    <row r="216" spans="1:7" x14ac:dyDescent="0.25">
      <c r="A216" s="12" t="s">
        <v>325</v>
      </c>
      <c r="B216" s="49">
        <v>11027</v>
      </c>
      <c r="C216" s="49">
        <v>27</v>
      </c>
      <c r="D216" s="20">
        <v>39.194010000000006</v>
      </c>
      <c r="E216" s="15">
        <v>2.4485354130769927E-3</v>
      </c>
      <c r="F216" s="79">
        <v>11000</v>
      </c>
      <c r="G216" s="37">
        <v>2.4545454545454545E-3</v>
      </c>
    </row>
    <row r="217" spans="1:7" x14ac:dyDescent="0.25">
      <c r="A217" s="12" t="s">
        <v>326</v>
      </c>
      <c r="B217" s="49">
        <v>10013</v>
      </c>
      <c r="C217" s="49">
        <v>13</v>
      </c>
      <c r="D217" s="20">
        <v>18.871190000000002</v>
      </c>
      <c r="E217" s="15">
        <v>1.2983121941476082E-3</v>
      </c>
      <c r="F217" s="79">
        <v>10000</v>
      </c>
      <c r="G217" s="37">
        <v>1.2999999999999999E-3</v>
      </c>
    </row>
    <row r="218" spans="1:7" x14ac:dyDescent="0.25">
      <c r="A218" s="12" t="s">
        <v>327</v>
      </c>
      <c r="B218" s="49">
        <v>16186.1</v>
      </c>
      <c r="C218" s="49">
        <v>459</v>
      </c>
      <c r="D218" s="20">
        <v>804.85937999999999</v>
      </c>
      <c r="E218" s="15">
        <v>2.8357664910015384E-2</v>
      </c>
      <c r="F218" s="79">
        <v>15727.1</v>
      </c>
      <c r="G218" s="37">
        <v>2.9185291630370508E-2</v>
      </c>
    </row>
    <row r="219" spans="1:7" x14ac:dyDescent="0.25">
      <c r="A219" s="12" t="s">
        <v>328</v>
      </c>
      <c r="B219" s="49">
        <v>13503.9</v>
      </c>
      <c r="C219" s="49">
        <v>340</v>
      </c>
      <c r="D219" s="20">
        <v>639.88190000000009</v>
      </c>
      <c r="E219" s="15">
        <v>2.5177911566288257E-2</v>
      </c>
      <c r="F219" s="79">
        <v>13163.9</v>
      </c>
      <c r="G219" s="37">
        <v>2.5828212004041357E-2</v>
      </c>
    </row>
    <row r="220" spans="1:7" x14ac:dyDescent="0.25">
      <c r="A220" s="12" t="s">
        <v>329</v>
      </c>
      <c r="B220" s="49">
        <v>2789.5</v>
      </c>
      <c r="C220" s="49">
        <v>202</v>
      </c>
      <c r="D220" s="20">
        <v>386.17955999999998</v>
      </c>
      <c r="E220" s="15">
        <v>7.2414411184800145E-2</v>
      </c>
      <c r="F220" s="79">
        <v>2587.5</v>
      </c>
      <c r="G220" s="37">
        <v>7.8067632850241542E-2</v>
      </c>
    </row>
    <row r="221" spans="1:7" x14ac:dyDescent="0.25">
      <c r="A221" s="12" t="s">
        <v>330</v>
      </c>
      <c r="B221" s="49">
        <v>26424.799999999999</v>
      </c>
      <c r="C221" s="49">
        <v>464</v>
      </c>
      <c r="D221" s="20">
        <v>949.30482000000006</v>
      </c>
      <c r="E221" s="15">
        <v>1.755926251097454E-2</v>
      </c>
      <c r="F221" s="79">
        <v>25960.799999999999</v>
      </c>
      <c r="G221" s="37">
        <v>1.7873100983020553E-2</v>
      </c>
    </row>
    <row r="222" spans="1:7" x14ac:dyDescent="0.25">
      <c r="A222" s="12" t="s">
        <v>331</v>
      </c>
      <c r="B222" s="49">
        <v>16531.8</v>
      </c>
      <c r="C222" s="49">
        <v>399</v>
      </c>
      <c r="D222" s="20">
        <v>832.18876999999998</v>
      </c>
      <c r="E222" s="15">
        <v>2.4135302870830763E-2</v>
      </c>
      <c r="F222" s="79">
        <v>16132.8</v>
      </c>
      <c r="G222" s="37">
        <v>2.4732222552811663E-2</v>
      </c>
    </row>
    <row r="223" spans="1:7" x14ac:dyDescent="0.25">
      <c r="A223" s="12" t="s">
        <v>332</v>
      </c>
      <c r="B223" s="49">
        <v>7109.5</v>
      </c>
      <c r="C223" s="49">
        <v>313</v>
      </c>
      <c r="D223" s="20">
        <v>598.50424799999996</v>
      </c>
      <c r="E223" s="15">
        <v>4.4025599549898022E-2</v>
      </c>
      <c r="F223" s="79">
        <v>6796.5</v>
      </c>
      <c r="G223" s="37">
        <v>4.6053115574192602E-2</v>
      </c>
    </row>
    <row r="224" spans="1:7" x14ac:dyDescent="0.25">
      <c r="A224" s="12" t="s">
        <v>333</v>
      </c>
      <c r="B224" s="49">
        <v>26195.8</v>
      </c>
      <c r="C224" s="49">
        <v>435</v>
      </c>
      <c r="D224" s="20">
        <v>1011.96581</v>
      </c>
      <c r="E224" s="15">
        <v>1.6605715420029164E-2</v>
      </c>
      <c r="F224" s="79">
        <v>25760.799999999999</v>
      </c>
      <c r="G224" s="37">
        <v>1.6886121549020219E-2</v>
      </c>
    </row>
    <row r="225" spans="1:7" x14ac:dyDescent="0.25">
      <c r="A225" s="12" t="s">
        <v>334</v>
      </c>
      <c r="B225" s="49">
        <v>16942.72</v>
      </c>
      <c r="C225" s="49">
        <v>272</v>
      </c>
      <c r="D225" s="20">
        <v>639.38175000000001</v>
      </c>
      <c r="E225" s="15">
        <v>1.6054092849318174E-2</v>
      </c>
      <c r="F225" s="79">
        <v>16670.72</v>
      </c>
      <c r="G225" s="37">
        <v>1.6316031941031942E-2</v>
      </c>
    </row>
    <row r="226" spans="1:7" x14ac:dyDescent="0.25">
      <c r="A226" s="12" t="s">
        <v>335</v>
      </c>
      <c r="B226" s="49">
        <v>14359.6</v>
      </c>
      <c r="C226" s="49">
        <v>362</v>
      </c>
      <c r="D226" s="20">
        <v>777.31315000000006</v>
      </c>
      <c r="E226" s="15">
        <v>2.5209615866737235E-2</v>
      </c>
      <c r="F226" s="79">
        <v>13997.6</v>
      </c>
      <c r="G226" s="37">
        <v>2.5861576270217752E-2</v>
      </c>
    </row>
    <row r="227" spans="1:7" x14ac:dyDescent="0.25">
      <c r="A227" s="12" t="s">
        <v>336</v>
      </c>
      <c r="B227" s="49">
        <v>23419.200000000001</v>
      </c>
      <c r="C227" s="49">
        <v>552</v>
      </c>
      <c r="D227" s="20">
        <v>1290.30333</v>
      </c>
      <c r="E227" s="15">
        <v>2.3570403771264601E-2</v>
      </c>
      <c r="F227" s="79">
        <v>22867.200000000001</v>
      </c>
      <c r="G227" s="37">
        <v>2.4139378673383709E-2</v>
      </c>
    </row>
    <row r="228" spans="1:7" x14ac:dyDescent="0.25">
      <c r="A228" s="12" t="s">
        <v>337</v>
      </c>
      <c r="B228" s="49">
        <v>22762.6</v>
      </c>
      <c r="C228" s="49">
        <v>473</v>
      </c>
      <c r="D228" s="20">
        <v>1015.7883200000001</v>
      </c>
      <c r="E228" s="15">
        <v>2.0779700034266737E-2</v>
      </c>
      <c r="F228" s="79">
        <v>22289.599999999999</v>
      </c>
      <c r="G228" s="37">
        <v>2.1220658962027135E-2</v>
      </c>
    </row>
    <row r="229" spans="1:7" x14ac:dyDescent="0.25">
      <c r="A229" s="12" t="s">
        <v>338</v>
      </c>
      <c r="B229" s="49">
        <v>8689.2000000000007</v>
      </c>
      <c r="C229" s="49">
        <v>262</v>
      </c>
      <c r="D229" s="20">
        <v>501.38161000000002</v>
      </c>
      <c r="E229" s="15">
        <v>3.015237306081112E-2</v>
      </c>
      <c r="F229" s="79">
        <v>8427.2000000000007</v>
      </c>
      <c r="G229" s="37">
        <v>3.1089804442756785E-2</v>
      </c>
    </row>
    <row r="230" spans="1:7" x14ac:dyDescent="0.25">
      <c r="A230" s="12" t="s">
        <v>339</v>
      </c>
      <c r="B230" s="49">
        <v>14837.8</v>
      </c>
      <c r="C230" s="49">
        <v>535</v>
      </c>
      <c r="D230" s="20">
        <v>1149.2921900000001</v>
      </c>
      <c r="E230" s="15">
        <v>3.6056558249875317E-2</v>
      </c>
      <c r="F230" s="79">
        <v>14302.8</v>
      </c>
      <c r="G230" s="37">
        <v>3.7405263305087116E-2</v>
      </c>
    </row>
    <row r="231" spans="1:7" x14ac:dyDescent="0.25">
      <c r="A231" s="12" t="s">
        <v>340</v>
      </c>
      <c r="B231" s="49">
        <v>17477.599999999999</v>
      </c>
      <c r="C231" s="49">
        <v>588</v>
      </c>
      <c r="D231" s="20">
        <v>1261.9824599999999</v>
      </c>
      <c r="E231" s="15">
        <v>3.3643063120794618E-2</v>
      </c>
      <c r="F231" s="79">
        <v>16889.599999999999</v>
      </c>
      <c r="G231" s="37">
        <v>3.4814323607427061E-2</v>
      </c>
    </row>
    <row r="232" spans="1:7" x14ac:dyDescent="0.25">
      <c r="A232" s="12" t="s">
        <v>341</v>
      </c>
      <c r="B232" s="49">
        <v>4345.88</v>
      </c>
      <c r="C232" s="49">
        <v>371</v>
      </c>
      <c r="D232" s="20">
        <v>707.56</v>
      </c>
      <c r="E232" s="15">
        <v>8.536821081115907E-2</v>
      </c>
      <c r="F232" s="79">
        <v>3974.88</v>
      </c>
      <c r="G232" s="37">
        <v>9.3336151028458714E-2</v>
      </c>
    </row>
    <row r="233" spans="1:7" x14ac:dyDescent="0.25">
      <c r="A233" s="12" t="s">
        <v>342</v>
      </c>
      <c r="B233" s="49">
        <v>5890.4</v>
      </c>
      <c r="C233" s="49">
        <v>212</v>
      </c>
      <c r="D233" s="20">
        <v>415.52</v>
      </c>
      <c r="E233" s="15">
        <v>3.5990764633980717E-2</v>
      </c>
      <c r="F233" s="79">
        <v>5678.4</v>
      </c>
      <c r="G233" s="37">
        <v>3.733446041138349E-2</v>
      </c>
    </row>
    <row r="234" spans="1:7" x14ac:dyDescent="0.25">
      <c r="A234" s="12" t="s">
        <v>343</v>
      </c>
      <c r="B234" s="49">
        <v>2435.36</v>
      </c>
      <c r="C234" s="49">
        <v>164</v>
      </c>
      <c r="D234" s="20">
        <v>321.44</v>
      </c>
      <c r="E234" s="15">
        <v>6.7341173378884428E-2</v>
      </c>
      <c r="F234" s="79">
        <v>2271.36</v>
      </c>
      <c r="G234" s="37">
        <v>7.2203437588052963E-2</v>
      </c>
    </row>
    <row r="235" spans="1:7" x14ac:dyDescent="0.25">
      <c r="A235" s="12" t="s">
        <v>344</v>
      </c>
      <c r="B235" s="49">
        <v>2843.95</v>
      </c>
      <c r="C235" s="49">
        <v>4.75</v>
      </c>
      <c r="D235" s="20">
        <v>9.31</v>
      </c>
      <c r="E235" s="15">
        <v>1.6702122048559223E-3</v>
      </c>
      <c r="F235" s="79">
        <v>2839.2</v>
      </c>
      <c r="G235" s="37">
        <v>1.6730064806987886E-3</v>
      </c>
    </row>
    <row r="236" spans="1:7" x14ac:dyDescent="0.25">
      <c r="A236" s="12" t="s">
        <v>345</v>
      </c>
      <c r="B236" s="49">
        <v>6267.4</v>
      </c>
      <c r="C236" s="49">
        <v>339</v>
      </c>
      <c r="D236" s="20">
        <v>663.80630400000007</v>
      </c>
      <c r="E236" s="15">
        <v>5.4089415068449442E-2</v>
      </c>
      <c r="F236" s="79">
        <v>5928.4</v>
      </c>
      <c r="G236" s="37">
        <v>5.7182376357870594E-2</v>
      </c>
    </row>
    <row r="237" spans="1:7" x14ac:dyDescent="0.25">
      <c r="A237" s="12" t="s">
        <v>346</v>
      </c>
      <c r="B237" s="49">
        <v>5959.8</v>
      </c>
      <c r="C237" s="49">
        <v>458</v>
      </c>
      <c r="D237" s="20">
        <v>897.56979200000001</v>
      </c>
      <c r="E237" s="15">
        <v>7.6848216383100104E-2</v>
      </c>
      <c r="F237" s="79">
        <v>5501.8</v>
      </c>
      <c r="G237" s="37">
        <v>8.3245483296375725E-2</v>
      </c>
    </row>
    <row r="238" spans="1:7" x14ac:dyDescent="0.25">
      <c r="A238" s="12" t="s">
        <v>347</v>
      </c>
      <c r="B238" s="49">
        <v>5528.56</v>
      </c>
      <c r="C238" s="49">
        <v>418</v>
      </c>
      <c r="D238" s="20">
        <v>819.28</v>
      </c>
      <c r="E238" s="15">
        <v>7.560739143646808E-2</v>
      </c>
      <c r="F238" s="79">
        <v>5110.5600000000004</v>
      </c>
      <c r="G238" s="37">
        <v>8.1791427945274095E-2</v>
      </c>
    </row>
    <row r="239" spans="1:7" x14ac:dyDescent="0.25">
      <c r="A239" s="12" t="s">
        <v>348</v>
      </c>
      <c r="B239" s="49">
        <v>13565.560000000001</v>
      </c>
      <c r="C239" s="49">
        <v>455</v>
      </c>
      <c r="D239" s="20">
        <v>1133.5887499999999</v>
      </c>
      <c r="E239" s="15">
        <v>3.3540819545967875E-2</v>
      </c>
      <c r="F239" s="79">
        <v>13110.560000000001</v>
      </c>
      <c r="G239" s="37">
        <v>3.4704848610585662E-2</v>
      </c>
    </row>
    <row r="240" spans="1:7" x14ac:dyDescent="0.25">
      <c r="A240" s="12" t="s">
        <v>349</v>
      </c>
      <c r="B240" s="49">
        <v>12363.04</v>
      </c>
      <c r="C240" s="49">
        <v>956</v>
      </c>
      <c r="D240" s="20">
        <v>1956.4985999999999</v>
      </c>
      <c r="E240" s="15">
        <v>7.7327259314861063E-2</v>
      </c>
      <c r="F240" s="79">
        <v>11407.04</v>
      </c>
      <c r="G240" s="37">
        <v>8.3807894072432457E-2</v>
      </c>
    </row>
    <row r="241" spans="1:7" x14ac:dyDescent="0.25">
      <c r="A241" s="12" t="s">
        <v>350</v>
      </c>
      <c r="B241" s="49">
        <v>21330.080000000002</v>
      </c>
      <c r="C241" s="49">
        <v>916</v>
      </c>
      <c r="D241" s="20">
        <v>1908.9191099999998</v>
      </c>
      <c r="E241" s="15">
        <v>4.2944048967467535E-2</v>
      </c>
      <c r="F241" s="79">
        <v>20414.080000000002</v>
      </c>
      <c r="G241" s="37">
        <v>4.4870991002288613E-2</v>
      </c>
    </row>
    <row r="242" spans="1:7" x14ac:dyDescent="0.25">
      <c r="A242" s="12" t="s">
        <v>351</v>
      </c>
      <c r="B242" s="49">
        <v>10665.36</v>
      </c>
      <c r="C242" s="49">
        <v>394</v>
      </c>
      <c r="D242" s="20">
        <v>1056.58357</v>
      </c>
      <c r="E242" s="15">
        <v>3.694202539811127E-2</v>
      </c>
      <c r="F242" s="79">
        <v>10271.36</v>
      </c>
      <c r="G242" s="37">
        <v>3.8359087793632E-2</v>
      </c>
    </row>
    <row r="243" spans="1:7" x14ac:dyDescent="0.25">
      <c r="A243" s="12" t="s">
        <v>352</v>
      </c>
      <c r="B243" s="49">
        <v>11964</v>
      </c>
      <c r="C243" s="49">
        <v>412</v>
      </c>
      <c r="D243" s="20">
        <v>863.12946999999997</v>
      </c>
      <c r="E243" s="15">
        <v>3.44366432631227E-2</v>
      </c>
      <c r="F243" s="79">
        <v>11552</v>
      </c>
      <c r="G243" s="37">
        <v>3.5664819944598337E-2</v>
      </c>
    </row>
    <row r="244" spans="1:7" x14ac:dyDescent="0.25">
      <c r="A244" s="12" t="s">
        <v>353</v>
      </c>
      <c r="B244" s="49">
        <v>5382.56</v>
      </c>
      <c r="C244" s="49">
        <v>272</v>
      </c>
      <c r="D244" s="20">
        <v>533.12</v>
      </c>
      <c r="E244" s="15">
        <v>5.0533575101810287E-2</v>
      </c>
      <c r="F244" s="79">
        <v>5110.5600000000004</v>
      </c>
      <c r="G244" s="37">
        <v>5.3223130146207068E-2</v>
      </c>
    </row>
    <row r="245" spans="1:7" x14ac:dyDescent="0.25">
      <c r="A245" s="12" t="s">
        <v>354</v>
      </c>
      <c r="B245" s="49">
        <v>17798.8</v>
      </c>
      <c r="C245" s="49">
        <v>770</v>
      </c>
      <c r="D245" s="20">
        <v>1656.44589</v>
      </c>
      <c r="E245" s="15">
        <v>4.3261343461356946E-2</v>
      </c>
      <c r="F245" s="79">
        <v>17028.8</v>
      </c>
      <c r="G245" s="37">
        <v>4.5217513858874382E-2</v>
      </c>
    </row>
    <row r="246" spans="1:7" x14ac:dyDescent="0.25">
      <c r="A246" s="12" t="s">
        <v>355</v>
      </c>
      <c r="B246" s="49">
        <v>18960.2</v>
      </c>
      <c r="C246" s="49">
        <v>793</v>
      </c>
      <c r="D246" s="20">
        <v>1290.4405280000001</v>
      </c>
      <c r="E246" s="15">
        <v>4.1824453328551385E-2</v>
      </c>
      <c r="F246" s="79">
        <v>18167.2</v>
      </c>
      <c r="G246" s="37">
        <v>4.3650094676119598E-2</v>
      </c>
    </row>
    <row r="247" spans="1:7" x14ac:dyDescent="0.25">
      <c r="A247" s="12" t="s">
        <v>356</v>
      </c>
      <c r="B247" s="49">
        <v>6419</v>
      </c>
      <c r="C247" s="49">
        <v>303</v>
      </c>
      <c r="D247" s="20">
        <v>560.15153999999995</v>
      </c>
      <c r="E247" s="15">
        <v>4.7203614270135537E-2</v>
      </c>
      <c r="F247" s="79">
        <v>6116</v>
      </c>
      <c r="G247" s="37">
        <v>4.9542184434270768E-2</v>
      </c>
    </row>
    <row r="248" spans="1:7" x14ac:dyDescent="0.25">
      <c r="A248" s="12" t="s">
        <v>357</v>
      </c>
      <c r="B248" s="49">
        <v>22503.200000000001</v>
      </c>
      <c r="C248" s="49">
        <v>540</v>
      </c>
      <c r="D248" s="20">
        <v>1134.1728779999999</v>
      </c>
      <c r="E248" s="15">
        <v>2.3996587152049484E-2</v>
      </c>
      <c r="F248" s="79">
        <v>21963.200000000001</v>
      </c>
      <c r="G248" s="37">
        <v>2.4586581190354773E-2</v>
      </c>
    </row>
    <row r="249" spans="1:7" x14ac:dyDescent="0.25">
      <c r="A249" s="12" t="s">
        <v>358</v>
      </c>
      <c r="B249" s="49">
        <v>16731.599999999999</v>
      </c>
      <c r="C249" s="49">
        <v>190</v>
      </c>
      <c r="D249" s="20">
        <v>317.083212</v>
      </c>
      <c r="E249" s="15">
        <v>1.1355757966960723E-2</v>
      </c>
      <c r="F249" s="79">
        <v>16541.599999999999</v>
      </c>
      <c r="G249" s="37">
        <v>1.1486192387677131E-2</v>
      </c>
    </row>
    <row r="250" spans="1:7" x14ac:dyDescent="0.25">
      <c r="A250" s="12" t="s">
        <v>359</v>
      </c>
      <c r="B250" s="49">
        <v>4831.3999999999996</v>
      </c>
      <c r="C250" s="49">
        <v>555</v>
      </c>
      <c r="D250" s="20">
        <v>1061.0379</v>
      </c>
      <c r="E250" s="15">
        <v>0.11487353562114502</v>
      </c>
      <c r="F250" s="79">
        <v>4276.3999999999996</v>
      </c>
      <c r="G250" s="37">
        <v>0.1297820596763633</v>
      </c>
    </row>
    <row r="251" spans="1:7" x14ac:dyDescent="0.25">
      <c r="A251" s="12" t="s">
        <v>360</v>
      </c>
      <c r="B251" s="49">
        <v>7007</v>
      </c>
      <c r="C251" s="49">
        <v>7</v>
      </c>
      <c r="D251" s="20">
        <v>13.655712000000001</v>
      </c>
      <c r="E251" s="15">
        <v>9.99000999000999E-4</v>
      </c>
      <c r="F251" s="79">
        <v>7000</v>
      </c>
      <c r="G251" s="37">
        <v>1E-3</v>
      </c>
    </row>
    <row r="252" spans="1:7" x14ac:dyDescent="0.25">
      <c r="A252" s="12" t="s">
        <v>361</v>
      </c>
      <c r="B252" s="49">
        <v>9028</v>
      </c>
      <c r="C252" s="49">
        <v>28</v>
      </c>
      <c r="D252" s="20">
        <v>35.114688000000001</v>
      </c>
      <c r="E252" s="15">
        <v>3.1014621178555605E-3</v>
      </c>
      <c r="F252" s="79">
        <v>9000</v>
      </c>
      <c r="G252" s="37">
        <v>3.1111111111111109E-3</v>
      </c>
    </row>
    <row r="253" spans="1:7" x14ac:dyDescent="0.25">
      <c r="A253" s="12" t="s">
        <v>362</v>
      </c>
      <c r="B253" s="49">
        <v>10025</v>
      </c>
      <c r="C253" s="49">
        <v>25</v>
      </c>
      <c r="D253" s="20">
        <v>48.770400000000002</v>
      </c>
      <c r="E253" s="15">
        <v>2.4937655860349127E-3</v>
      </c>
      <c r="F253" s="79">
        <v>10000</v>
      </c>
      <c r="G253" s="37">
        <v>2.5000000000000001E-3</v>
      </c>
    </row>
    <row r="254" spans="1:7" x14ac:dyDescent="0.25">
      <c r="A254" s="12" t="s">
        <v>363</v>
      </c>
      <c r="B254" s="49">
        <v>9002</v>
      </c>
      <c r="C254" s="49">
        <v>2</v>
      </c>
      <c r="D254" s="20">
        <v>3.9016320000000002</v>
      </c>
      <c r="E254" s="15">
        <v>2.2217285047767163E-4</v>
      </c>
      <c r="F254" s="79">
        <v>9000</v>
      </c>
      <c r="G254" s="37">
        <v>2.2222222222222223E-4</v>
      </c>
    </row>
    <row r="255" spans="1:7" x14ac:dyDescent="0.25">
      <c r="A255" s="12" t="s">
        <v>364</v>
      </c>
      <c r="B255" s="49">
        <v>12063.8</v>
      </c>
      <c r="C255" s="49">
        <v>375</v>
      </c>
      <c r="D255" s="20">
        <v>718.40086799999995</v>
      </c>
      <c r="E255" s="15">
        <v>3.1084732837082844E-2</v>
      </c>
      <c r="F255" s="79">
        <v>11688.8</v>
      </c>
      <c r="G255" s="37">
        <v>3.2081993018958324E-2</v>
      </c>
    </row>
    <row r="256" spans="1:7" x14ac:dyDescent="0.25">
      <c r="A256" s="12" t="s">
        <v>365</v>
      </c>
      <c r="B256" s="49">
        <v>11494.4</v>
      </c>
      <c r="C256" s="49">
        <v>480</v>
      </c>
      <c r="D256" s="20">
        <v>866.73898800000006</v>
      </c>
      <c r="E256" s="15">
        <v>4.1759465478841871E-2</v>
      </c>
      <c r="F256" s="79">
        <v>11014.4</v>
      </c>
      <c r="G256" s="37">
        <v>4.3579314352120861E-2</v>
      </c>
    </row>
    <row r="257" spans="1:7" x14ac:dyDescent="0.25">
      <c r="A257" s="12" t="s">
        <v>366</v>
      </c>
      <c r="B257" s="49">
        <v>15575</v>
      </c>
      <c r="C257" s="49">
        <v>459</v>
      </c>
      <c r="D257" s="20">
        <v>883.08916799999997</v>
      </c>
      <c r="E257" s="15">
        <v>2.9470304975922953E-2</v>
      </c>
      <c r="F257" s="79">
        <v>15116</v>
      </c>
      <c r="G257" s="37">
        <v>3.036517597247949E-2</v>
      </c>
    </row>
    <row r="258" spans="1:7" x14ac:dyDescent="0.25">
      <c r="A258" s="12" t="s">
        <v>367</v>
      </c>
      <c r="B258" s="49">
        <v>22694</v>
      </c>
      <c r="C258" s="49">
        <v>434</v>
      </c>
      <c r="D258" s="20">
        <v>833.03057999999999</v>
      </c>
      <c r="E258" s="15">
        <v>1.9123997532387416E-2</v>
      </c>
      <c r="F258" s="79">
        <v>22260</v>
      </c>
      <c r="G258" s="37">
        <v>1.9496855345911949E-2</v>
      </c>
    </row>
    <row r="259" spans="1:7" x14ac:dyDescent="0.25">
      <c r="A259" s="12" t="s">
        <v>368</v>
      </c>
      <c r="B259" s="49">
        <v>13174.6</v>
      </c>
      <c r="C259" s="49">
        <v>489</v>
      </c>
      <c r="D259" s="20">
        <v>916.36719600000004</v>
      </c>
      <c r="E259" s="15">
        <v>3.711687641370516E-2</v>
      </c>
      <c r="F259" s="79">
        <v>12685.6</v>
      </c>
      <c r="G259" s="37">
        <v>3.8547644573374534E-2</v>
      </c>
    </row>
    <row r="260" spans="1:7" x14ac:dyDescent="0.25">
      <c r="A260" s="12" t="s">
        <v>369</v>
      </c>
      <c r="B260" s="49">
        <v>19903.8</v>
      </c>
      <c r="C260" s="49">
        <v>599</v>
      </c>
      <c r="D260" s="20">
        <v>1140.945252</v>
      </c>
      <c r="E260" s="15">
        <v>3.0094755775279095E-2</v>
      </c>
      <c r="F260" s="79">
        <v>19304.8</v>
      </c>
      <c r="G260" s="37">
        <v>3.1028552484356223E-2</v>
      </c>
    </row>
    <row r="261" spans="1:7" x14ac:dyDescent="0.25">
      <c r="A261" s="12" t="s">
        <v>370</v>
      </c>
      <c r="B261" s="49">
        <v>13876.6</v>
      </c>
      <c r="C261" s="49">
        <v>755</v>
      </c>
      <c r="D261" s="20">
        <v>1445.1505200000001</v>
      </c>
      <c r="E261" s="15">
        <v>5.4408140322557398E-2</v>
      </c>
      <c r="F261" s="79">
        <v>13121.6</v>
      </c>
      <c r="G261" s="37">
        <v>5.7538714790879159E-2</v>
      </c>
    </row>
    <row r="262" spans="1:7" x14ac:dyDescent="0.25">
      <c r="A262" s="12" t="s">
        <v>371</v>
      </c>
      <c r="B262" s="49">
        <v>16682</v>
      </c>
      <c r="C262" s="49">
        <v>906</v>
      </c>
      <c r="D262" s="20">
        <v>1739.1381960000001</v>
      </c>
      <c r="E262" s="15">
        <v>5.4310034768013431E-2</v>
      </c>
      <c r="F262" s="79">
        <v>15776</v>
      </c>
      <c r="G262" s="37">
        <v>5.7429006085192698E-2</v>
      </c>
    </row>
    <row r="263" spans="1:7" x14ac:dyDescent="0.25">
      <c r="A263" s="12" t="s">
        <v>372</v>
      </c>
      <c r="B263" s="49">
        <v>9792.2000000000007</v>
      </c>
      <c r="C263" s="49">
        <v>729</v>
      </c>
      <c r="D263" s="20">
        <v>1395.014844</v>
      </c>
      <c r="E263" s="15">
        <v>7.4447008843773615E-2</v>
      </c>
      <c r="F263" s="79">
        <v>9063.2000000000007</v>
      </c>
      <c r="G263" s="37">
        <v>8.0435166387148024E-2</v>
      </c>
    </row>
    <row r="264" spans="1:7" x14ac:dyDescent="0.25">
      <c r="A264" s="12" t="s">
        <v>373</v>
      </c>
      <c r="B264" s="49">
        <v>18007.599999999999</v>
      </c>
      <c r="C264" s="49">
        <v>1290</v>
      </c>
      <c r="D264" s="20">
        <v>2432.5278120000003</v>
      </c>
      <c r="E264" s="15">
        <v>7.1636420178147017E-2</v>
      </c>
      <c r="F264" s="79">
        <v>16717.599999999999</v>
      </c>
      <c r="G264" s="37">
        <v>7.7164186246829691E-2</v>
      </c>
    </row>
    <row r="265" spans="1:7" x14ac:dyDescent="0.25">
      <c r="A265" s="12" t="s">
        <v>374</v>
      </c>
      <c r="B265" s="49">
        <v>15448.6</v>
      </c>
      <c r="C265" s="49">
        <v>811</v>
      </c>
      <c r="D265" s="20">
        <v>1550.6877959999999</v>
      </c>
      <c r="E265" s="15">
        <v>5.2496666364589668E-2</v>
      </c>
      <c r="F265" s="79">
        <v>14637.6</v>
      </c>
      <c r="G265" s="37">
        <v>5.5405257692517897E-2</v>
      </c>
    </row>
    <row r="266" spans="1:7" x14ac:dyDescent="0.25">
      <c r="A266" s="12" t="s">
        <v>375</v>
      </c>
      <c r="B266" s="49">
        <v>7957.2</v>
      </c>
      <c r="C266" s="49">
        <v>894</v>
      </c>
      <c r="D266" s="20">
        <v>1709.13132</v>
      </c>
      <c r="E266" s="15">
        <v>0.11235107826873775</v>
      </c>
      <c r="F266" s="79">
        <v>7063.2</v>
      </c>
      <c r="G266" s="37">
        <v>0.12657152565409446</v>
      </c>
    </row>
    <row r="267" spans="1:7" x14ac:dyDescent="0.25">
      <c r="A267" s="12" t="s">
        <v>376</v>
      </c>
      <c r="B267" s="49">
        <v>16239.4</v>
      </c>
      <c r="C267" s="49">
        <v>349</v>
      </c>
      <c r="D267" s="20">
        <v>671.58325200000002</v>
      </c>
      <c r="E267" s="15">
        <v>2.1490941783563432E-2</v>
      </c>
      <c r="F267" s="79">
        <v>15890.4</v>
      </c>
      <c r="G267" s="37">
        <v>2.1962946181342195E-2</v>
      </c>
    </row>
    <row r="268" spans="1:7" x14ac:dyDescent="0.25">
      <c r="A268" s="12" t="s">
        <v>377</v>
      </c>
      <c r="B268" s="49">
        <v>11452.4</v>
      </c>
      <c r="C268" s="49">
        <v>194</v>
      </c>
      <c r="D268" s="20">
        <v>370.963392</v>
      </c>
      <c r="E268" s="15">
        <v>1.6939680765603718E-2</v>
      </c>
      <c r="F268" s="79">
        <v>11258.4</v>
      </c>
      <c r="G268" s="37">
        <v>1.7231578199388902E-2</v>
      </c>
    </row>
    <row r="269" spans="1:7" x14ac:dyDescent="0.25">
      <c r="A269" s="12" t="s">
        <v>378</v>
      </c>
      <c r="B269" s="49">
        <v>21055</v>
      </c>
      <c r="C269" s="49">
        <v>55</v>
      </c>
      <c r="D269" s="20">
        <v>107.29488000000001</v>
      </c>
      <c r="E269" s="15">
        <v>2.612206126810734E-3</v>
      </c>
      <c r="F269" s="79">
        <v>21000</v>
      </c>
      <c r="G269" s="37">
        <v>2.6190476190476189E-3</v>
      </c>
    </row>
    <row r="270" spans="1:7" x14ac:dyDescent="0.25">
      <c r="A270" s="12" t="s">
        <v>379</v>
      </c>
      <c r="B270" s="49">
        <v>4009</v>
      </c>
      <c r="C270" s="49">
        <v>9</v>
      </c>
      <c r="D270" s="20">
        <v>17.557344000000001</v>
      </c>
      <c r="E270" s="15">
        <v>2.2449488650536295E-3</v>
      </c>
      <c r="F270" s="79">
        <v>4000</v>
      </c>
      <c r="G270" s="37">
        <v>2.2499999999999998E-3</v>
      </c>
    </row>
    <row r="271" spans="1:7" x14ac:dyDescent="0.25">
      <c r="A271" s="12" t="s">
        <v>380</v>
      </c>
      <c r="B271" s="49">
        <v>3332.2</v>
      </c>
      <c r="C271" s="49">
        <v>481</v>
      </c>
      <c r="D271" s="20">
        <v>913.16316000000006</v>
      </c>
      <c r="E271" s="15">
        <v>0.14434907868675351</v>
      </c>
      <c r="F271" s="79">
        <v>2851.2</v>
      </c>
      <c r="G271" s="37">
        <v>0.16870089786756454</v>
      </c>
    </row>
    <row r="272" spans="1:7" x14ac:dyDescent="0.25">
      <c r="A272" s="12" t="s">
        <v>381</v>
      </c>
      <c r="B272" s="49">
        <v>6195.4</v>
      </c>
      <c r="C272" s="49">
        <v>493</v>
      </c>
      <c r="D272" s="20">
        <v>940.0209000000001</v>
      </c>
      <c r="E272" s="15">
        <v>7.9575168673531982E-2</v>
      </c>
      <c r="F272" s="79">
        <v>5702.4</v>
      </c>
      <c r="G272" s="37">
        <v>8.6454826038159377E-2</v>
      </c>
    </row>
    <row r="273" spans="1:7" x14ac:dyDescent="0.25">
      <c r="A273" s="12" t="s">
        <v>382</v>
      </c>
      <c r="B273" s="49">
        <v>97</v>
      </c>
      <c r="C273" s="49">
        <v>97</v>
      </c>
      <c r="D273" s="20">
        <v>186.08577000000002</v>
      </c>
      <c r="E273" s="15">
        <v>1</v>
      </c>
      <c r="F273" s="79">
        <v>0</v>
      </c>
      <c r="G273" s="37">
        <v>1</v>
      </c>
    </row>
    <row r="274" spans="1:7" x14ac:dyDescent="0.25">
      <c r="A274" s="12" t="s">
        <v>383</v>
      </c>
      <c r="B274" s="49">
        <v>11000</v>
      </c>
      <c r="C274" s="49">
        <v>400</v>
      </c>
      <c r="D274" s="20">
        <v>783.3203840000001</v>
      </c>
      <c r="E274" s="15">
        <v>3.6363636363636362E-2</v>
      </c>
      <c r="F274" s="79">
        <v>10600</v>
      </c>
      <c r="G274" s="37">
        <v>3.7735849056603772E-2</v>
      </c>
    </row>
    <row r="275" spans="1:7" x14ac:dyDescent="0.25">
      <c r="A275" s="12" t="s">
        <v>384</v>
      </c>
      <c r="B275" s="49">
        <v>2923</v>
      </c>
      <c r="C275" s="49">
        <v>763</v>
      </c>
      <c r="D275" s="20">
        <v>1485.68</v>
      </c>
      <c r="E275" s="15">
        <v>0.26103318508381801</v>
      </c>
      <c r="F275" s="79">
        <v>2160</v>
      </c>
      <c r="G275" s="37">
        <v>0.35324074074074074</v>
      </c>
    </row>
    <row r="276" spans="1:7" x14ac:dyDescent="0.25">
      <c r="A276" s="12" t="s">
        <v>385</v>
      </c>
      <c r="B276" s="49">
        <v>7334</v>
      </c>
      <c r="C276" s="49">
        <v>206</v>
      </c>
      <c r="D276" s="20">
        <v>395.19246000000004</v>
      </c>
      <c r="E276" s="15">
        <v>2.8088355604035997E-2</v>
      </c>
      <c r="F276" s="79">
        <v>7128</v>
      </c>
      <c r="G276" s="37">
        <v>2.8900112233445567E-2</v>
      </c>
    </row>
    <row r="277" spans="1:7" x14ac:dyDescent="0.25">
      <c r="A277" s="12" t="s">
        <v>386</v>
      </c>
      <c r="B277" s="49">
        <v>26460</v>
      </c>
      <c r="C277" s="49">
        <v>700</v>
      </c>
      <c r="D277" s="20">
        <v>1371.3203840000001</v>
      </c>
      <c r="E277" s="15">
        <v>2.6455026455026454E-2</v>
      </c>
      <c r="F277" s="79">
        <v>25760</v>
      </c>
      <c r="G277" s="37">
        <v>2.717391304347826E-2</v>
      </c>
    </row>
    <row r="278" spans="1:7" x14ac:dyDescent="0.25">
      <c r="A278" s="12" t="s">
        <v>387</v>
      </c>
      <c r="B278" s="49">
        <v>3070.6</v>
      </c>
      <c r="C278" s="49">
        <v>845</v>
      </c>
      <c r="D278" s="20">
        <v>1605.8951999999999</v>
      </c>
      <c r="E278" s="15">
        <v>0.275190516511431</v>
      </c>
      <c r="F278" s="79">
        <v>2225.6</v>
      </c>
      <c r="G278" s="37">
        <v>0.37967289719626168</v>
      </c>
    </row>
    <row r="279" spans="1:7" x14ac:dyDescent="0.25">
      <c r="A279" s="12" t="s">
        <v>388</v>
      </c>
      <c r="B279" s="49">
        <v>2552</v>
      </c>
      <c r="C279" s="49">
        <v>392</v>
      </c>
      <c r="D279" s="20">
        <v>768.31999999999994</v>
      </c>
      <c r="E279" s="15">
        <v>0.15360501567398119</v>
      </c>
      <c r="F279" s="79">
        <v>2160</v>
      </c>
      <c r="G279" s="37">
        <v>0.18148148148148149</v>
      </c>
    </row>
    <row r="280" spans="1:7" x14ac:dyDescent="0.25">
      <c r="A280" s="12" t="s">
        <v>389</v>
      </c>
      <c r="B280" s="49">
        <v>5850.8</v>
      </c>
      <c r="C280" s="49">
        <v>338</v>
      </c>
      <c r="D280" s="20">
        <v>646.18164000000002</v>
      </c>
      <c r="E280" s="15">
        <v>5.7769877623572843E-2</v>
      </c>
      <c r="F280" s="79">
        <v>5512.8</v>
      </c>
      <c r="G280" s="37">
        <v>6.1311856044115508E-2</v>
      </c>
    </row>
    <row r="281" spans="1:7" x14ac:dyDescent="0.25">
      <c r="A281" s="12" t="s">
        <v>390</v>
      </c>
      <c r="B281" s="49">
        <v>7688</v>
      </c>
      <c r="C281" s="49">
        <v>488</v>
      </c>
      <c r="D281" s="20">
        <v>932.94864000000007</v>
      </c>
      <c r="E281" s="15">
        <v>6.3475546305931316E-2</v>
      </c>
      <c r="F281" s="79">
        <v>7200</v>
      </c>
      <c r="G281" s="37">
        <v>6.7777777777777784E-2</v>
      </c>
    </row>
    <row r="282" spans="1:7" x14ac:dyDescent="0.25">
      <c r="A282" s="12" t="s">
        <v>391</v>
      </c>
      <c r="B282" s="49">
        <v>8623.4</v>
      </c>
      <c r="C282" s="49">
        <v>521</v>
      </c>
      <c r="D282" s="20">
        <v>996.03737999999998</v>
      </c>
      <c r="E282" s="15">
        <v>6.0417004893661433E-2</v>
      </c>
      <c r="F282" s="79">
        <v>8102.4</v>
      </c>
      <c r="G282" s="37">
        <v>6.4301935229067936E-2</v>
      </c>
    </row>
    <row r="283" spans="1:7" x14ac:dyDescent="0.25">
      <c r="A283" s="12" t="s">
        <v>392</v>
      </c>
      <c r="B283" s="49">
        <v>24358</v>
      </c>
      <c r="C283" s="49">
        <v>838</v>
      </c>
      <c r="D283" s="20">
        <v>1650.8226380000001</v>
      </c>
      <c r="E283" s="15">
        <v>3.4403481402413991E-2</v>
      </c>
      <c r="F283" s="79">
        <v>23520</v>
      </c>
      <c r="G283" s="37">
        <v>3.5629251700680271E-2</v>
      </c>
    </row>
    <row r="284" spans="1:7" x14ac:dyDescent="0.25">
      <c r="A284" s="12" t="s">
        <v>393</v>
      </c>
      <c r="B284" s="49">
        <v>15487</v>
      </c>
      <c r="C284" s="49">
        <v>767</v>
      </c>
      <c r="D284" s="20">
        <v>1475.7056600000001</v>
      </c>
      <c r="E284" s="15">
        <v>4.9525408407051073E-2</v>
      </c>
      <c r="F284" s="79">
        <v>14720</v>
      </c>
      <c r="G284" s="37">
        <v>5.2105978260869566E-2</v>
      </c>
    </row>
    <row r="285" spans="1:7" x14ac:dyDescent="0.25">
      <c r="A285" s="12" t="s">
        <v>394</v>
      </c>
      <c r="B285" s="49">
        <v>8523</v>
      </c>
      <c r="C285" s="49">
        <v>123</v>
      </c>
      <c r="D285" s="20">
        <v>235.92966000000001</v>
      </c>
      <c r="E285" s="15">
        <v>1.4431538190777896E-2</v>
      </c>
      <c r="F285" s="79">
        <v>8400</v>
      </c>
      <c r="G285" s="37">
        <v>1.4642857142857143E-2</v>
      </c>
    </row>
    <row r="286" spans="1:7" x14ac:dyDescent="0.25">
      <c r="A286" s="12" t="s">
        <v>395</v>
      </c>
      <c r="B286" s="49">
        <v>10219</v>
      </c>
      <c r="C286" s="49">
        <v>219</v>
      </c>
      <c r="D286" s="20">
        <v>401.86809600000004</v>
      </c>
      <c r="E286" s="15">
        <v>2.1430668362853508E-2</v>
      </c>
      <c r="F286" s="79">
        <v>10000</v>
      </c>
      <c r="G286" s="37">
        <v>2.1899999999999999E-2</v>
      </c>
    </row>
    <row r="287" spans="1:7" x14ac:dyDescent="0.25">
      <c r="A287" s="12" t="s">
        <v>396</v>
      </c>
      <c r="B287" s="49">
        <v>9029</v>
      </c>
      <c r="C287" s="49">
        <v>29</v>
      </c>
      <c r="D287" s="20">
        <v>56.573664000000001</v>
      </c>
      <c r="E287" s="15">
        <v>3.2118728541366708E-3</v>
      </c>
      <c r="F287" s="79">
        <v>9000</v>
      </c>
      <c r="G287" s="37">
        <v>3.2222222222222222E-3</v>
      </c>
    </row>
    <row r="288" spans="1:7" x14ac:dyDescent="0.25">
      <c r="A288" s="12" t="s">
        <v>397</v>
      </c>
      <c r="B288" s="49">
        <v>10057</v>
      </c>
      <c r="C288" s="49">
        <v>57</v>
      </c>
      <c r="D288" s="20">
        <v>111.19651200000001</v>
      </c>
      <c r="E288" s="15">
        <v>5.6676941433827189E-3</v>
      </c>
      <c r="F288" s="79">
        <v>10000</v>
      </c>
      <c r="G288" s="37">
        <v>5.7000000000000002E-3</v>
      </c>
    </row>
    <row r="289" spans="1:7" x14ac:dyDescent="0.25">
      <c r="A289" s="12" t="s">
        <v>398</v>
      </c>
      <c r="B289" s="49">
        <v>11101</v>
      </c>
      <c r="C289" s="49">
        <v>101</v>
      </c>
      <c r="D289" s="20">
        <v>193.51917600000002</v>
      </c>
      <c r="E289" s="15">
        <v>9.0982794342851989E-3</v>
      </c>
      <c r="F289" s="79">
        <v>11000</v>
      </c>
      <c r="G289" s="37">
        <v>9.1818181818181816E-3</v>
      </c>
    </row>
    <row r="290" spans="1:7" x14ac:dyDescent="0.25">
      <c r="A290" s="12" t="s">
        <v>399</v>
      </c>
      <c r="B290" s="49">
        <v>15323</v>
      </c>
      <c r="C290" s="49">
        <v>675</v>
      </c>
      <c r="D290" s="20">
        <v>1310.7461959999998</v>
      </c>
      <c r="E290" s="15">
        <v>4.4051425960973702E-2</v>
      </c>
      <c r="F290" s="79">
        <v>14648</v>
      </c>
      <c r="G290" s="37">
        <v>4.608137629710541E-2</v>
      </c>
    </row>
    <row r="291" spans="1:7" x14ac:dyDescent="0.25">
      <c r="A291" s="12" t="s">
        <v>400</v>
      </c>
      <c r="B291" s="49">
        <v>21887.599999999999</v>
      </c>
      <c r="C291" s="49">
        <v>526</v>
      </c>
      <c r="D291" s="20">
        <v>1006.4941080000001</v>
      </c>
      <c r="E291" s="15">
        <v>2.4031871927484058E-2</v>
      </c>
      <c r="F291" s="79">
        <v>21361.599999999999</v>
      </c>
      <c r="G291" s="37">
        <v>2.4623623698599356E-2</v>
      </c>
    </row>
    <row r="292" spans="1:7" x14ac:dyDescent="0.25">
      <c r="A292" s="12" t="s">
        <v>401</v>
      </c>
      <c r="B292" s="49">
        <v>7909</v>
      </c>
      <c r="C292" s="49">
        <v>229</v>
      </c>
      <c r="D292" s="20">
        <v>476.34977000000003</v>
      </c>
      <c r="E292" s="15">
        <v>2.895435579719307E-2</v>
      </c>
      <c r="F292" s="79">
        <v>7680</v>
      </c>
      <c r="G292" s="37">
        <v>2.9817708333333335E-2</v>
      </c>
    </row>
    <row r="293" spans="1:7" x14ac:dyDescent="0.25">
      <c r="A293" s="12" t="s">
        <v>402</v>
      </c>
      <c r="B293" s="49">
        <v>10326.4</v>
      </c>
      <c r="C293" s="49">
        <v>704</v>
      </c>
      <c r="D293" s="20">
        <v>1406.0329899999999</v>
      </c>
      <c r="E293" s="15">
        <v>6.8174775333126741E-2</v>
      </c>
      <c r="F293" s="79">
        <v>9622.4</v>
      </c>
      <c r="G293" s="37">
        <v>7.3162620552045227E-2</v>
      </c>
    </row>
    <row r="294" spans="1:7" x14ac:dyDescent="0.25">
      <c r="A294" s="12" t="s">
        <v>403</v>
      </c>
      <c r="B294" s="49">
        <v>22433</v>
      </c>
      <c r="C294" s="49">
        <v>545</v>
      </c>
      <c r="D294" s="20">
        <v>1060.2750859999999</v>
      </c>
      <c r="E294" s="15">
        <v>2.4294566041100165E-2</v>
      </c>
      <c r="F294" s="79">
        <v>21888</v>
      </c>
      <c r="G294" s="37">
        <v>2.4899488304093567E-2</v>
      </c>
    </row>
    <row r="295" spans="1:7" x14ac:dyDescent="0.25">
      <c r="A295" s="12" t="s">
        <v>404</v>
      </c>
      <c r="B295" s="49">
        <v>13805.76</v>
      </c>
      <c r="C295" s="49">
        <v>376</v>
      </c>
      <c r="D295" s="20">
        <v>727.94502399999999</v>
      </c>
      <c r="E295" s="15">
        <v>2.7235009155598823E-2</v>
      </c>
      <c r="F295" s="79">
        <v>13429.76</v>
      </c>
      <c r="G295" s="37">
        <v>2.7997521921463972E-2</v>
      </c>
    </row>
    <row r="296" spans="1:7" x14ac:dyDescent="0.25">
      <c r="A296" s="12" t="s">
        <v>405</v>
      </c>
      <c r="B296" s="49">
        <v>29073.599999999999</v>
      </c>
      <c r="C296" s="49">
        <v>800</v>
      </c>
      <c r="D296" s="20">
        <v>1564.3942780000002</v>
      </c>
      <c r="E296" s="15">
        <v>2.7516372241483684E-2</v>
      </c>
      <c r="F296" s="79">
        <v>28273.599999999999</v>
      </c>
      <c r="G296" s="37">
        <v>2.8294946522551073E-2</v>
      </c>
    </row>
    <row r="297" spans="1:7" x14ac:dyDescent="0.25">
      <c r="A297" s="12" t="s">
        <v>406</v>
      </c>
      <c r="B297" s="49">
        <v>13076.4</v>
      </c>
      <c r="C297" s="49">
        <v>654</v>
      </c>
      <c r="D297" s="20">
        <v>1262.66777</v>
      </c>
      <c r="E297" s="15">
        <v>5.0013765256492614E-2</v>
      </c>
      <c r="F297" s="79">
        <v>12422.4</v>
      </c>
      <c r="G297" s="37">
        <v>5.2646831530139104E-2</v>
      </c>
    </row>
    <row r="298" spans="1:7" x14ac:dyDescent="0.25">
      <c r="A298" s="12" t="s">
        <v>407</v>
      </c>
      <c r="B298" s="49">
        <v>15102.8</v>
      </c>
      <c r="C298" s="49">
        <v>542</v>
      </c>
      <c r="D298" s="20">
        <v>898.39386000000013</v>
      </c>
      <c r="E298" s="15">
        <v>3.5887385120639881E-2</v>
      </c>
      <c r="F298" s="79">
        <v>14560.8</v>
      </c>
      <c r="G298" s="37">
        <v>3.7223229492885007E-2</v>
      </c>
    </row>
    <row r="299" spans="1:7" x14ac:dyDescent="0.25">
      <c r="A299" s="12" t="s">
        <v>412</v>
      </c>
      <c r="B299" s="49">
        <v>2871.4</v>
      </c>
      <c r="C299" s="49">
        <v>733</v>
      </c>
      <c r="D299" s="20">
        <v>542.94551999999999</v>
      </c>
      <c r="E299" s="15">
        <v>0.25527617190220797</v>
      </c>
      <c r="F299" s="79">
        <v>2138.4</v>
      </c>
      <c r="G299" s="37">
        <v>0.34277964833520386</v>
      </c>
    </row>
    <row r="300" spans="1:7" x14ac:dyDescent="0.25">
      <c r="A300" s="12" t="s">
        <v>413</v>
      </c>
      <c r="B300" s="49">
        <v>12004.8</v>
      </c>
      <c r="C300" s="49">
        <v>324</v>
      </c>
      <c r="D300" s="20">
        <v>631.20122000000003</v>
      </c>
      <c r="E300" s="15">
        <v>2.6989204318272692E-2</v>
      </c>
      <c r="F300" s="79">
        <v>11680.8</v>
      </c>
      <c r="G300" s="37">
        <v>2.7737826176289296E-2</v>
      </c>
    </row>
    <row r="301" spans="1:7" x14ac:dyDescent="0.25">
      <c r="A301" s="12" t="s">
        <v>416</v>
      </c>
      <c r="B301" s="49">
        <v>8007</v>
      </c>
      <c r="C301" s="49">
        <v>7</v>
      </c>
      <c r="D301" s="20">
        <v>13.655712000000001</v>
      </c>
      <c r="E301" s="15">
        <v>8.7423504433620583E-4</v>
      </c>
      <c r="F301" s="79">
        <v>8000</v>
      </c>
      <c r="G301" s="37">
        <v>8.7500000000000002E-4</v>
      </c>
    </row>
    <row r="302" spans="1:7" x14ac:dyDescent="0.25">
      <c r="A302" s="12" t="s">
        <v>417</v>
      </c>
      <c r="B302" s="49">
        <v>10005</v>
      </c>
      <c r="C302" s="49">
        <v>5</v>
      </c>
      <c r="D302" s="20">
        <v>9.7540800000000001</v>
      </c>
      <c r="E302" s="15">
        <v>4.9975012493753122E-4</v>
      </c>
      <c r="F302" s="79">
        <v>10000</v>
      </c>
      <c r="G302" s="37">
        <v>5.0000000000000001E-4</v>
      </c>
    </row>
    <row r="303" spans="1:7" x14ac:dyDescent="0.25">
      <c r="A303" s="12" t="s">
        <v>418</v>
      </c>
      <c r="B303" s="49">
        <v>66</v>
      </c>
      <c r="C303" s="49">
        <v>66</v>
      </c>
      <c r="D303" s="20">
        <v>126.17748</v>
      </c>
      <c r="E303" s="15">
        <v>1</v>
      </c>
      <c r="F303" s="79">
        <v>0</v>
      </c>
      <c r="G303" s="37">
        <v>1</v>
      </c>
    </row>
    <row r="304" spans="1:7" x14ac:dyDescent="0.25">
      <c r="A304" s="12" t="s">
        <v>420</v>
      </c>
      <c r="B304" s="49">
        <v>4014</v>
      </c>
      <c r="C304" s="49">
        <v>14</v>
      </c>
      <c r="D304" s="20">
        <v>27.311424000000002</v>
      </c>
      <c r="E304" s="15">
        <v>3.4877927254608871E-3</v>
      </c>
      <c r="F304" s="79">
        <v>4000</v>
      </c>
      <c r="G304" s="37">
        <v>3.5000000000000001E-3</v>
      </c>
    </row>
    <row r="305" spans="1:7" x14ac:dyDescent="0.25">
      <c r="A305" s="12" t="s">
        <v>421</v>
      </c>
      <c r="B305" s="49">
        <v>8056</v>
      </c>
      <c r="C305" s="49">
        <v>56</v>
      </c>
      <c r="D305" s="20">
        <v>109.24569600000001</v>
      </c>
      <c r="E305" s="15">
        <v>6.9513406156901684E-3</v>
      </c>
      <c r="F305" s="79">
        <v>8000</v>
      </c>
      <c r="G305" s="37">
        <v>7.0000000000000001E-3</v>
      </c>
    </row>
    <row r="306" spans="1:7" x14ac:dyDescent="0.25">
      <c r="A306" s="12" t="s">
        <v>422</v>
      </c>
      <c r="B306" s="49">
        <v>60</v>
      </c>
      <c r="C306" s="49">
        <v>60</v>
      </c>
      <c r="D306" s="20">
        <v>0</v>
      </c>
      <c r="E306" s="15">
        <v>1</v>
      </c>
      <c r="F306" s="79"/>
      <c r="G306" s="37">
        <v>1</v>
      </c>
    </row>
    <row r="307" spans="1:7" x14ac:dyDescent="0.25">
      <c r="A307" s="12" t="s">
        <v>423</v>
      </c>
      <c r="B307" s="49">
        <v>16065</v>
      </c>
      <c r="C307" s="49">
        <v>65</v>
      </c>
      <c r="D307" s="20">
        <v>126.80304000000001</v>
      </c>
      <c r="E307" s="15">
        <v>4.0460628695922814E-3</v>
      </c>
      <c r="F307" s="79">
        <v>16000</v>
      </c>
      <c r="G307" s="37">
        <v>4.0625000000000001E-3</v>
      </c>
    </row>
    <row r="308" spans="1:7" x14ac:dyDescent="0.25">
      <c r="A308" s="12" t="s">
        <v>424</v>
      </c>
      <c r="B308" s="49">
        <v>20</v>
      </c>
      <c r="C308" s="49">
        <v>20</v>
      </c>
      <c r="D308" s="20">
        <v>0</v>
      </c>
      <c r="E308" s="15">
        <v>1</v>
      </c>
      <c r="F308" s="79"/>
      <c r="G308" s="37">
        <v>1</v>
      </c>
    </row>
    <row r="309" spans="1:7" x14ac:dyDescent="0.25">
      <c r="A309" s="12" t="s">
        <v>427</v>
      </c>
      <c r="B309" s="49">
        <v>9509</v>
      </c>
      <c r="C309" s="49">
        <v>789</v>
      </c>
      <c r="D309" s="20">
        <v>13.655712000000001</v>
      </c>
      <c r="E309" s="15">
        <v>8.2974024608265848E-2</v>
      </c>
      <c r="F309" s="79">
        <v>8720</v>
      </c>
      <c r="G309" s="37">
        <v>9.0481651376146791E-2</v>
      </c>
    </row>
    <row r="310" spans="1:7" x14ac:dyDescent="0.25">
      <c r="A310" s="12" t="s">
        <v>428</v>
      </c>
      <c r="B310" s="49">
        <v>4661</v>
      </c>
      <c r="C310" s="49">
        <v>341</v>
      </c>
      <c r="D310" s="20">
        <v>0</v>
      </c>
      <c r="E310" s="15">
        <v>7.3160266037331043E-2</v>
      </c>
      <c r="F310" s="79">
        <v>4320</v>
      </c>
      <c r="G310" s="37">
        <v>7.8935185185185192E-2</v>
      </c>
    </row>
    <row r="311" spans="1:7" x14ac:dyDescent="0.25">
      <c r="A311" s="12" t="s">
        <v>429</v>
      </c>
      <c r="B311" s="49">
        <v>224</v>
      </c>
      <c r="C311" s="49">
        <v>224</v>
      </c>
      <c r="D311" s="20">
        <v>0</v>
      </c>
      <c r="E311" s="15">
        <v>1</v>
      </c>
      <c r="F311" s="79">
        <v>0</v>
      </c>
      <c r="G311" s="37">
        <v>1</v>
      </c>
    </row>
    <row r="312" spans="1:7" x14ac:dyDescent="0.25">
      <c r="A312" s="12" t="s">
        <v>430</v>
      </c>
      <c r="B312" s="49">
        <v>13154</v>
      </c>
      <c r="C312" s="49">
        <v>736</v>
      </c>
      <c r="D312" s="20">
        <v>99.491616000000008</v>
      </c>
      <c r="E312" s="15">
        <v>5.5952561958339669E-2</v>
      </c>
      <c r="F312" s="79">
        <v>12418</v>
      </c>
      <c r="G312" s="37">
        <v>5.9268803349975842E-2</v>
      </c>
    </row>
    <row r="313" spans="1:7" x14ac:dyDescent="0.25">
      <c r="A313" s="12" t="s">
        <v>431</v>
      </c>
      <c r="B313" s="49">
        <v>5036</v>
      </c>
      <c r="C313" s="49">
        <v>36</v>
      </c>
      <c r="D313" s="20">
        <v>50.721216000000005</v>
      </c>
      <c r="E313" s="15">
        <v>7.1485305798252583E-3</v>
      </c>
      <c r="F313" s="79">
        <v>5000</v>
      </c>
      <c r="G313" s="37">
        <v>7.1999999999999998E-3</v>
      </c>
    </row>
    <row r="314" spans="1:7" x14ac:dyDescent="0.25">
      <c r="A314" s="12" t="s">
        <v>432</v>
      </c>
      <c r="B314" s="49">
        <v>15458</v>
      </c>
      <c r="C314" s="49">
        <v>658</v>
      </c>
      <c r="D314" s="20">
        <v>396.015648</v>
      </c>
      <c r="E314" s="15">
        <v>4.2566955621684562E-2</v>
      </c>
      <c r="F314" s="79">
        <v>14800</v>
      </c>
      <c r="G314" s="37">
        <v>4.4459459459459456E-2</v>
      </c>
    </row>
    <row r="315" spans="1:7" x14ac:dyDescent="0.25">
      <c r="A315" s="12" t="s">
        <v>433</v>
      </c>
      <c r="B315" s="49">
        <v>10407</v>
      </c>
      <c r="C315" s="49">
        <v>407</v>
      </c>
      <c r="D315" s="20">
        <v>793.98211200000003</v>
      </c>
      <c r="E315" s="15">
        <v>3.9108292495435765E-2</v>
      </c>
      <c r="F315" s="79">
        <v>10000</v>
      </c>
      <c r="G315" s="37">
        <v>4.07E-2</v>
      </c>
    </row>
    <row r="316" spans="1:7" x14ac:dyDescent="0.25">
      <c r="A316" s="12" t="s">
        <v>434</v>
      </c>
      <c r="B316" s="49">
        <v>10031</v>
      </c>
      <c r="C316" s="49">
        <v>31</v>
      </c>
      <c r="D316" s="20">
        <v>7.8032640000000004</v>
      </c>
      <c r="E316" s="15">
        <v>3.0904196989333067E-3</v>
      </c>
      <c r="F316" s="79">
        <v>10000</v>
      </c>
      <c r="G316" s="37">
        <v>3.0999999999999999E-3</v>
      </c>
    </row>
    <row r="317" spans="1:7" x14ac:dyDescent="0.25">
      <c r="A317" s="12" t="s">
        <v>436</v>
      </c>
      <c r="B317" s="49">
        <v>12460</v>
      </c>
      <c r="C317" s="49">
        <v>896</v>
      </c>
      <c r="D317" s="20">
        <v>1728.1789199999998</v>
      </c>
      <c r="E317" s="15">
        <v>7.1910112359550568E-2</v>
      </c>
      <c r="F317" s="79">
        <v>11564</v>
      </c>
      <c r="G317" s="37">
        <v>7.7481840193704604E-2</v>
      </c>
    </row>
    <row r="318" spans="1:7" x14ac:dyDescent="0.25">
      <c r="A318" s="12" t="s">
        <v>437</v>
      </c>
      <c r="B318" s="49">
        <v>10</v>
      </c>
      <c r="C318" s="49">
        <v>10</v>
      </c>
      <c r="D318" s="20">
        <v>0</v>
      </c>
      <c r="E318" s="15">
        <v>1</v>
      </c>
      <c r="F318" s="79"/>
      <c r="G318" s="37">
        <v>1</v>
      </c>
    </row>
    <row r="319" spans="1:7" x14ac:dyDescent="0.25">
      <c r="A319" s="12" t="s">
        <v>438</v>
      </c>
      <c r="B319" s="49">
        <v>9076.4</v>
      </c>
      <c r="C319" s="49">
        <v>2499</v>
      </c>
      <c r="D319" s="20">
        <v>4791.1276680000001</v>
      </c>
      <c r="E319" s="15">
        <v>0.2753294257635186</v>
      </c>
      <c r="F319" s="79">
        <v>6577.4</v>
      </c>
      <c r="G319" s="37">
        <v>0.3799373612673701</v>
      </c>
    </row>
    <row r="320" spans="1:7" x14ac:dyDescent="0.25">
      <c r="A320" s="12" t="s">
        <v>570</v>
      </c>
      <c r="B320" s="49">
        <v>7111</v>
      </c>
      <c r="C320" s="49">
        <v>1409</v>
      </c>
      <c r="E320" s="15">
        <v>0.19814372099564057</v>
      </c>
      <c r="F320" s="79">
        <v>5702</v>
      </c>
      <c r="G320" s="37">
        <v>0.24710627849877237</v>
      </c>
    </row>
    <row r="321" spans="1:7" x14ac:dyDescent="0.25">
      <c r="A321" s="12" t="s">
        <v>439</v>
      </c>
      <c r="B321" s="49">
        <v>6880.2</v>
      </c>
      <c r="C321" s="49">
        <v>465</v>
      </c>
      <c r="D321" s="20">
        <v>831.62430000000006</v>
      </c>
      <c r="E321" s="15">
        <v>6.7585244614982123E-2</v>
      </c>
      <c r="F321" s="79">
        <v>6415.2</v>
      </c>
      <c r="G321" s="37">
        <v>7.2484100261878043E-2</v>
      </c>
    </row>
    <row r="322" spans="1:7" x14ac:dyDescent="0.25">
      <c r="A322" s="12" t="s">
        <v>440</v>
      </c>
      <c r="B322" s="49">
        <v>8155</v>
      </c>
      <c r="C322" s="49">
        <v>155</v>
      </c>
      <c r="D322" s="20">
        <v>302.37648000000002</v>
      </c>
      <c r="E322" s="15">
        <v>1.9006744328632742E-2</v>
      </c>
      <c r="F322" s="79">
        <v>8000</v>
      </c>
      <c r="G322" s="37">
        <v>1.9375E-2</v>
      </c>
    </row>
    <row r="323" spans="1:7" x14ac:dyDescent="0.25">
      <c r="A323" s="12" t="s">
        <v>571</v>
      </c>
      <c r="B323" s="49"/>
      <c r="C323" s="49">
        <v>435</v>
      </c>
      <c r="E323" s="15">
        <v>1</v>
      </c>
      <c r="F323" s="79">
        <v>0</v>
      </c>
      <c r="G323" s="37">
        <v>1</v>
      </c>
    </row>
    <row r="324" spans="1:7" x14ac:dyDescent="0.25">
      <c r="A324" s="12" t="s">
        <v>441</v>
      </c>
      <c r="B324" s="49">
        <v>25</v>
      </c>
      <c r="C324" s="49">
        <v>25</v>
      </c>
      <c r="D324" s="20">
        <v>0</v>
      </c>
      <c r="E324" s="15">
        <v>1</v>
      </c>
      <c r="F324" s="79"/>
      <c r="G324" s="37">
        <v>1</v>
      </c>
    </row>
    <row r="325" spans="1:7" x14ac:dyDescent="0.25">
      <c r="A325" s="12" t="s">
        <v>442</v>
      </c>
      <c r="B325" s="49">
        <v>11957</v>
      </c>
      <c r="C325" s="49">
        <v>829</v>
      </c>
      <c r="D325" s="20">
        <v>1773.20597</v>
      </c>
      <c r="E325" s="15">
        <v>6.9331772183658102E-2</v>
      </c>
      <c r="F325" s="79">
        <v>11128</v>
      </c>
      <c r="G325" s="37">
        <v>7.4496764917325667E-2</v>
      </c>
    </row>
    <row r="326" spans="1:7" x14ac:dyDescent="0.25">
      <c r="A326" s="12" t="s">
        <v>443</v>
      </c>
      <c r="B326" s="49">
        <v>12504</v>
      </c>
      <c r="C326" s="49">
        <v>104</v>
      </c>
      <c r="D326" s="20">
        <v>237.72412000000003</v>
      </c>
      <c r="E326" s="15">
        <v>8.3173384516954576E-3</v>
      </c>
      <c r="F326" s="79">
        <v>12400</v>
      </c>
      <c r="G326" s="37">
        <v>8.3870967741935479E-3</v>
      </c>
    </row>
    <row r="327" spans="1:7" x14ac:dyDescent="0.25">
      <c r="A327" s="12" t="s">
        <v>444</v>
      </c>
      <c r="B327" s="49">
        <v>6234</v>
      </c>
      <c r="C327" s="49">
        <v>670</v>
      </c>
      <c r="D327" s="20">
        <v>1109.8213499999999</v>
      </c>
      <c r="E327" s="15">
        <v>0.10747513634905358</v>
      </c>
      <c r="F327" s="79">
        <v>5564</v>
      </c>
      <c r="G327" s="37">
        <v>0.12041696621135874</v>
      </c>
    </row>
    <row r="328" spans="1:7" x14ac:dyDescent="0.25">
      <c r="A328" s="12" t="s">
        <v>445</v>
      </c>
      <c r="B328" s="49">
        <v>23167.4</v>
      </c>
      <c r="C328" s="49">
        <v>701</v>
      </c>
      <c r="D328" s="20">
        <v>1588.7157139999999</v>
      </c>
      <c r="E328" s="15">
        <v>3.0258034997453317E-2</v>
      </c>
      <c r="F328" s="79">
        <v>22466.400000000001</v>
      </c>
      <c r="G328" s="37">
        <v>3.1202150767368157E-2</v>
      </c>
    </row>
    <row r="329" spans="1:7" x14ac:dyDescent="0.25">
      <c r="A329" s="12" t="s">
        <v>446</v>
      </c>
      <c r="B329" s="49">
        <v>9080</v>
      </c>
      <c r="C329" s="49">
        <v>80</v>
      </c>
      <c r="D329" s="20">
        <v>141.08969999999999</v>
      </c>
      <c r="E329" s="15">
        <v>8.8105726872246704E-3</v>
      </c>
      <c r="F329" s="79">
        <v>9000</v>
      </c>
      <c r="G329" s="37">
        <v>8.8888888888888889E-3</v>
      </c>
    </row>
    <row r="330" spans="1:7" x14ac:dyDescent="0.25">
      <c r="A330" s="12" t="s">
        <v>447</v>
      </c>
      <c r="B330" s="49">
        <v>5391</v>
      </c>
      <c r="C330" s="49">
        <v>391</v>
      </c>
      <c r="D330" s="20">
        <v>1028.8295579999999</v>
      </c>
      <c r="E330" s="15">
        <v>7.2528287887219434E-2</v>
      </c>
      <c r="F330" s="79">
        <v>5000</v>
      </c>
      <c r="G330" s="37">
        <v>7.8200000000000006E-2</v>
      </c>
    </row>
    <row r="331" spans="1:7" x14ac:dyDescent="0.25">
      <c r="A331" s="12" t="s">
        <v>448</v>
      </c>
      <c r="B331" s="49">
        <v>26763.599999999999</v>
      </c>
      <c r="C331" s="49">
        <v>774</v>
      </c>
      <c r="D331" s="20">
        <v>1723.476486</v>
      </c>
      <c r="E331" s="15">
        <v>2.8919876249831864E-2</v>
      </c>
      <c r="F331" s="79">
        <v>25989.599999999999</v>
      </c>
      <c r="G331" s="37">
        <v>2.9781143226521381E-2</v>
      </c>
    </row>
    <row r="332" spans="1:7" x14ac:dyDescent="0.25">
      <c r="A332" s="12" t="s">
        <v>449</v>
      </c>
      <c r="B332" s="49">
        <v>13003</v>
      </c>
      <c r="C332" s="49">
        <v>203</v>
      </c>
      <c r="D332" s="20">
        <v>411.51234600000004</v>
      </c>
      <c r="E332" s="15">
        <v>1.5611781896485426E-2</v>
      </c>
      <c r="F332" s="79">
        <v>12800</v>
      </c>
      <c r="G332" s="37">
        <v>1.5859374999999998E-2</v>
      </c>
    </row>
    <row r="333" spans="1:7" x14ac:dyDescent="0.25">
      <c r="A333" s="12" t="s">
        <v>450</v>
      </c>
      <c r="B333" s="49">
        <v>7333</v>
      </c>
      <c r="C333" s="49">
        <v>133</v>
      </c>
      <c r="D333" s="20">
        <v>517.94322999999997</v>
      </c>
      <c r="E333" s="15">
        <v>1.8137188054002454E-2</v>
      </c>
      <c r="F333" s="79">
        <v>7200</v>
      </c>
      <c r="G333" s="37">
        <v>1.8472222222222223E-2</v>
      </c>
    </row>
    <row r="334" spans="1:7" x14ac:dyDescent="0.25">
      <c r="A334" s="12" t="s">
        <v>451</v>
      </c>
      <c r="B334" s="49">
        <v>19643</v>
      </c>
      <c r="C334" s="49">
        <v>443</v>
      </c>
      <c r="D334" s="20">
        <v>1152.993344</v>
      </c>
      <c r="E334" s="15">
        <v>2.2552563254085424E-2</v>
      </c>
      <c r="F334" s="79">
        <v>19200</v>
      </c>
      <c r="G334" s="37">
        <v>2.3072916666666665E-2</v>
      </c>
    </row>
    <row r="335" spans="1:7" x14ac:dyDescent="0.25">
      <c r="A335" s="12" t="s">
        <v>452</v>
      </c>
      <c r="B335" s="49">
        <v>9630</v>
      </c>
      <c r="C335" s="49">
        <v>255</v>
      </c>
      <c r="D335" s="20">
        <v>660.35876200000007</v>
      </c>
      <c r="E335" s="15">
        <v>2.6479750778816199E-2</v>
      </c>
      <c r="F335" s="79">
        <v>9375</v>
      </c>
      <c r="G335" s="37">
        <v>2.7199999999999998E-2</v>
      </c>
    </row>
    <row r="336" spans="1:7" x14ac:dyDescent="0.25">
      <c r="A336" s="12" t="s">
        <v>453</v>
      </c>
      <c r="B336" s="49">
        <v>15021.8</v>
      </c>
      <c r="C336" s="49">
        <v>345</v>
      </c>
      <c r="D336" s="20">
        <v>731.56806199999994</v>
      </c>
      <c r="E336" s="15">
        <v>2.2966621842921621E-2</v>
      </c>
      <c r="F336" s="79">
        <v>14676.8</v>
      </c>
      <c r="G336" s="37">
        <v>2.3506486427559141E-2</v>
      </c>
    </row>
    <row r="337" spans="1:7" x14ac:dyDescent="0.25">
      <c r="A337" s="12" t="s">
        <v>454</v>
      </c>
      <c r="B337" s="49">
        <v>7408</v>
      </c>
      <c r="C337" s="49">
        <v>648</v>
      </c>
      <c r="D337" s="20">
        <v>1268.1605439999998</v>
      </c>
      <c r="E337" s="15">
        <v>8.7473002159827215E-2</v>
      </c>
      <c r="F337" s="79">
        <v>6760</v>
      </c>
      <c r="G337" s="37">
        <v>9.5857988165680474E-2</v>
      </c>
    </row>
    <row r="338" spans="1:7" x14ac:dyDescent="0.25">
      <c r="A338" s="12" t="s">
        <v>455</v>
      </c>
      <c r="B338" s="49">
        <v>5069</v>
      </c>
      <c r="C338" s="49">
        <v>69</v>
      </c>
      <c r="D338" s="20">
        <v>134.60630399999999</v>
      </c>
      <c r="E338" s="15">
        <v>1.3612152298283685E-2</v>
      </c>
      <c r="F338" s="79">
        <v>5000</v>
      </c>
      <c r="G338" s="37">
        <v>1.38E-2</v>
      </c>
    </row>
    <row r="339" spans="1:7" x14ac:dyDescent="0.25">
      <c r="A339" s="12" t="s">
        <v>456</v>
      </c>
      <c r="B339" s="49">
        <v>6711</v>
      </c>
      <c r="C339" s="49">
        <v>605</v>
      </c>
      <c r="D339" s="20">
        <v>1185.6806079999999</v>
      </c>
      <c r="E339" s="15">
        <v>9.0150499180450011E-2</v>
      </c>
      <c r="F339" s="79">
        <v>6106</v>
      </c>
      <c r="G339" s="37">
        <v>9.9082869308876512E-2</v>
      </c>
    </row>
    <row r="340" spans="1:7" x14ac:dyDescent="0.25">
      <c r="A340" s="12" t="s">
        <v>457</v>
      </c>
      <c r="B340" s="49">
        <v>17047</v>
      </c>
      <c r="C340" s="49">
        <v>47</v>
      </c>
      <c r="D340" s="20">
        <v>91.688352000000009</v>
      </c>
      <c r="E340" s="15">
        <v>2.7570833577755618E-3</v>
      </c>
      <c r="F340" s="79">
        <v>17000</v>
      </c>
      <c r="G340" s="37">
        <v>2.7647058823529413E-3</v>
      </c>
    </row>
    <row r="341" spans="1:7" x14ac:dyDescent="0.25">
      <c r="A341" s="12" t="s">
        <v>458</v>
      </c>
      <c r="B341" s="49">
        <v>3028</v>
      </c>
      <c r="C341" s="49">
        <v>28</v>
      </c>
      <c r="D341" s="20">
        <v>48.770400000000002</v>
      </c>
      <c r="E341" s="15">
        <v>9.247027741083224E-3</v>
      </c>
      <c r="F341" s="79">
        <v>3000</v>
      </c>
      <c r="G341" s="37">
        <v>9.3333333333333341E-3</v>
      </c>
    </row>
    <row r="342" spans="1:7" x14ac:dyDescent="0.25">
      <c r="A342" s="12" t="s">
        <v>459</v>
      </c>
      <c r="B342" s="49">
        <v>15115</v>
      </c>
      <c r="C342" s="49">
        <v>115</v>
      </c>
      <c r="D342" s="20">
        <v>224.34384</v>
      </c>
      <c r="E342" s="15">
        <v>7.6083360899768439E-3</v>
      </c>
      <c r="F342" s="79">
        <v>15000</v>
      </c>
      <c r="G342" s="37">
        <v>7.6666666666666662E-3</v>
      </c>
    </row>
    <row r="343" spans="1:7" x14ac:dyDescent="0.25">
      <c r="A343" s="12" t="s">
        <v>460</v>
      </c>
      <c r="B343" s="49">
        <v>6809.84</v>
      </c>
      <c r="C343" s="49">
        <v>1082</v>
      </c>
      <c r="D343" s="20">
        <v>2119.268928</v>
      </c>
      <c r="E343" s="15">
        <v>0.15888772717126981</v>
      </c>
      <c r="F343" s="79">
        <v>5727.84</v>
      </c>
      <c r="G343" s="37">
        <v>0.18890192463476632</v>
      </c>
    </row>
    <row r="344" spans="1:7" x14ac:dyDescent="0.25">
      <c r="A344" s="12" t="s">
        <v>461</v>
      </c>
      <c r="B344" s="49">
        <v>10042.52</v>
      </c>
      <c r="C344" s="49">
        <v>619</v>
      </c>
      <c r="D344" s="20">
        <v>1328.2633840000001</v>
      </c>
      <c r="E344" s="15">
        <v>6.1637915582941329E-2</v>
      </c>
      <c r="F344" s="79">
        <v>9423.52</v>
      </c>
      <c r="G344" s="37">
        <v>6.568670730257907E-2</v>
      </c>
    </row>
    <row r="345" spans="1:7" x14ac:dyDescent="0.25">
      <c r="A345" s="12" t="s">
        <v>462</v>
      </c>
      <c r="B345" s="49">
        <v>1715.84</v>
      </c>
      <c r="C345" s="49">
        <v>428</v>
      </c>
      <c r="D345" s="20">
        <v>836.75849600000004</v>
      </c>
      <c r="E345" s="15">
        <v>0.24944050727340547</v>
      </c>
      <c r="F345" s="79">
        <v>1287.8399999999999</v>
      </c>
      <c r="G345" s="37">
        <v>0.33233942104609271</v>
      </c>
    </row>
    <row r="346" spans="1:7" x14ac:dyDescent="0.25">
      <c r="A346" s="12" t="s">
        <v>463</v>
      </c>
      <c r="B346" s="49">
        <v>23643.84</v>
      </c>
      <c r="C346" s="49">
        <v>756</v>
      </c>
      <c r="D346" s="20">
        <v>1706.6622460000001</v>
      </c>
      <c r="E346" s="15">
        <v>3.1974501603800401E-2</v>
      </c>
      <c r="F346" s="79">
        <v>22887.84</v>
      </c>
      <c r="G346" s="37">
        <v>3.3030639850680533E-2</v>
      </c>
    </row>
    <row r="347" spans="1:7" x14ac:dyDescent="0.25">
      <c r="A347" s="12" t="s">
        <v>464</v>
      </c>
      <c r="B347" s="49">
        <v>11159.84</v>
      </c>
      <c r="C347" s="49">
        <v>832</v>
      </c>
      <c r="D347" s="20">
        <v>1997.5227999999997</v>
      </c>
      <c r="E347" s="15">
        <v>7.455304018695609E-2</v>
      </c>
      <c r="F347" s="79">
        <v>10327.84</v>
      </c>
      <c r="G347" s="37">
        <v>8.0558955212319316E-2</v>
      </c>
    </row>
    <row r="348" spans="1:7" x14ac:dyDescent="0.25">
      <c r="A348" s="12" t="s">
        <v>465</v>
      </c>
      <c r="B348" s="49">
        <v>10647.84</v>
      </c>
      <c r="C348" s="49">
        <v>600</v>
      </c>
      <c r="D348" s="20">
        <v>1369.394264</v>
      </c>
      <c r="E348" s="15">
        <v>5.6349456791236534E-2</v>
      </c>
      <c r="F348" s="79">
        <v>10047.84</v>
      </c>
      <c r="G348" s="37">
        <v>5.9714326661252565E-2</v>
      </c>
    </row>
    <row r="349" spans="1:7" x14ac:dyDescent="0.25">
      <c r="A349" s="12" t="s">
        <v>466</v>
      </c>
      <c r="B349" s="49">
        <v>11618.68</v>
      </c>
      <c r="C349" s="49">
        <v>323</v>
      </c>
      <c r="D349" s="20">
        <v>837.76786799999991</v>
      </c>
      <c r="E349" s="15">
        <v>2.7800059903534652E-2</v>
      </c>
      <c r="F349" s="79">
        <v>11295.68</v>
      </c>
      <c r="G349" s="37">
        <v>2.859500269129437E-2</v>
      </c>
    </row>
    <row r="350" spans="1:7" x14ac:dyDescent="0.25">
      <c r="A350" s="12" t="s">
        <v>467</v>
      </c>
      <c r="B350" s="49">
        <v>20017.68</v>
      </c>
      <c r="C350" s="49">
        <v>402</v>
      </c>
      <c r="D350" s="20">
        <v>1368.4238600000001</v>
      </c>
      <c r="E350" s="15">
        <v>2.0082247293392641E-2</v>
      </c>
      <c r="F350" s="79">
        <v>19615.68</v>
      </c>
      <c r="G350" s="37">
        <v>2.049380903440513E-2</v>
      </c>
    </row>
    <row r="351" spans="1:7" x14ac:dyDescent="0.25">
      <c r="A351" s="12" t="s">
        <v>468</v>
      </c>
      <c r="B351" s="49">
        <v>11862</v>
      </c>
      <c r="C351" s="49">
        <v>502</v>
      </c>
      <c r="D351" s="20">
        <v>1151.782506</v>
      </c>
      <c r="E351" s="15">
        <v>4.2320013488450513E-2</v>
      </c>
      <c r="F351" s="79">
        <v>11360</v>
      </c>
      <c r="G351" s="37">
        <v>4.4190140845070419E-2</v>
      </c>
    </row>
    <row r="352" spans="1:7" x14ac:dyDescent="0.25">
      <c r="A352" s="12" t="s">
        <v>469</v>
      </c>
      <c r="B352" s="49">
        <v>19169.52</v>
      </c>
      <c r="C352" s="49">
        <v>666</v>
      </c>
      <c r="D352" s="20">
        <v>1498.8806140000002</v>
      </c>
      <c r="E352" s="15">
        <v>3.4742653963166524E-2</v>
      </c>
      <c r="F352" s="79">
        <v>18503.52</v>
      </c>
      <c r="G352" s="37">
        <v>3.5993151573322266E-2</v>
      </c>
    </row>
    <row r="353" spans="1:7" x14ac:dyDescent="0.25">
      <c r="A353" s="12" t="s">
        <v>470</v>
      </c>
      <c r="B353" s="49">
        <v>16684.68</v>
      </c>
      <c r="C353" s="49">
        <v>669</v>
      </c>
      <c r="D353" s="20">
        <v>1816.4049399999999</v>
      </c>
      <c r="E353" s="15">
        <v>4.0096663526061033E-2</v>
      </c>
      <c r="F353" s="79">
        <v>16015.68</v>
      </c>
      <c r="G353" s="37">
        <v>4.177156386740994E-2</v>
      </c>
    </row>
    <row r="354" spans="1:7" x14ac:dyDescent="0.25">
      <c r="A354" s="12" t="s">
        <v>471</v>
      </c>
      <c r="B354" s="49">
        <v>17124.52</v>
      </c>
      <c r="C354" s="49">
        <v>341</v>
      </c>
      <c r="D354" s="20">
        <v>712.45421799999997</v>
      </c>
      <c r="E354" s="15">
        <v>1.9912966903597881E-2</v>
      </c>
      <c r="F354" s="79">
        <v>16783.52</v>
      </c>
      <c r="G354" s="37">
        <v>2.0317549596270627E-2</v>
      </c>
    </row>
    <row r="355" spans="1:7" x14ac:dyDescent="0.25">
      <c r="A355" s="12" t="s">
        <v>472</v>
      </c>
      <c r="B355" s="49">
        <v>11238.68</v>
      </c>
      <c r="C355" s="49">
        <v>823</v>
      </c>
      <c r="D355" s="20">
        <v>1551.855184</v>
      </c>
      <c r="E355" s="15">
        <v>7.3229240444607366E-2</v>
      </c>
      <c r="F355" s="79">
        <v>10415.68</v>
      </c>
      <c r="G355" s="37">
        <v>7.9015484346677309E-2</v>
      </c>
    </row>
    <row r="356" spans="1:7" x14ac:dyDescent="0.25">
      <c r="A356" s="12" t="s">
        <v>473</v>
      </c>
      <c r="B356" s="49">
        <v>13123</v>
      </c>
      <c r="C356" s="49">
        <v>123</v>
      </c>
      <c r="D356" s="20">
        <v>239.95036800000003</v>
      </c>
      <c r="E356" s="15">
        <v>9.3728568162767655E-3</v>
      </c>
      <c r="F356" s="79">
        <v>13000</v>
      </c>
      <c r="G356" s="37">
        <v>9.4615384615384622E-3</v>
      </c>
    </row>
    <row r="357" spans="1:7" x14ac:dyDescent="0.25">
      <c r="A357" s="12" t="s">
        <v>474</v>
      </c>
      <c r="B357" s="49">
        <v>4282.5200000000004</v>
      </c>
      <c r="C357" s="49">
        <v>419</v>
      </c>
      <c r="D357" s="20">
        <v>821.24</v>
      </c>
      <c r="E357" s="15">
        <v>9.7839589774245062E-2</v>
      </c>
      <c r="F357" s="79">
        <v>3863.52</v>
      </c>
      <c r="G357" s="37">
        <v>0.10845032509214395</v>
      </c>
    </row>
    <row r="358" spans="1:7" x14ac:dyDescent="0.25">
      <c r="A358" s="12" t="s">
        <v>475</v>
      </c>
      <c r="B358" s="49">
        <v>17079</v>
      </c>
      <c r="C358" s="49">
        <v>79</v>
      </c>
      <c r="D358" s="20">
        <v>154.114464</v>
      </c>
      <c r="E358" s="15">
        <v>4.6255635575853391E-3</v>
      </c>
      <c r="F358" s="79">
        <v>17000</v>
      </c>
      <c r="G358" s="37">
        <v>4.6470588235294121E-3</v>
      </c>
    </row>
    <row r="359" spans="1:7" x14ac:dyDescent="0.25">
      <c r="A359" s="12" t="s">
        <v>476</v>
      </c>
      <c r="B359" s="49">
        <v>8018</v>
      </c>
      <c r="C359" s="49">
        <v>18</v>
      </c>
      <c r="D359" s="20">
        <v>35.114688000000001</v>
      </c>
      <c r="E359" s="15">
        <v>2.2449488650536295E-3</v>
      </c>
      <c r="F359" s="79">
        <v>8000</v>
      </c>
      <c r="G359" s="37">
        <v>2.2499999999999998E-3</v>
      </c>
    </row>
    <row r="360" spans="1:7" x14ac:dyDescent="0.25">
      <c r="A360" s="12" t="s">
        <v>477</v>
      </c>
      <c r="B360" s="49">
        <v>12271</v>
      </c>
      <c r="C360" s="49">
        <v>171</v>
      </c>
      <c r="D360" s="20">
        <v>424.99997000000002</v>
      </c>
      <c r="E360" s="15">
        <v>1.3935294597017358E-2</v>
      </c>
      <c r="F360" s="79">
        <v>12100</v>
      </c>
      <c r="G360" s="37">
        <v>1.4132231404958678E-2</v>
      </c>
    </row>
    <row r="361" spans="1:7" x14ac:dyDescent="0.25">
      <c r="A361" s="12" t="s">
        <v>478</v>
      </c>
      <c r="B361" s="49">
        <v>12899.84</v>
      </c>
      <c r="C361" s="49">
        <v>532</v>
      </c>
      <c r="D361" s="20">
        <v>1152.6725979999999</v>
      </c>
      <c r="E361" s="15">
        <v>4.1240821591585632E-2</v>
      </c>
      <c r="F361" s="79">
        <v>12367.84</v>
      </c>
      <c r="G361" s="37">
        <v>4.3014786737215226E-2</v>
      </c>
    </row>
    <row r="362" spans="1:7" x14ac:dyDescent="0.25">
      <c r="A362" s="12" t="s">
        <v>479</v>
      </c>
      <c r="B362" s="49">
        <v>12202</v>
      </c>
      <c r="C362" s="49">
        <v>362</v>
      </c>
      <c r="D362" s="20">
        <v>723.26484000000005</v>
      </c>
      <c r="E362" s="15">
        <v>2.9667267661039175E-2</v>
      </c>
      <c r="F362" s="79">
        <v>11840</v>
      </c>
      <c r="G362" s="37">
        <v>3.0574324324324324E-2</v>
      </c>
    </row>
    <row r="363" spans="1:7" x14ac:dyDescent="0.25">
      <c r="A363" s="12" t="s">
        <v>480</v>
      </c>
      <c r="B363" s="49">
        <v>13892.52</v>
      </c>
      <c r="C363" s="49">
        <v>389</v>
      </c>
      <c r="D363" s="20">
        <v>967.25644399999999</v>
      </c>
      <c r="E363" s="15">
        <v>2.8000679502350904E-2</v>
      </c>
      <c r="F363" s="79">
        <v>13503.52</v>
      </c>
      <c r="G363" s="37">
        <v>2.8807303577141365E-2</v>
      </c>
    </row>
    <row r="364" spans="1:7" x14ac:dyDescent="0.25">
      <c r="A364" s="12" t="s">
        <v>481</v>
      </c>
      <c r="B364" s="49">
        <v>7708.52</v>
      </c>
      <c r="C364" s="49">
        <v>405</v>
      </c>
      <c r="D364" s="20">
        <v>1070.40633</v>
      </c>
      <c r="E364" s="15">
        <v>5.2539268238261036E-2</v>
      </c>
      <c r="F364" s="79">
        <v>7303.52</v>
      </c>
      <c r="G364" s="37">
        <v>5.5452713212259294E-2</v>
      </c>
    </row>
    <row r="365" spans="1:7" x14ac:dyDescent="0.25">
      <c r="A365" s="12" t="s">
        <v>482</v>
      </c>
      <c r="B365" s="49">
        <v>8185.2</v>
      </c>
      <c r="C365" s="49">
        <v>546</v>
      </c>
      <c r="D365" s="20">
        <v>1135.41274</v>
      </c>
      <c r="E365" s="15">
        <v>6.6705761618531006E-2</v>
      </c>
      <c r="F365" s="79">
        <v>7639.2</v>
      </c>
      <c r="G365" s="37">
        <v>7.1473452717562044E-2</v>
      </c>
    </row>
    <row r="366" spans="1:7" x14ac:dyDescent="0.25">
      <c r="A366" s="12" t="s">
        <v>483</v>
      </c>
      <c r="B366" s="49">
        <v>16417.52</v>
      </c>
      <c r="C366" s="49">
        <v>314</v>
      </c>
      <c r="D366" s="20">
        <v>628.6403620000001</v>
      </c>
      <c r="E366" s="15">
        <v>1.9125909394354323E-2</v>
      </c>
      <c r="F366" s="79">
        <v>16103.52</v>
      </c>
      <c r="G366" s="37">
        <v>1.9498842489095551E-2</v>
      </c>
    </row>
    <row r="367" spans="1:7" x14ac:dyDescent="0.25">
      <c r="A367" s="12" t="s">
        <v>484</v>
      </c>
      <c r="B367" s="49">
        <v>12679</v>
      </c>
      <c r="C367" s="49">
        <v>159</v>
      </c>
      <c r="D367" s="20">
        <v>345.132364</v>
      </c>
      <c r="E367" s="15">
        <v>1.2540421168861898E-2</v>
      </c>
      <c r="F367" s="79">
        <v>12520</v>
      </c>
      <c r="G367" s="37">
        <v>1.2699680511182108E-2</v>
      </c>
    </row>
    <row r="368" spans="1:7" x14ac:dyDescent="0.25">
      <c r="A368" s="12" t="s">
        <v>485</v>
      </c>
      <c r="B368" s="49">
        <v>8290.36</v>
      </c>
      <c r="C368" s="49">
        <v>419</v>
      </c>
      <c r="D368" s="20">
        <v>942.45928000000004</v>
      </c>
      <c r="E368" s="15">
        <v>5.0540627910006318E-2</v>
      </c>
      <c r="F368" s="79">
        <v>7871.3600000000006</v>
      </c>
      <c r="G368" s="37">
        <v>5.32309537360761E-2</v>
      </c>
    </row>
    <row r="369" spans="1:7" x14ac:dyDescent="0.25">
      <c r="A369" s="12" t="s">
        <v>486</v>
      </c>
      <c r="B369" s="49">
        <v>17702</v>
      </c>
      <c r="C369" s="49">
        <v>302</v>
      </c>
      <c r="D369" s="20">
        <v>779.20613400000002</v>
      </c>
      <c r="E369" s="15">
        <v>1.7060219184272963E-2</v>
      </c>
      <c r="F369" s="79">
        <v>17400</v>
      </c>
      <c r="G369" s="37">
        <v>1.7356321839080459E-2</v>
      </c>
    </row>
    <row r="370" spans="1:7" x14ac:dyDescent="0.25">
      <c r="A370" s="12" t="s">
        <v>487</v>
      </c>
      <c r="B370" s="49">
        <v>11947</v>
      </c>
      <c r="C370" s="49">
        <v>427</v>
      </c>
      <c r="D370" s="20">
        <v>1456.05385</v>
      </c>
      <c r="E370" s="15">
        <v>3.5741190256968279E-2</v>
      </c>
      <c r="F370" s="79">
        <v>11520</v>
      </c>
      <c r="G370" s="37">
        <v>3.7065972222222222E-2</v>
      </c>
    </row>
    <row r="371" spans="1:7" x14ac:dyDescent="0.25">
      <c r="A371" s="12" t="s">
        <v>488</v>
      </c>
      <c r="B371" s="49">
        <v>14478</v>
      </c>
      <c r="C371" s="49">
        <v>238</v>
      </c>
      <c r="D371" s="20">
        <v>631.13444000000004</v>
      </c>
      <c r="E371" s="15">
        <v>1.6438734631855228E-2</v>
      </c>
      <c r="F371" s="79">
        <v>14240</v>
      </c>
      <c r="G371" s="37">
        <v>1.6713483146067416E-2</v>
      </c>
    </row>
    <row r="372" spans="1:7" x14ac:dyDescent="0.25">
      <c r="A372" s="12" t="s">
        <v>489</v>
      </c>
      <c r="B372" s="49">
        <v>15819</v>
      </c>
      <c r="C372" s="49">
        <v>179</v>
      </c>
      <c r="D372" s="20">
        <v>364.71374400000002</v>
      </c>
      <c r="E372" s="15">
        <v>1.1315506669195272E-2</v>
      </c>
      <c r="F372" s="79">
        <v>15640</v>
      </c>
      <c r="G372" s="37">
        <v>1.1445012787723785E-2</v>
      </c>
    </row>
    <row r="373" spans="1:7" x14ac:dyDescent="0.25">
      <c r="A373" s="12" t="s">
        <v>490</v>
      </c>
      <c r="B373" s="49">
        <v>9047</v>
      </c>
      <c r="C373" s="49">
        <v>47</v>
      </c>
      <c r="D373" s="20">
        <v>91.688352000000009</v>
      </c>
      <c r="E373" s="15">
        <v>5.1950922957886593E-3</v>
      </c>
      <c r="F373" s="79">
        <v>9000</v>
      </c>
      <c r="G373" s="37">
        <v>5.2222222222222218E-3</v>
      </c>
    </row>
    <row r="374" spans="1:7" x14ac:dyDescent="0.25">
      <c r="A374" s="12" t="s">
        <v>491</v>
      </c>
      <c r="B374" s="49">
        <v>9994</v>
      </c>
      <c r="C374" s="49">
        <v>274</v>
      </c>
      <c r="D374" s="20">
        <v>563.61923400000001</v>
      </c>
      <c r="E374" s="15">
        <v>2.7416449869921953E-2</v>
      </c>
      <c r="F374" s="79">
        <v>9720</v>
      </c>
      <c r="G374" s="37">
        <v>2.8189300411522632E-2</v>
      </c>
    </row>
    <row r="375" spans="1:7" x14ac:dyDescent="0.25">
      <c r="A375" s="12" t="s">
        <v>492</v>
      </c>
      <c r="B375" s="49">
        <v>9021</v>
      </c>
      <c r="C375" s="49">
        <v>21</v>
      </c>
      <c r="D375" s="20">
        <v>40.967136000000004</v>
      </c>
      <c r="E375" s="15">
        <v>2.3279015630196208E-3</v>
      </c>
      <c r="F375" s="79">
        <v>9000</v>
      </c>
      <c r="G375" s="37">
        <v>2.3333333333333335E-3</v>
      </c>
    </row>
    <row r="376" spans="1:7" x14ac:dyDescent="0.25">
      <c r="A376" s="12" t="s">
        <v>493</v>
      </c>
      <c r="B376" s="49">
        <v>10023</v>
      </c>
      <c r="C376" s="49">
        <v>23</v>
      </c>
      <c r="D376" s="20">
        <v>44.868768000000003</v>
      </c>
      <c r="E376" s="15">
        <v>2.2947221390801158E-3</v>
      </c>
      <c r="F376" s="79">
        <v>10000</v>
      </c>
      <c r="G376" s="37">
        <v>2.3E-3</v>
      </c>
    </row>
    <row r="377" spans="1:7" x14ac:dyDescent="0.25">
      <c r="A377" s="12" t="s">
        <v>494</v>
      </c>
      <c r="B377" s="49">
        <v>20</v>
      </c>
      <c r="C377" s="49">
        <v>20</v>
      </c>
      <c r="D377" s="20">
        <v>0</v>
      </c>
      <c r="E377" s="15">
        <v>1</v>
      </c>
      <c r="F377" s="79"/>
      <c r="G377" s="37">
        <v>1</v>
      </c>
    </row>
    <row r="378" spans="1:7" x14ac:dyDescent="0.25">
      <c r="A378" s="12" t="s">
        <v>495</v>
      </c>
      <c r="B378" s="49">
        <v>9089</v>
      </c>
      <c r="C378" s="49">
        <v>89</v>
      </c>
      <c r="D378" s="20">
        <v>173.622624</v>
      </c>
      <c r="E378" s="15">
        <v>9.7920563318296839E-3</v>
      </c>
      <c r="F378" s="79">
        <v>9000</v>
      </c>
      <c r="G378" s="37">
        <v>9.888888888888888E-3</v>
      </c>
    </row>
    <row r="379" spans="1:7" x14ac:dyDescent="0.25">
      <c r="A379" s="12" t="s">
        <v>496</v>
      </c>
      <c r="B379" s="49">
        <v>7025</v>
      </c>
      <c r="C379" s="49">
        <v>25</v>
      </c>
      <c r="D379" s="20">
        <v>48.770400000000002</v>
      </c>
      <c r="E379" s="15">
        <v>3.5587188612099642E-3</v>
      </c>
      <c r="F379" s="79">
        <v>7000</v>
      </c>
      <c r="G379" s="37">
        <v>3.5714285714285713E-3</v>
      </c>
    </row>
    <row r="380" spans="1:7" x14ac:dyDescent="0.25">
      <c r="A380" s="12" t="s">
        <v>497</v>
      </c>
      <c r="B380" s="49">
        <v>7474.73</v>
      </c>
      <c r="C380" s="49">
        <v>564</v>
      </c>
      <c r="D380" s="20">
        <v>1078.2439200000001</v>
      </c>
      <c r="E380" s="15">
        <v>7.5454230453809043E-2</v>
      </c>
      <c r="F380" s="79">
        <v>6910.73</v>
      </c>
      <c r="G380" s="37">
        <v>8.1612217522606154E-2</v>
      </c>
    </row>
    <row r="381" spans="1:7" x14ac:dyDescent="0.25">
      <c r="A381" s="12" t="s">
        <v>498</v>
      </c>
      <c r="B381" s="49">
        <v>17988.900000000001</v>
      </c>
      <c r="C381" s="49">
        <v>537</v>
      </c>
      <c r="D381" s="20">
        <v>1027.9921200000001</v>
      </c>
      <c r="E381" s="15">
        <v>2.9851741907509628E-2</v>
      </c>
      <c r="F381" s="79">
        <v>17451.900000000001</v>
      </c>
      <c r="G381" s="37">
        <v>3.077028862186925E-2</v>
      </c>
    </row>
    <row r="382" spans="1:7" x14ac:dyDescent="0.25">
      <c r="A382" s="12" t="s">
        <v>499</v>
      </c>
      <c r="B382" s="49">
        <v>3900.8</v>
      </c>
      <c r="C382" s="49">
        <v>588</v>
      </c>
      <c r="D382" s="20">
        <v>1124.5170000000001</v>
      </c>
      <c r="E382" s="15">
        <v>0.15073831009023789</v>
      </c>
      <c r="F382" s="79">
        <v>3312.8</v>
      </c>
      <c r="G382" s="37">
        <v>0.17749335909200675</v>
      </c>
    </row>
    <row r="383" spans="1:7" x14ac:dyDescent="0.25">
      <c r="A383" s="12" t="s">
        <v>500</v>
      </c>
      <c r="B383" s="49">
        <v>14576.65</v>
      </c>
      <c r="C383" s="49">
        <v>868</v>
      </c>
      <c r="D383" s="20">
        <v>1662.2356320000001</v>
      </c>
      <c r="E383" s="15">
        <v>5.9547289672181196E-2</v>
      </c>
      <c r="F383" s="79">
        <v>13708.65</v>
      </c>
      <c r="G383" s="37">
        <v>6.3317686278371685E-2</v>
      </c>
    </row>
    <row r="384" spans="1:7" x14ac:dyDescent="0.25">
      <c r="A384" s="12" t="s">
        <v>501</v>
      </c>
      <c r="B384" s="49">
        <v>13216.38</v>
      </c>
      <c r="C384" s="49">
        <v>597</v>
      </c>
      <c r="D384" s="20">
        <v>1141.605912</v>
      </c>
      <c r="E384" s="15">
        <v>4.5171219350533205E-2</v>
      </c>
      <c r="F384" s="79">
        <v>12619.38</v>
      </c>
      <c r="G384" s="37">
        <v>4.7308187882447478E-2</v>
      </c>
    </row>
    <row r="385" spans="1:7" x14ac:dyDescent="0.25">
      <c r="A385" s="12" t="s">
        <v>502</v>
      </c>
      <c r="B385" s="49">
        <v>10983.23</v>
      </c>
      <c r="C385" s="49">
        <v>359</v>
      </c>
      <c r="D385" s="20">
        <v>687.96853199999998</v>
      </c>
      <c r="E385" s="15">
        <v>3.2686195226722926E-2</v>
      </c>
      <c r="F385" s="79">
        <v>10624.23</v>
      </c>
      <c r="G385" s="37">
        <v>3.3790684124873051E-2</v>
      </c>
    </row>
    <row r="386" spans="1:7" x14ac:dyDescent="0.25">
      <c r="A386" s="12" t="s">
        <v>503</v>
      </c>
      <c r="B386" s="49">
        <v>15194.83</v>
      </c>
      <c r="C386" s="49">
        <v>545</v>
      </c>
      <c r="D386" s="20">
        <v>1042.466604</v>
      </c>
      <c r="E386" s="15">
        <v>3.5867462814654721E-2</v>
      </c>
      <c r="F386" s="79">
        <v>14649.83</v>
      </c>
      <c r="G386" s="37">
        <v>3.7201796880919437E-2</v>
      </c>
    </row>
    <row r="387" spans="1:7" x14ac:dyDescent="0.25">
      <c r="A387" s="12" t="s">
        <v>504</v>
      </c>
      <c r="B387" s="49">
        <v>16592</v>
      </c>
      <c r="C387" s="49">
        <v>601</v>
      </c>
      <c r="D387" s="20">
        <v>1149.721464</v>
      </c>
      <c r="E387" s="15">
        <v>3.6222275795564127E-2</v>
      </c>
      <c r="F387" s="79">
        <v>15991</v>
      </c>
      <c r="G387" s="37">
        <v>3.7583640797948847E-2</v>
      </c>
    </row>
    <row r="388" spans="1:7" x14ac:dyDescent="0.25">
      <c r="A388" s="12" t="s">
        <v>505</v>
      </c>
      <c r="B388" s="49">
        <v>3202.6</v>
      </c>
      <c r="C388" s="49">
        <v>497</v>
      </c>
      <c r="D388" s="20">
        <v>950.15466000000004</v>
      </c>
      <c r="E388" s="15">
        <v>0.15518641104102918</v>
      </c>
      <c r="F388" s="79">
        <v>2705.6</v>
      </c>
      <c r="G388" s="37">
        <v>0.18369308101714962</v>
      </c>
    </row>
    <row r="389" spans="1:7" x14ac:dyDescent="0.25">
      <c r="A389" s="12" t="s">
        <v>506</v>
      </c>
      <c r="B389" s="49">
        <v>20473.580000000002</v>
      </c>
      <c r="C389" s="49">
        <v>567</v>
      </c>
      <c r="D389" s="20">
        <v>1038.604992</v>
      </c>
      <c r="E389" s="15">
        <v>2.7694228366509421E-2</v>
      </c>
      <c r="F389" s="79">
        <v>19906.580000000002</v>
      </c>
      <c r="G389" s="37">
        <v>2.8483044299924948E-2</v>
      </c>
    </row>
    <row r="390" spans="1:7" x14ac:dyDescent="0.25">
      <c r="A390" s="12" t="s">
        <v>507</v>
      </c>
      <c r="B390" s="49">
        <v>9914.18</v>
      </c>
      <c r="C390" s="49">
        <v>382</v>
      </c>
      <c r="D390" s="20">
        <v>730.29996000000006</v>
      </c>
      <c r="E390" s="15">
        <v>3.8530670211757302E-2</v>
      </c>
      <c r="F390" s="79">
        <v>9532.18</v>
      </c>
      <c r="G390" s="37">
        <v>4.007477827737202E-2</v>
      </c>
    </row>
    <row r="391" spans="1:7" x14ac:dyDescent="0.25">
      <c r="A391" s="12" t="s">
        <v>508</v>
      </c>
      <c r="B391" s="49">
        <v>10738.029999999999</v>
      </c>
      <c r="C391" s="49">
        <v>601</v>
      </c>
      <c r="D391" s="20">
        <v>1152.7662720000001</v>
      </c>
      <c r="E391" s="15">
        <v>5.5969297906599262E-2</v>
      </c>
      <c r="F391" s="79">
        <v>10137.029999999999</v>
      </c>
      <c r="G391" s="37">
        <v>5.928758226028729E-2</v>
      </c>
    </row>
    <row r="392" spans="1:7" x14ac:dyDescent="0.25">
      <c r="A392" s="12" t="s">
        <v>509</v>
      </c>
      <c r="B392" s="49">
        <v>1474</v>
      </c>
      <c r="C392" s="49">
        <v>1474</v>
      </c>
      <c r="D392" s="20">
        <v>0</v>
      </c>
      <c r="E392" s="15">
        <v>1</v>
      </c>
      <c r="F392" s="79"/>
      <c r="G392" s="37">
        <v>1</v>
      </c>
    </row>
    <row r="393" spans="1:7" x14ac:dyDescent="0.25">
      <c r="A393" s="12" t="s">
        <v>510</v>
      </c>
      <c r="B393" s="49">
        <v>7751.4</v>
      </c>
      <c r="C393" s="49">
        <v>586</v>
      </c>
      <c r="D393" s="20">
        <v>1120.3030799999999</v>
      </c>
      <c r="E393" s="15">
        <v>7.5599246587713193E-2</v>
      </c>
      <c r="F393" s="79">
        <v>7165.4</v>
      </c>
      <c r="G393" s="37">
        <v>8.1781896335166221E-2</v>
      </c>
    </row>
    <row r="394" spans="1:7" x14ac:dyDescent="0.25">
      <c r="A394" s="12" t="s">
        <v>511</v>
      </c>
      <c r="B394" s="49">
        <v>5168</v>
      </c>
      <c r="C394" s="49">
        <v>168</v>
      </c>
      <c r="D394" s="20">
        <v>265.78944000000001</v>
      </c>
      <c r="E394" s="15">
        <v>3.2507739938080496E-2</v>
      </c>
      <c r="F394" s="79">
        <v>5000</v>
      </c>
      <c r="G394" s="37">
        <v>3.3599999999999998E-2</v>
      </c>
    </row>
    <row r="395" spans="1:7" x14ac:dyDescent="0.25">
      <c r="A395" s="12" t="s">
        <v>512</v>
      </c>
      <c r="B395" s="49">
        <v>5038</v>
      </c>
      <c r="C395" s="49">
        <v>38</v>
      </c>
      <c r="D395" s="20">
        <v>60.119039999999998</v>
      </c>
      <c r="E395" s="15">
        <v>7.5426756649464074E-3</v>
      </c>
      <c r="F395" s="79">
        <v>5000</v>
      </c>
      <c r="G395" s="37">
        <v>7.6E-3</v>
      </c>
    </row>
    <row r="396" spans="1:7" x14ac:dyDescent="0.25">
      <c r="A396" s="12" t="s">
        <v>514</v>
      </c>
      <c r="B396" s="49">
        <v>13078</v>
      </c>
      <c r="C396" s="49">
        <v>78</v>
      </c>
      <c r="D396" s="20">
        <v>138.889152</v>
      </c>
      <c r="E396" s="15">
        <v>5.9642147117296221E-3</v>
      </c>
      <c r="F396" s="79">
        <v>13000</v>
      </c>
      <c r="G396" s="37">
        <v>6.0000000000000001E-3</v>
      </c>
    </row>
    <row r="397" spans="1:7" x14ac:dyDescent="0.25">
      <c r="A397" s="12" t="s">
        <v>515</v>
      </c>
      <c r="B397" s="49">
        <v>16354</v>
      </c>
      <c r="C397" s="49">
        <v>154</v>
      </c>
      <c r="D397" s="20">
        <v>287.44129600000002</v>
      </c>
      <c r="E397" s="15">
        <v>9.416656475480005E-3</v>
      </c>
      <c r="F397" s="79">
        <v>16200</v>
      </c>
      <c r="G397" s="37">
        <v>9.5061728395061731E-3</v>
      </c>
    </row>
    <row r="398" spans="1:7" x14ac:dyDescent="0.25">
      <c r="A398" s="12" t="s">
        <v>516</v>
      </c>
      <c r="B398" s="49">
        <v>8985</v>
      </c>
      <c r="C398" s="49">
        <v>265</v>
      </c>
      <c r="D398" s="20">
        <v>499.83084000000002</v>
      </c>
      <c r="E398" s="15">
        <v>2.9493600445186421E-2</v>
      </c>
      <c r="F398" s="79">
        <v>8720</v>
      </c>
      <c r="G398" s="37">
        <v>3.0389908256880736E-2</v>
      </c>
    </row>
    <row r="399" spans="1:7" x14ac:dyDescent="0.25">
      <c r="A399" s="12" t="s">
        <v>517</v>
      </c>
      <c r="B399" s="49">
        <v>6786</v>
      </c>
      <c r="C399" s="49">
        <v>386</v>
      </c>
      <c r="D399" s="20">
        <v>860.86394000000007</v>
      </c>
      <c r="E399" s="15">
        <v>5.6881815502505158E-2</v>
      </c>
      <c r="F399" s="79">
        <v>6400</v>
      </c>
      <c r="G399" s="37">
        <v>6.0312499999999998E-2</v>
      </c>
    </row>
    <row r="400" spans="1:7" x14ac:dyDescent="0.25">
      <c r="A400" s="12" t="s">
        <v>518</v>
      </c>
      <c r="B400" s="49">
        <v>5981</v>
      </c>
      <c r="C400" s="49">
        <v>621</v>
      </c>
      <c r="D400" s="20">
        <v>1091.12654</v>
      </c>
      <c r="E400" s="15">
        <v>0.10382879117204481</v>
      </c>
      <c r="F400" s="79">
        <v>5360</v>
      </c>
      <c r="G400" s="37">
        <v>0.11585820895522388</v>
      </c>
    </row>
    <row r="401" spans="1:7" x14ac:dyDescent="0.25">
      <c r="A401" s="12" t="s">
        <v>519</v>
      </c>
      <c r="B401" s="49">
        <v>14030.8</v>
      </c>
      <c r="C401" s="49">
        <v>754</v>
      </c>
      <c r="D401" s="20">
        <v>619.20993399999998</v>
      </c>
      <c r="E401" s="15">
        <v>5.3738917239216581E-2</v>
      </c>
      <c r="F401" s="79">
        <v>13276.8</v>
      </c>
      <c r="G401" s="37">
        <v>5.679079296215956E-2</v>
      </c>
    </row>
    <row r="402" spans="1:7" x14ac:dyDescent="0.25">
      <c r="A402" s="12" t="s">
        <v>520</v>
      </c>
      <c r="B402" s="49">
        <v>12425.2</v>
      </c>
      <c r="C402" s="49">
        <v>374</v>
      </c>
      <c r="D402" s="20">
        <v>144.14072400000001</v>
      </c>
      <c r="E402" s="15">
        <v>3.0100119112770819E-2</v>
      </c>
      <c r="F402" s="79">
        <v>12051.2</v>
      </c>
      <c r="G402" s="37">
        <v>3.1034253850238978E-2</v>
      </c>
    </row>
    <row r="403" spans="1:7" x14ac:dyDescent="0.25">
      <c r="A403" s="12" t="s">
        <v>521</v>
      </c>
      <c r="B403" s="49">
        <v>9062</v>
      </c>
      <c r="C403" s="49">
        <v>422</v>
      </c>
      <c r="D403" s="20">
        <v>669.93115</v>
      </c>
      <c r="E403" s="15">
        <v>4.6568086515118075E-2</v>
      </c>
      <c r="F403" s="79">
        <v>8640</v>
      </c>
      <c r="G403" s="37">
        <v>4.884259259259259E-2</v>
      </c>
    </row>
    <row r="404" spans="1:7" x14ac:dyDescent="0.25">
      <c r="A404" s="12" t="s">
        <v>523</v>
      </c>
      <c r="B404" s="49">
        <v>7301</v>
      </c>
      <c r="C404" s="49">
        <v>101</v>
      </c>
      <c r="D404" s="20">
        <v>393.32531</v>
      </c>
      <c r="E404" s="15">
        <v>1.3833721408026297E-2</v>
      </c>
      <c r="F404" s="79">
        <v>7200</v>
      </c>
      <c r="G404" s="37">
        <v>1.4027777777777778E-2</v>
      </c>
    </row>
    <row r="405" spans="1:7" x14ac:dyDescent="0.25">
      <c r="A405" s="12" t="s">
        <v>524</v>
      </c>
      <c r="B405" s="49">
        <v>6483</v>
      </c>
      <c r="C405" s="49">
        <v>83</v>
      </c>
      <c r="D405" s="20">
        <v>323.22773000000001</v>
      </c>
      <c r="E405" s="15">
        <v>1.2802714792534321E-2</v>
      </c>
      <c r="F405" s="79">
        <v>6400</v>
      </c>
      <c r="G405" s="37">
        <v>1.2968749999999999E-2</v>
      </c>
    </row>
    <row r="406" spans="1:7" x14ac:dyDescent="0.25">
      <c r="A406" s="12" t="s">
        <v>525</v>
      </c>
      <c r="B406" s="49">
        <v>690</v>
      </c>
      <c r="C406" s="49">
        <v>690</v>
      </c>
      <c r="D406" s="20">
        <v>0</v>
      </c>
      <c r="E406" s="15">
        <v>1</v>
      </c>
      <c r="F406" s="79">
        <v>0</v>
      </c>
      <c r="G406" s="37">
        <v>1</v>
      </c>
    </row>
    <row r="407" spans="1:7" x14ac:dyDescent="0.25">
      <c r="A407" s="12" t="s">
        <v>527</v>
      </c>
      <c r="B407" s="49">
        <v>1581.6</v>
      </c>
      <c r="C407" s="49">
        <v>156</v>
      </c>
      <c r="D407" s="20">
        <v>298.23768000000001</v>
      </c>
      <c r="E407" s="15">
        <v>9.8634294385432475E-2</v>
      </c>
      <c r="F407" s="79">
        <v>1425.6</v>
      </c>
      <c r="G407" s="37">
        <v>0.10942760942760943</v>
      </c>
    </row>
    <row r="408" spans="1:7" x14ac:dyDescent="0.25">
      <c r="A408" s="12" t="s">
        <v>528</v>
      </c>
      <c r="B408" s="49">
        <v>5465</v>
      </c>
      <c r="C408" s="49">
        <v>327</v>
      </c>
      <c r="D408" s="20">
        <v>598.38714000000004</v>
      </c>
      <c r="E408" s="15">
        <v>5.9835315645013723E-2</v>
      </c>
      <c r="F408" s="79">
        <v>5138</v>
      </c>
      <c r="G408" s="37">
        <v>6.3643441027637207E-2</v>
      </c>
    </row>
    <row r="409" spans="1:7" x14ac:dyDescent="0.25">
      <c r="A409" s="12" t="s">
        <v>529</v>
      </c>
      <c r="B409" s="49">
        <v>279</v>
      </c>
      <c r="C409" s="49">
        <v>279</v>
      </c>
      <c r="D409" s="20">
        <v>533.38661999999999</v>
      </c>
      <c r="E409" s="15">
        <v>1</v>
      </c>
      <c r="F409" s="79">
        <v>0</v>
      </c>
      <c r="G409" s="37">
        <v>1</v>
      </c>
    </row>
    <row r="410" spans="1:7" x14ac:dyDescent="0.25">
      <c r="A410" s="12" t="s">
        <v>530</v>
      </c>
      <c r="B410" s="49">
        <v>13096</v>
      </c>
      <c r="C410" s="49">
        <v>96</v>
      </c>
      <c r="D410" s="20">
        <v>167.77017600000002</v>
      </c>
      <c r="E410" s="15">
        <v>7.3304825901038487E-3</v>
      </c>
      <c r="F410" s="79">
        <v>13000</v>
      </c>
      <c r="G410" s="37">
        <v>7.3846153846153844E-3</v>
      </c>
    </row>
    <row r="411" spans="1:7" x14ac:dyDescent="0.25">
      <c r="A411" s="12" t="s">
        <v>531</v>
      </c>
      <c r="B411" s="49">
        <v>15081</v>
      </c>
      <c r="C411" s="49">
        <v>81</v>
      </c>
      <c r="D411" s="20">
        <v>118.99977600000001</v>
      </c>
      <c r="E411" s="15">
        <v>5.3709966182613885E-3</v>
      </c>
      <c r="F411" s="79">
        <v>15000</v>
      </c>
      <c r="G411" s="37">
        <v>5.4000000000000003E-3</v>
      </c>
    </row>
    <row r="412" spans="1:7" x14ac:dyDescent="0.25">
      <c r="A412" s="12" t="s">
        <v>532</v>
      </c>
      <c r="B412" s="49">
        <v>6027</v>
      </c>
      <c r="C412" s="49">
        <v>27</v>
      </c>
      <c r="D412" s="20">
        <v>52.672032000000002</v>
      </c>
      <c r="E412" s="15">
        <v>4.4798407167745144E-3</v>
      </c>
      <c r="F412" s="79">
        <v>6000</v>
      </c>
      <c r="G412" s="37">
        <v>4.4999999999999997E-3</v>
      </c>
    </row>
    <row r="413" spans="1:7" x14ac:dyDescent="0.25">
      <c r="A413" s="12" t="s">
        <v>533</v>
      </c>
      <c r="B413" s="49">
        <v>5067</v>
      </c>
      <c r="C413" s="49">
        <v>67</v>
      </c>
      <c r="D413" s="20">
        <v>130.70467200000002</v>
      </c>
      <c r="E413" s="15">
        <v>1.3222814288533649E-2</v>
      </c>
      <c r="F413" s="79">
        <v>5000</v>
      </c>
      <c r="G413" s="37">
        <v>1.34E-2</v>
      </c>
    </row>
    <row r="414" spans="1:7" x14ac:dyDescent="0.25">
      <c r="A414" s="12" t="s">
        <v>534</v>
      </c>
      <c r="B414" s="49">
        <v>1007</v>
      </c>
      <c r="C414" s="49">
        <v>7</v>
      </c>
      <c r="D414" s="20">
        <v>13.655712000000001</v>
      </c>
      <c r="E414" s="15">
        <v>6.9513406156901684E-3</v>
      </c>
      <c r="F414" s="79">
        <v>1000</v>
      </c>
      <c r="G414" s="37">
        <v>7.0000000000000001E-3</v>
      </c>
    </row>
    <row r="415" spans="1:7" x14ac:dyDescent="0.25">
      <c r="A415" s="12" t="s">
        <v>547</v>
      </c>
      <c r="B415" s="49">
        <v>7</v>
      </c>
      <c r="C415" s="49">
        <v>7</v>
      </c>
      <c r="D415" s="20">
        <v>0</v>
      </c>
      <c r="E415" s="15">
        <v>1</v>
      </c>
      <c r="F415" s="79"/>
      <c r="G415" s="37">
        <v>1</v>
      </c>
    </row>
    <row r="416" spans="1:7" x14ac:dyDescent="0.25">
      <c r="A416" s="12" t="s">
        <v>535</v>
      </c>
      <c r="B416" s="49">
        <v>17036</v>
      </c>
      <c r="C416" s="49">
        <v>864</v>
      </c>
      <c r="D416" s="20">
        <v>1733.0327560000003</v>
      </c>
      <c r="E416" s="15">
        <v>5.0716130547076778E-2</v>
      </c>
      <c r="F416" s="79">
        <v>16172</v>
      </c>
      <c r="G416" s="37">
        <v>5.3425674004452139E-2</v>
      </c>
    </row>
    <row r="417" spans="1:7" x14ac:dyDescent="0.25">
      <c r="A417" s="12" t="s">
        <v>536</v>
      </c>
      <c r="B417" s="49">
        <v>16277.8</v>
      </c>
      <c r="C417" s="49">
        <v>473</v>
      </c>
      <c r="D417" s="20">
        <v>1025.8572059999999</v>
      </c>
      <c r="E417" s="15">
        <v>2.9057980808217327E-2</v>
      </c>
      <c r="F417" s="79">
        <v>15804.8</v>
      </c>
      <c r="G417" s="37">
        <v>2.9927616926503343E-2</v>
      </c>
    </row>
    <row r="418" spans="1:7" x14ac:dyDescent="0.25">
      <c r="A418" s="12" t="s">
        <v>537</v>
      </c>
      <c r="B418" s="49">
        <v>6097.2</v>
      </c>
      <c r="C418" s="49">
        <v>446</v>
      </c>
      <c r="D418" s="20">
        <v>1130.59844</v>
      </c>
      <c r="E418" s="15">
        <v>7.3148330381158561E-2</v>
      </c>
      <c r="F418" s="79">
        <v>5651.2</v>
      </c>
      <c r="G418" s="37">
        <v>7.8921291053227635E-2</v>
      </c>
    </row>
    <row r="419" spans="1:7" x14ac:dyDescent="0.25">
      <c r="A419" s="12" t="s">
        <v>538</v>
      </c>
      <c r="B419" s="49">
        <v>8073.8</v>
      </c>
      <c r="C419" s="49">
        <v>745</v>
      </c>
      <c r="D419" s="20">
        <v>1309.8035159999999</v>
      </c>
      <c r="E419" s="15">
        <v>9.2273774430875172E-2</v>
      </c>
      <c r="F419" s="79">
        <v>7328.8</v>
      </c>
      <c r="G419" s="37">
        <v>0.10165374959065604</v>
      </c>
    </row>
    <row r="420" spans="1:7" x14ac:dyDescent="0.25">
      <c r="A420" s="12" t="s">
        <v>539</v>
      </c>
      <c r="B420" s="49">
        <v>6190.6</v>
      </c>
      <c r="C420" s="49">
        <v>633</v>
      </c>
      <c r="D420" s="20">
        <v>1215.4266</v>
      </c>
      <c r="E420" s="15">
        <v>0.1022518011178238</v>
      </c>
      <c r="F420" s="79">
        <v>5557.6</v>
      </c>
      <c r="G420" s="37">
        <v>0.11389808550453433</v>
      </c>
    </row>
    <row r="421" spans="1:7" x14ac:dyDescent="0.25">
      <c r="A421" s="12" t="s">
        <v>540</v>
      </c>
      <c r="B421" s="49">
        <v>9406.4</v>
      </c>
      <c r="C421" s="49">
        <v>572</v>
      </c>
      <c r="D421" s="20">
        <v>1094.2798439999999</v>
      </c>
      <c r="E421" s="15">
        <v>6.0809661507059028E-2</v>
      </c>
      <c r="F421" s="79">
        <v>8834.4</v>
      </c>
      <c r="G421" s="37">
        <v>6.4746898487729784E-2</v>
      </c>
    </row>
    <row r="422" spans="1:7" x14ac:dyDescent="0.25">
      <c r="A422" s="12" t="s">
        <v>541</v>
      </c>
      <c r="B422" s="49">
        <v>21449.4</v>
      </c>
      <c r="C422" s="49">
        <v>695</v>
      </c>
      <c r="D422" s="20">
        <v>1565.5986699999999</v>
      </c>
      <c r="E422" s="15">
        <v>3.2401838746072151E-2</v>
      </c>
      <c r="F422" s="79">
        <v>20754.400000000001</v>
      </c>
      <c r="G422" s="37">
        <v>3.3486875072273832E-2</v>
      </c>
    </row>
    <row r="423" spans="1:7" x14ac:dyDescent="0.25">
      <c r="A423" s="12" t="s">
        <v>542</v>
      </c>
      <c r="B423" s="49">
        <v>20796.400000000001</v>
      </c>
      <c r="C423" s="49">
        <v>850</v>
      </c>
      <c r="D423" s="20">
        <v>1715.5330039999999</v>
      </c>
      <c r="E423" s="15">
        <v>4.0872458694774093E-2</v>
      </c>
      <c r="F423" s="79">
        <v>19946.400000000001</v>
      </c>
      <c r="G423" s="37">
        <v>4.2614206072273689E-2</v>
      </c>
    </row>
    <row r="424" spans="1:7" x14ac:dyDescent="0.25">
      <c r="A424" s="12" t="s">
        <v>543</v>
      </c>
      <c r="B424" s="49">
        <v>10131.6</v>
      </c>
      <c r="C424" s="49">
        <v>298</v>
      </c>
      <c r="D424" s="20">
        <v>599.44839000000002</v>
      </c>
      <c r="E424" s="15">
        <v>2.9412925895218919E-2</v>
      </c>
      <c r="F424" s="79">
        <v>9833.6</v>
      </c>
      <c r="G424" s="37">
        <v>3.0304262935242434E-2</v>
      </c>
    </row>
    <row r="425" spans="1:7" x14ac:dyDescent="0.25">
      <c r="A425" s="12" t="s">
        <v>544</v>
      </c>
      <c r="B425" s="49">
        <v>20741.2</v>
      </c>
      <c r="C425" s="49">
        <v>526</v>
      </c>
      <c r="D425" s="20">
        <v>1335.68676</v>
      </c>
      <c r="E425" s="15">
        <v>2.5360152739475054E-2</v>
      </c>
      <c r="F425" s="79">
        <v>20215.2</v>
      </c>
      <c r="G425" s="37">
        <v>2.6020024535992718E-2</v>
      </c>
    </row>
    <row r="426" spans="1:7" x14ac:dyDescent="0.25">
      <c r="A426" s="12" t="s">
        <v>545</v>
      </c>
      <c r="B426" s="49">
        <v>28140.799999999999</v>
      </c>
      <c r="C426" s="49">
        <v>931</v>
      </c>
      <c r="D426" s="20">
        <v>2162.4900720000001</v>
      </c>
      <c r="E426" s="15">
        <v>3.3083636570388902E-2</v>
      </c>
      <c r="F426" s="79">
        <v>27209.8</v>
      </c>
      <c r="G426" s="37">
        <v>3.4215613492197663E-2</v>
      </c>
    </row>
    <row r="427" spans="1:7" x14ac:dyDescent="0.25">
      <c r="A427" s="12" t="s">
        <v>546</v>
      </c>
      <c r="B427" s="49">
        <v>11548.6</v>
      </c>
      <c r="C427" s="49">
        <v>578</v>
      </c>
      <c r="D427" s="20">
        <v>1442.0389399999999</v>
      </c>
      <c r="E427" s="15">
        <v>5.0049356631972707E-2</v>
      </c>
      <c r="F427" s="79">
        <v>10970.6</v>
      </c>
      <c r="G427" s="37">
        <v>5.2686270577725923E-2</v>
      </c>
    </row>
    <row r="428" spans="1:7" x14ac:dyDescent="0.25">
      <c r="A428" s="12" t="s">
        <v>548</v>
      </c>
      <c r="B428" s="49">
        <v>21369.599999999999</v>
      </c>
      <c r="C428" s="49">
        <v>592</v>
      </c>
      <c r="D428" s="20">
        <v>1048.24098</v>
      </c>
      <c r="E428" s="15">
        <v>2.7702905061395628E-2</v>
      </c>
      <c r="F428" s="79">
        <v>20777.599999999999</v>
      </c>
      <c r="G428" s="37">
        <v>2.8492222393346683E-2</v>
      </c>
    </row>
    <row r="429" spans="1:7" x14ac:dyDescent="0.25">
      <c r="A429" s="12" t="s">
        <v>549</v>
      </c>
      <c r="B429" s="49">
        <v>6532.4</v>
      </c>
      <c r="C429" s="49">
        <v>830</v>
      </c>
      <c r="D429" s="20">
        <v>1389.8640600000001</v>
      </c>
      <c r="E429" s="15">
        <v>0.12705896760761742</v>
      </c>
      <c r="F429" s="79">
        <v>5702.4</v>
      </c>
      <c r="G429" s="37">
        <v>0.1455527497194164</v>
      </c>
    </row>
    <row r="430" spans="1:7" x14ac:dyDescent="0.25">
      <c r="A430" s="12" t="s">
        <v>550</v>
      </c>
      <c r="B430" s="49">
        <v>20615.8</v>
      </c>
      <c r="C430" s="49">
        <v>337</v>
      </c>
      <c r="D430" s="20">
        <v>646.39236000000005</v>
      </c>
      <c r="E430" s="15">
        <v>1.6346685551858284E-2</v>
      </c>
      <c r="F430" s="79">
        <v>20278.8</v>
      </c>
      <c r="G430" s="37">
        <v>1.6618340335720062E-2</v>
      </c>
    </row>
    <row r="431" spans="1:7" x14ac:dyDescent="0.25">
      <c r="A431" s="12" t="s">
        <v>551</v>
      </c>
      <c r="B431" s="49">
        <v>20022</v>
      </c>
      <c r="C431" s="49">
        <v>222</v>
      </c>
      <c r="D431" s="20">
        <v>777.00636999999995</v>
      </c>
      <c r="E431" s="15">
        <v>1.1087803416242133E-2</v>
      </c>
      <c r="F431" s="79">
        <v>19800</v>
      </c>
      <c r="G431" s="37">
        <v>1.1212121212121211E-2</v>
      </c>
    </row>
    <row r="432" spans="1:7" x14ac:dyDescent="0.25">
      <c r="A432" s="12" t="s">
        <v>552</v>
      </c>
      <c r="B432" s="49">
        <v>19260</v>
      </c>
      <c r="C432" s="49">
        <v>220</v>
      </c>
      <c r="D432" s="20">
        <v>664.44512000000009</v>
      </c>
      <c r="E432" s="15">
        <v>1.142263759086189E-2</v>
      </c>
      <c r="F432" s="79">
        <v>19040</v>
      </c>
      <c r="G432" s="37">
        <v>1.1554621848739496E-2</v>
      </c>
    </row>
    <row r="433" spans="1:7" x14ac:dyDescent="0.25">
      <c r="A433" s="12" t="s">
        <v>553</v>
      </c>
      <c r="B433" s="49">
        <v>29563</v>
      </c>
      <c r="C433" s="49">
        <v>723</v>
      </c>
      <c r="D433" s="20">
        <v>1716.9342900000001</v>
      </c>
      <c r="E433" s="15">
        <v>2.4456245983154618E-2</v>
      </c>
      <c r="F433" s="79">
        <v>28840</v>
      </c>
      <c r="G433" s="37">
        <v>2.5069348127600553E-2</v>
      </c>
    </row>
    <row r="434" spans="1:7" x14ac:dyDescent="0.25">
      <c r="A434" s="12" t="s">
        <v>554</v>
      </c>
      <c r="B434" s="49">
        <v>15346</v>
      </c>
      <c r="C434" s="49">
        <v>626</v>
      </c>
      <c r="D434" s="20">
        <v>1776.63122</v>
      </c>
      <c r="E434" s="15">
        <v>4.0792388896129288E-2</v>
      </c>
      <c r="F434" s="79">
        <v>14720</v>
      </c>
      <c r="G434" s="37">
        <v>4.2527173913043476E-2</v>
      </c>
    </row>
    <row r="435" spans="1:7" x14ac:dyDescent="0.25">
      <c r="A435" s="12" t="s">
        <v>557</v>
      </c>
      <c r="B435" s="49">
        <v>13211</v>
      </c>
      <c r="C435" s="49">
        <v>291</v>
      </c>
      <c r="D435" s="20">
        <v>569.567678</v>
      </c>
      <c r="E435" s="15">
        <v>2.2027098629929603E-2</v>
      </c>
      <c r="F435" s="79">
        <v>12920</v>
      </c>
      <c r="G435" s="37">
        <v>2.2523219814241487E-2</v>
      </c>
    </row>
    <row r="436" spans="1:7" x14ac:dyDescent="0.25">
      <c r="A436" s="12" t="s">
        <v>558</v>
      </c>
      <c r="B436" s="49">
        <v>24843</v>
      </c>
      <c r="C436" s="49">
        <v>323</v>
      </c>
      <c r="D436" s="20">
        <v>615.08301600000004</v>
      </c>
      <c r="E436" s="15">
        <v>1.3001650364287727E-2</v>
      </c>
      <c r="F436" s="79">
        <v>24520</v>
      </c>
      <c r="G436" s="37">
        <v>1.3172920065252855E-2</v>
      </c>
    </row>
    <row r="437" spans="1:7" x14ac:dyDescent="0.25">
      <c r="A437" s="12" t="s">
        <v>559</v>
      </c>
      <c r="B437" s="49">
        <v>26402</v>
      </c>
      <c r="C437" s="49">
        <v>562</v>
      </c>
      <c r="D437" s="20">
        <v>1029.2875140000001</v>
      </c>
      <c r="E437" s="15">
        <v>2.1286266191955155E-2</v>
      </c>
      <c r="F437" s="79">
        <v>25840</v>
      </c>
      <c r="G437" s="37">
        <v>2.174922600619195E-2</v>
      </c>
    </row>
    <row r="438" spans="1:7" x14ac:dyDescent="0.25">
      <c r="A438" s="12" t="s">
        <v>560</v>
      </c>
      <c r="B438" s="49">
        <v>15389</v>
      </c>
      <c r="C438" s="49">
        <v>174</v>
      </c>
      <c r="D438" s="20">
        <v>337.40232000000003</v>
      </c>
      <c r="E438" s="15">
        <v>1.1306777568393009E-2</v>
      </c>
      <c r="F438" s="79">
        <v>15215</v>
      </c>
      <c r="G438" s="37">
        <v>1.1436082813013473E-2</v>
      </c>
    </row>
    <row r="439" spans="1:7" x14ac:dyDescent="0.25">
      <c r="A439" s="12" t="s">
        <v>563</v>
      </c>
      <c r="B439" s="49">
        <v>16718</v>
      </c>
      <c r="C439" s="49">
        <v>238</v>
      </c>
      <c r="D439" s="20">
        <v>259.380786</v>
      </c>
      <c r="E439" s="15">
        <v>1.4236152649838497E-2</v>
      </c>
      <c r="F439" s="79">
        <v>16480</v>
      </c>
      <c r="G439" s="37">
        <v>1.4441747572815534E-2</v>
      </c>
    </row>
    <row r="440" spans="1:7" x14ac:dyDescent="0.25">
      <c r="A440" s="12" t="s">
        <v>564</v>
      </c>
      <c r="B440" s="49">
        <v>7879</v>
      </c>
      <c r="C440" s="49">
        <v>119</v>
      </c>
      <c r="D440" s="20">
        <v>219.45926800000001</v>
      </c>
      <c r="E440" s="15">
        <v>1.510343952278208E-2</v>
      </c>
      <c r="F440" s="79">
        <v>7760</v>
      </c>
      <c r="G440" s="37">
        <v>1.5335051546391752E-2</v>
      </c>
    </row>
    <row r="441" spans="1:7" x14ac:dyDescent="0.25">
      <c r="A441" s="12" t="s">
        <v>565</v>
      </c>
      <c r="B441" s="49">
        <v>11736.84</v>
      </c>
      <c r="C441" s="49">
        <v>729</v>
      </c>
      <c r="D441" s="20">
        <v>1402.674346</v>
      </c>
      <c r="E441" s="15">
        <v>6.2112118764505606E-2</v>
      </c>
      <c r="F441" s="79">
        <v>11007.84</v>
      </c>
      <c r="G441" s="37">
        <v>6.6225526533815901E-2</v>
      </c>
    </row>
    <row r="442" spans="1:7" x14ac:dyDescent="0.25">
      <c r="A442" s="12" t="s">
        <v>566</v>
      </c>
      <c r="B442" s="49">
        <v>7185.36</v>
      </c>
      <c r="C442" s="49">
        <v>594</v>
      </c>
      <c r="D442" s="20">
        <v>1154.44</v>
      </c>
      <c r="E442" s="15">
        <v>8.2668091786632827E-2</v>
      </c>
      <c r="F442" s="79">
        <v>6591.36</v>
      </c>
      <c r="G442" s="37">
        <v>9.0117972618700845E-2</v>
      </c>
    </row>
    <row r="443" spans="1:7" x14ac:dyDescent="0.25">
      <c r="A443" s="12" t="s">
        <v>572</v>
      </c>
      <c r="B443" s="49">
        <v>20464</v>
      </c>
      <c r="C443" s="49">
        <v>593</v>
      </c>
      <c r="D443" s="20">
        <v>1333.6626379999998</v>
      </c>
      <c r="E443" s="15">
        <v>2.8977716966379984E-2</v>
      </c>
      <c r="F443" s="79">
        <v>19871</v>
      </c>
      <c r="G443" s="37">
        <v>2.9842484021941524E-2</v>
      </c>
    </row>
    <row r="444" spans="1:7" x14ac:dyDescent="0.25">
      <c r="A444" s="12" t="s">
        <v>573</v>
      </c>
      <c r="B444" s="49">
        <v>20858</v>
      </c>
      <c r="C444" s="49">
        <v>723</v>
      </c>
      <c r="D444" s="20">
        <v>1889.0516400000001</v>
      </c>
      <c r="E444" s="15">
        <v>3.4662959056477129E-2</v>
      </c>
      <c r="F444" s="79">
        <v>20135</v>
      </c>
      <c r="G444" s="37">
        <v>3.590762354109759E-2</v>
      </c>
    </row>
    <row r="445" spans="1:7" x14ac:dyDescent="0.25">
      <c r="A445" s="12" t="s">
        <v>574</v>
      </c>
      <c r="B445" s="49">
        <v>24196</v>
      </c>
      <c r="C445" s="49">
        <v>604</v>
      </c>
      <c r="D445" s="20">
        <v>1166.10655</v>
      </c>
      <c r="E445" s="15">
        <v>2.4962803769218053E-2</v>
      </c>
      <c r="F445" s="79">
        <v>23592</v>
      </c>
      <c r="G445" s="37">
        <v>2.5601898948796203E-2</v>
      </c>
    </row>
    <row r="446" spans="1:7" x14ac:dyDescent="0.25">
      <c r="A446" s="12" t="s">
        <v>575</v>
      </c>
      <c r="B446" s="49">
        <v>19325</v>
      </c>
      <c r="C446" s="49">
        <v>125</v>
      </c>
      <c r="D446" s="20">
        <v>153.12004999999999</v>
      </c>
      <c r="E446" s="15">
        <v>6.4683053040103496E-3</v>
      </c>
      <c r="F446" s="79">
        <v>19200</v>
      </c>
      <c r="G446" s="37">
        <v>6.510416666666667E-3</v>
      </c>
    </row>
    <row r="447" spans="1:7" x14ac:dyDescent="0.25">
      <c r="A447" s="12" t="s">
        <v>576</v>
      </c>
      <c r="B447" s="49">
        <v>23980</v>
      </c>
      <c r="C447" s="49">
        <v>869</v>
      </c>
      <c r="D447" s="20">
        <v>2165.7538</v>
      </c>
      <c r="E447" s="15">
        <v>3.6238532110091745E-2</v>
      </c>
      <c r="F447" s="79">
        <v>23111</v>
      </c>
      <c r="G447" s="37">
        <v>3.7601142313184198E-2</v>
      </c>
    </row>
    <row r="448" spans="1:7" x14ac:dyDescent="0.25">
      <c r="A448" s="12" t="s">
        <v>577</v>
      </c>
      <c r="B448" s="49">
        <v>14882</v>
      </c>
      <c r="C448" s="49">
        <v>82</v>
      </c>
      <c r="D448" s="20">
        <v>143.46046000000001</v>
      </c>
      <c r="E448" s="15">
        <v>5.5100120951485018E-3</v>
      </c>
      <c r="F448" s="79">
        <v>14800</v>
      </c>
      <c r="G448" s="37">
        <v>5.5405405405405403E-3</v>
      </c>
    </row>
    <row r="449" spans="1:7" x14ac:dyDescent="0.25">
      <c r="A449" s="12" t="s">
        <v>578</v>
      </c>
      <c r="B449" s="49">
        <v>15095</v>
      </c>
      <c r="C449" s="49">
        <v>712</v>
      </c>
      <c r="D449" s="20">
        <v>1697.2723599999999</v>
      </c>
      <c r="E449" s="15">
        <v>4.7167936402782377E-2</v>
      </c>
      <c r="F449" s="79">
        <v>14383</v>
      </c>
      <c r="G449" s="37">
        <v>4.9502885350761312E-2</v>
      </c>
    </row>
    <row r="450" spans="1:7" x14ac:dyDescent="0.25">
      <c r="A450" s="12" t="s">
        <v>579</v>
      </c>
      <c r="B450" s="49">
        <v>15303</v>
      </c>
      <c r="C450" s="49">
        <v>440</v>
      </c>
      <c r="D450" s="20">
        <v>808.51877000000002</v>
      </c>
      <c r="E450" s="15">
        <v>2.8752532183232045E-2</v>
      </c>
      <c r="F450" s="79">
        <v>14863</v>
      </c>
      <c r="G450" s="37">
        <v>2.9603713920473659E-2</v>
      </c>
    </row>
    <row r="451" spans="1:7" x14ac:dyDescent="0.25">
      <c r="A451" s="12" t="s">
        <v>580</v>
      </c>
      <c r="B451" s="49">
        <v>16268</v>
      </c>
      <c r="C451" s="49">
        <v>381</v>
      </c>
      <c r="D451" s="20">
        <v>744.21815000000004</v>
      </c>
      <c r="E451" s="15">
        <v>2.3420211458077208E-2</v>
      </c>
      <c r="F451" s="79">
        <v>15887</v>
      </c>
      <c r="G451" s="37">
        <v>2.3981871970793732E-2</v>
      </c>
    </row>
    <row r="452" spans="1:7" x14ac:dyDescent="0.25">
      <c r="A452" s="12" t="s">
        <v>581</v>
      </c>
      <c r="B452" s="49">
        <v>20254</v>
      </c>
      <c r="C452" s="49">
        <v>514</v>
      </c>
      <c r="D452" s="20">
        <v>1002.0715959999999</v>
      </c>
      <c r="E452" s="15">
        <v>2.5377703169744248E-2</v>
      </c>
      <c r="F452" s="79">
        <v>19740</v>
      </c>
      <c r="G452" s="37">
        <v>2.6038500506585613E-2</v>
      </c>
    </row>
    <row r="453" spans="1:7" x14ac:dyDescent="0.25">
      <c r="A453" s="12" t="s">
        <v>582</v>
      </c>
      <c r="B453" s="49">
        <v>28261</v>
      </c>
      <c r="C453" s="49">
        <v>559</v>
      </c>
      <c r="D453" s="20">
        <v>1051.6843159999999</v>
      </c>
      <c r="E453" s="15">
        <v>1.9779908708113653E-2</v>
      </c>
      <c r="F453" s="79">
        <v>27702</v>
      </c>
      <c r="G453" s="37">
        <v>2.0179048444155658E-2</v>
      </c>
    </row>
    <row r="454" spans="1:7" x14ac:dyDescent="0.25">
      <c r="A454" s="12" t="s">
        <v>583</v>
      </c>
      <c r="B454" s="49">
        <v>24285</v>
      </c>
      <c r="C454" s="49">
        <v>583</v>
      </c>
      <c r="D454" s="20">
        <v>1096.6633000000002</v>
      </c>
      <c r="E454" s="15">
        <v>2.4006588429071444E-2</v>
      </c>
      <c r="F454" s="79">
        <v>23702</v>
      </c>
      <c r="G454" s="37">
        <v>2.4597080415154838E-2</v>
      </c>
    </row>
    <row r="455" spans="1:7" x14ac:dyDescent="0.25">
      <c r="A455" s="12" t="s">
        <v>584</v>
      </c>
      <c r="B455" s="49">
        <v>30133</v>
      </c>
      <c r="C455" s="49">
        <v>998</v>
      </c>
      <c r="D455" s="20">
        <v>1846.4060400000001</v>
      </c>
      <c r="E455" s="15">
        <v>3.3119835396409253E-2</v>
      </c>
      <c r="F455" s="79">
        <v>29135</v>
      </c>
      <c r="G455" s="37">
        <v>3.4254333276128368E-2</v>
      </c>
    </row>
    <row r="456" spans="1:7" x14ac:dyDescent="0.25">
      <c r="A456" s="12" t="s">
        <v>585</v>
      </c>
      <c r="B456" s="49">
        <v>26130</v>
      </c>
      <c r="C456" s="49">
        <v>428</v>
      </c>
      <c r="D456" s="20">
        <v>791.85279000000014</v>
      </c>
      <c r="E456" s="15">
        <v>1.6379640260237274E-2</v>
      </c>
      <c r="F456" s="79">
        <v>25702</v>
      </c>
      <c r="G456" s="37">
        <v>1.6652400591393664E-2</v>
      </c>
    </row>
    <row r="457" spans="1:7" x14ac:dyDescent="0.25">
      <c r="A457" s="12" t="s">
        <v>586</v>
      </c>
      <c r="B457" s="49">
        <v>32701</v>
      </c>
      <c r="C457" s="49">
        <v>937</v>
      </c>
      <c r="D457" s="20">
        <v>2253.0171399999999</v>
      </c>
      <c r="E457" s="15">
        <v>2.8653557995168343E-2</v>
      </c>
      <c r="F457" s="79">
        <v>31764</v>
      </c>
      <c r="G457" s="37">
        <v>2.949880367711875E-2</v>
      </c>
    </row>
    <row r="458" spans="1:7" x14ac:dyDescent="0.25">
      <c r="A458" s="12" t="s">
        <v>587</v>
      </c>
      <c r="B458" s="49">
        <v>36635</v>
      </c>
      <c r="C458" s="49">
        <v>909</v>
      </c>
      <c r="D458" s="20">
        <v>2263.86159</v>
      </c>
      <c r="E458" s="15">
        <v>2.4812337928210727E-2</v>
      </c>
      <c r="F458" s="79">
        <v>35726</v>
      </c>
      <c r="G458" s="37">
        <v>2.5443654481330125E-2</v>
      </c>
    </row>
    <row r="459" spans="1:7" x14ac:dyDescent="0.25">
      <c r="A459" s="12" t="s">
        <v>588</v>
      </c>
      <c r="B459" s="49">
        <v>33473</v>
      </c>
      <c r="C459" s="49">
        <v>1371</v>
      </c>
      <c r="D459" s="20">
        <v>3192.5301900000004</v>
      </c>
      <c r="E459" s="15">
        <v>4.0958384369491826E-2</v>
      </c>
      <c r="F459" s="79">
        <v>32102</v>
      </c>
      <c r="G459" s="37">
        <v>4.270761946296181E-2</v>
      </c>
    </row>
    <row r="460" spans="1:7" x14ac:dyDescent="0.25">
      <c r="A460" s="12" t="s">
        <v>589</v>
      </c>
      <c r="B460" s="49">
        <v>40723</v>
      </c>
      <c r="C460" s="49">
        <v>777</v>
      </c>
      <c r="D460" s="20">
        <v>1879.9022199999999</v>
      </c>
      <c r="E460" s="15">
        <v>1.9080126709721777E-2</v>
      </c>
      <c r="F460" s="79">
        <v>39946</v>
      </c>
      <c r="G460" s="37">
        <v>1.9451259199919892E-2</v>
      </c>
    </row>
    <row r="461" spans="1:7" x14ac:dyDescent="0.25">
      <c r="A461" s="12" t="s">
        <v>590</v>
      </c>
      <c r="B461" s="49">
        <v>37350</v>
      </c>
      <c r="C461" s="49">
        <v>1445</v>
      </c>
      <c r="D461" s="20">
        <v>3209.7498620000001</v>
      </c>
      <c r="E461" s="15">
        <v>3.868808567603748E-2</v>
      </c>
      <c r="F461" s="79">
        <v>35905</v>
      </c>
      <c r="G461" s="37">
        <v>4.0245091212922988E-2</v>
      </c>
    </row>
    <row r="462" spans="1:7" x14ac:dyDescent="0.25">
      <c r="A462" s="12" t="s">
        <v>591</v>
      </c>
      <c r="B462" s="49">
        <v>30816</v>
      </c>
      <c r="C462" s="49">
        <v>847</v>
      </c>
      <c r="D462" s="20">
        <v>1863.6150899999998</v>
      </c>
      <c r="E462" s="15">
        <v>2.7485721703011421E-2</v>
      </c>
      <c r="F462" s="79">
        <v>29969</v>
      </c>
      <c r="G462" s="37">
        <v>2.8262537955887752E-2</v>
      </c>
    </row>
    <row r="463" spans="1:7" x14ac:dyDescent="0.25">
      <c r="A463" s="12" t="s">
        <v>592</v>
      </c>
      <c r="B463" s="49">
        <v>46305</v>
      </c>
      <c r="C463" s="49">
        <v>686</v>
      </c>
      <c r="D463" s="20">
        <v>1329.523142</v>
      </c>
      <c r="E463" s="15">
        <v>1.4814814814814815E-2</v>
      </c>
      <c r="F463" s="79">
        <v>45619</v>
      </c>
      <c r="G463" s="37">
        <v>1.5037593984962405E-2</v>
      </c>
    </row>
    <row r="464" spans="1:7" x14ac:dyDescent="0.25">
      <c r="A464" s="12" t="s">
        <v>593</v>
      </c>
      <c r="B464" s="49">
        <v>29551</v>
      </c>
      <c r="C464" s="49">
        <v>599</v>
      </c>
      <c r="D464" s="20">
        <v>1648.879872</v>
      </c>
      <c r="E464" s="15">
        <v>2.0270041622956921E-2</v>
      </c>
      <c r="F464" s="79">
        <v>28952</v>
      </c>
      <c r="G464" s="37">
        <v>2.0689416966012709E-2</v>
      </c>
    </row>
    <row r="465" spans="1:7" x14ac:dyDescent="0.25">
      <c r="A465" s="12" t="s">
        <v>594</v>
      </c>
      <c r="B465" s="49">
        <v>20385</v>
      </c>
      <c r="C465" s="49">
        <v>185</v>
      </c>
      <c r="D465" s="20">
        <v>288.42788800000005</v>
      </c>
      <c r="E465" s="15">
        <v>9.0753004660289426E-3</v>
      </c>
      <c r="F465" s="79">
        <v>20200</v>
      </c>
      <c r="G465" s="37">
        <v>9.1584158415841579E-3</v>
      </c>
    </row>
    <row r="466" spans="1:7" x14ac:dyDescent="0.25">
      <c r="A466" s="12" t="s">
        <v>595</v>
      </c>
      <c r="B466" s="49">
        <v>17067</v>
      </c>
      <c r="C466" s="49">
        <v>67</v>
      </c>
      <c r="D466" s="20">
        <v>173.46154000000001</v>
      </c>
      <c r="E466" s="15">
        <v>3.925704576082498E-3</v>
      </c>
      <c r="F466" s="79">
        <v>17000</v>
      </c>
      <c r="G466" s="37">
        <v>3.9411764705882353E-3</v>
      </c>
    </row>
    <row r="467" spans="1:7" x14ac:dyDescent="0.25">
      <c r="A467" s="12" t="s">
        <v>596</v>
      </c>
      <c r="B467" s="49">
        <v>29361</v>
      </c>
      <c r="C467" s="49">
        <v>561</v>
      </c>
      <c r="D467" s="20">
        <v>1599.3100300000001</v>
      </c>
      <c r="E467" s="15">
        <v>1.9106978645141513E-2</v>
      </c>
      <c r="F467" s="79">
        <v>28800</v>
      </c>
      <c r="G467" s="37">
        <v>1.9479166666666665E-2</v>
      </c>
    </row>
    <row r="468" spans="1:7" x14ac:dyDescent="0.25">
      <c r="A468" s="12" t="s">
        <v>597</v>
      </c>
      <c r="B468" s="49">
        <v>29112</v>
      </c>
      <c r="C468" s="49">
        <v>712</v>
      </c>
      <c r="D468" s="20">
        <v>1847.4835260000002</v>
      </c>
      <c r="E468" s="15">
        <v>2.4457268480351745E-2</v>
      </c>
      <c r="F468" s="79">
        <v>28400</v>
      </c>
      <c r="G468" s="37">
        <v>2.5070422535211266E-2</v>
      </c>
    </row>
    <row r="469" spans="1:7" x14ac:dyDescent="0.25">
      <c r="A469" s="12" t="s">
        <v>598</v>
      </c>
      <c r="B469" s="49">
        <v>34303</v>
      </c>
      <c r="C469" s="49">
        <v>1303</v>
      </c>
      <c r="D469" s="20">
        <v>1867.51983</v>
      </c>
      <c r="E469" s="15">
        <v>3.7985015887823222E-2</v>
      </c>
      <c r="F469" s="79">
        <v>33000</v>
      </c>
      <c r="G469" s="37">
        <v>3.9484848484848484E-2</v>
      </c>
    </row>
    <row r="470" spans="1:7" x14ac:dyDescent="0.25">
      <c r="A470" s="12" t="s">
        <v>599</v>
      </c>
      <c r="B470" s="49">
        <v>31462.799999999999</v>
      </c>
      <c r="C470" s="49">
        <v>1258</v>
      </c>
      <c r="D470" s="20">
        <v>1377.7169899999999</v>
      </c>
      <c r="E470" s="15">
        <v>3.9983726813888149E-2</v>
      </c>
      <c r="F470" s="79">
        <v>30204.799999999999</v>
      </c>
      <c r="G470" s="37">
        <v>4.1649009428964934E-2</v>
      </c>
    </row>
    <row r="471" spans="1:7" x14ac:dyDescent="0.25">
      <c r="A471" s="12" t="s">
        <v>600</v>
      </c>
      <c r="B471" s="49">
        <v>8018</v>
      </c>
      <c r="C471" s="49">
        <v>18</v>
      </c>
      <c r="D471" s="20">
        <v>35.114688000000001</v>
      </c>
      <c r="E471" s="15">
        <v>2.2449488650536295E-3</v>
      </c>
      <c r="F471" s="79">
        <v>8000</v>
      </c>
      <c r="G471" s="37">
        <v>2.2499999999999998E-3</v>
      </c>
    </row>
    <row r="472" spans="1:7" x14ac:dyDescent="0.25">
      <c r="A472" s="12" t="s">
        <v>601</v>
      </c>
      <c r="B472" s="49">
        <v>9021</v>
      </c>
      <c r="C472" s="49">
        <v>21</v>
      </c>
      <c r="D472" s="20">
        <v>40.967136000000004</v>
      </c>
      <c r="E472" s="15">
        <v>2.3279015630196208E-3</v>
      </c>
      <c r="F472" s="79">
        <v>9000</v>
      </c>
      <c r="G472" s="37">
        <v>2.3333333333333335E-3</v>
      </c>
    </row>
    <row r="473" spans="1:7" x14ac:dyDescent="0.25">
      <c r="A473" s="12" t="s">
        <v>602</v>
      </c>
      <c r="B473" s="49">
        <v>16300</v>
      </c>
      <c r="C473" s="49">
        <v>300</v>
      </c>
      <c r="D473" s="20">
        <v>546.22847999999999</v>
      </c>
      <c r="E473" s="15">
        <v>1.8404907975460124E-2</v>
      </c>
      <c r="F473" s="79">
        <v>16000</v>
      </c>
      <c r="G473" s="37">
        <v>1.8749999999999999E-2</v>
      </c>
    </row>
    <row r="474" spans="1:7" x14ac:dyDescent="0.25">
      <c r="A474" s="12" t="s">
        <v>603</v>
      </c>
      <c r="B474" s="49">
        <v>8232</v>
      </c>
      <c r="C474" s="49">
        <v>232</v>
      </c>
      <c r="D474" s="20">
        <v>433.08115199999997</v>
      </c>
      <c r="E474" s="15">
        <v>2.8182701652089408E-2</v>
      </c>
      <c r="F474" s="79">
        <v>8000</v>
      </c>
      <c r="G474" s="37">
        <v>2.9000000000000001E-2</v>
      </c>
    </row>
    <row r="475" spans="1:7" x14ac:dyDescent="0.25">
      <c r="A475" s="12" t="s">
        <v>604</v>
      </c>
      <c r="B475" s="49">
        <v>17147.239999999998</v>
      </c>
      <c r="C475" s="49">
        <v>1121</v>
      </c>
      <c r="D475" s="20">
        <v>2338.604902</v>
      </c>
      <c r="E475" s="15">
        <v>6.5374952470485054E-2</v>
      </c>
      <c r="F475" s="79">
        <v>16026.24</v>
      </c>
      <c r="G475" s="37">
        <v>6.994778563156423E-2</v>
      </c>
    </row>
    <row r="476" spans="1:7" x14ac:dyDescent="0.25">
      <c r="A476" s="12" t="s">
        <v>605</v>
      </c>
      <c r="B476" s="49">
        <v>37697.800000000003</v>
      </c>
      <c r="C476" s="49">
        <v>913</v>
      </c>
      <c r="D476" s="20">
        <v>1860.6893219999999</v>
      </c>
      <c r="E476" s="15">
        <v>2.4218919936972446E-2</v>
      </c>
      <c r="F476" s="79">
        <v>36784.800000000003</v>
      </c>
      <c r="G476" s="37">
        <v>2.4820034362019093E-2</v>
      </c>
    </row>
    <row r="477" spans="1:7" x14ac:dyDescent="0.25">
      <c r="A477" s="12" t="s">
        <v>606</v>
      </c>
      <c r="B477" s="49">
        <v>37789.53</v>
      </c>
      <c r="C477" s="49">
        <v>882</v>
      </c>
      <c r="D477" s="20">
        <v>1762.0551</v>
      </c>
      <c r="E477" s="15">
        <v>2.3339798086930427E-2</v>
      </c>
      <c r="F477" s="79">
        <v>36907.53</v>
      </c>
      <c r="G477" s="37">
        <v>2.3897562367354304E-2</v>
      </c>
    </row>
    <row r="478" spans="1:7" x14ac:dyDescent="0.25">
      <c r="A478" s="12" t="s">
        <v>607</v>
      </c>
      <c r="B478" s="49">
        <v>27561</v>
      </c>
      <c r="C478" s="49">
        <v>1161</v>
      </c>
      <c r="D478" s="20">
        <v>2160.7327759999998</v>
      </c>
      <c r="E478" s="15">
        <v>4.2124741482529662E-2</v>
      </c>
      <c r="F478" s="79">
        <v>26400</v>
      </c>
      <c r="G478" s="37">
        <v>4.3977272727272726E-2</v>
      </c>
    </row>
    <row r="479" spans="1:7" x14ac:dyDescent="0.25">
      <c r="A479" s="12" t="s">
        <v>608</v>
      </c>
      <c r="B479" s="49">
        <v>34386.800000000003</v>
      </c>
      <c r="C479" s="49">
        <v>1146</v>
      </c>
      <c r="D479" s="20">
        <v>2113.5430500000002</v>
      </c>
      <c r="E479" s="15">
        <v>3.3326741656682216E-2</v>
      </c>
      <c r="F479" s="79">
        <v>33240.800000000003</v>
      </c>
      <c r="G479" s="37">
        <v>3.4475704555847031E-2</v>
      </c>
    </row>
    <row r="480" spans="1:7" x14ac:dyDescent="0.25">
      <c r="A480" s="12" t="s">
        <v>609</v>
      </c>
      <c r="B480" s="49">
        <v>25910.2</v>
      </c>
      <c r="C480" s="49">
        <v>619</v>
      </c>
      <c r="D480" s="20">
        <v>1550.72587</v>
      </c>
      <c r="E480" s="15">
        <v>2.3890205401733679E-2</v>
      </c>
      <c r="F480" s="79">
        <v>25291.200000000001</v>
      </c>
      <c r="G480" s="37">
        <v>2.4474916176377554E-2</v>
      </c>
    </row>
    <row r="481" spans="1:7" x14ac:dyDescent="0.25">
      <c r="A481" s="12" t="s">
        <v>610</v>
      </c>
      <c r="B481" s="49">
        <v>32629.599999999999</v>
      </c>
      <c r="C481" s="49">
        <v>1476</v>
      </c>
      <c r="D481" s="20">
        <v>2996.1294939999998</v>
      </c>
      <c r="E481" s="15">
        <v>4.5235001348468876E-2</v>
      </c>
      <c r="F481" s="79">
        <v>31153.599999999999</v>
      </c>
      <c r="G481" s="37">
        <v>4.7378152123671101E-2</v>
      </c>
    </row>
    <row r="482" spans="1:7" x14ac:dyDescent="0.25">
      <c r="A482" s="12" t="s">
        <v>611</v>
      </c>
      <c r="B482" s="49">
        <v>39723.599999999999</v>
      </c>
      <c r="C482" s="49">
        <v>670</v>
      </c>
      <c r="D482" s="20">
        <v>1510.0646400000001</v>
      </c>
      <c r="E482" s="15">
        <v>1.6866547845613186E-2</v>
      </c>
      <c r="F482" s="79">
        <v>39053.599999999999</v>
      </c>
      <c r="G482" s="37">
        <v>1.7155908802261508E-2</v>
      </c>
    </row>
    <row r="483" spans="1:7" x14ac:dyDescent="0.25">
      <c r="A483" s="12" t="s">
        <v>612</v>
      </c>
      <c r="B483" s="49">
        <v>40883.800000000003</v>
      </c>
      <c r="C483" s="49">
        <v>1479</v>
      </c>
      <c r="D483" s="20">
        <v>3288.2694060000003</v>
      </c>
      <c r="E483" s="15">
        <v>3.6175697953712713E-2</v>
      </c>
      <c r="F483" s="79">
        <v>39404.800000000003</v>
      </c>
      <c r="G483" s="37">
        <v>3.7533498457040765E-2</v>
      </c>
    </row>
    <row r="484" spans="1:7" x14ac:dyDescent="0.25">
      <c r="A484" s="12" t="s">
        <v>613</v>
      </c>
      <c r="B484" s="49">
        <v>31215.4</v>
      </c>
      <c r="C484" s="49">
        <v>785</v>
      </c>
      <c r="D484" s="20">
        <v>1945.6571859999999</v>
      </c>
      <c r="E484" s="15">
        <v>2.5147843692536375E-2</v>
      </c>
      <c r="F484" s="79">
        <v>30430.400000000001</v>
      </c>
      <c r="G484" s="37">
        <v>2.5796571849203427E-2</v>
      </c>
    </row>
    <row r="485" spans="1:7" x14ac:dyDescent="0.25">
      <c r="A485" s="12" t="s">
        <v>614</v>
      </c>
      <c r="B485" s="49">
        <v>31878</v>
      </c>
      <c r="C485" s="49">
        <v>843</v>
      </c>
      <c r="D485" s="20">
        <v>1623.0290520000001</v>
      </c>
      <c r="E485" s="15">
        <v>2.6444569922830792E-2</v>
      </c>
      <c r="F485" s="79">
        <v>31035</v>
      </c>
      <c r="G485" s="37">
        <v>2.7162880618656356E-2</v>
      </c>
    </row>
    <row r="486" spans="1:7" x14ac:dyDescent="0.25">
      <c r="A486" s="12" t="s">
        <v>615</v>
      </c>
      <c r="B486" s="49">
        <v>22750</v>
      </c>
      <c r="C486" s="49">
        <v>930</v>
      </c>
      <c r="D486" s="20">
        <v>1777.4558040000002</v>
      </c>
      <c r="E486" s="15">
        <v>4.0879120879120878E-2</v>
      </c>
      <c r="F486" s="79">
        <v>21820</v>
      </c>
      <c r="G486" s="37">
        <v>4.2621448212648946E-2</v>
      </c>
    </row>
    <row r="487" spans="1:7" x14ac:dyDescent="0.25">
      <c r="A487" s="12" t="s">
        <v>616</v>
      </c>
      <c r="B487" s="49">
        <v>31356.25</v>
      </c>
      <c r="C487" s="49">
        <v>767</v>
      </c>
      <c r="D487" s="20">
        <v>1444.6439479999999</v>
      </c>
      <c r="E487" s="15">
        <v>2.4460833167231414E-2</v>
      </c>
      <c r="F487" s="79">
        <v>30589.25</v>
      </c>
      <c r="G487" s="37">
        <v>2.50741682126891E-2</v>
      </c>
    </row>
    <row r="488" spans="1:7" x14ac:dyDescent="0.25">
      <c r="A488" s="12" t="s">
        <v>617</v>
      </c>
      <c r="B488" s="49">
        <v>15395.8</v>
      </c>
      <c r="C488" s="49">
        <v>440</v>
      </c>
      <c r="D488" s="20">
        <v>841.61259600000005</v>
      </c>
      <c r="E488" s="15">
        <v>2.8579222904948104E-2</v>
      </c>
      <c r="F488" s="79">
        <v>14955.8</v>
      </c>
      <c r="G488" s="37">
        <v>2.9420024338383772E-2</v>
      </c>
    </row>
    <row r="489" spans="1:7" x14ac:dyDescent="0.25">
      <c r="A489" s="12" t="s">
        <v>618</v>
      </c>
      <c r="B489" s="49">
        <v>33446.83</v>
      </c>
      <c r="C489" s="49">
        <v>642</v>
      </c>
      <c r="D489" s="20">
        <v>1295.9008240000001</v>
      </c>
      <c r="E489" s="15">
        <v>1.9194644156112849E-2</v>
      </c>
      <c r="F489" s="79">
        <v>32804.83</v>
      </c>
      <c r="G489" s="37">
        <v>1.9570288887337625E-2</v>
      </c>
    </row>
    <row r="490" spans="1:7" x14ac:dyDescent="0.25">
      <c r="A490" s="12" t="s">
        <v>619</v>
      </c>
      <c r="B490" s="49">
        <v>11217</v>
      </c>
      <c r="C490" s="49">
        <v>525</v>
      </c>
      <c r="D490" s="20">
        <v>1003.6845000000001</v>
      </c>
      <c r="E490" s="15">
        <v>4.6803958277614334E-2</v>
      </c>
      <c r="F490" s="79">
        <v>10692</v>
      </c>
      <c r="G490" s="37">
        <v>4.9102132435465767E-2</v>
      </c>
    </row>
    <row r="491" spans="1:7" x14ac:dyDescent="0.25">
      <c r="A491" s="12" t="s">
        <v>620</v>
      </c>
      <c r="B491" s="49">
        <v>20699.8</v>
      </c>
      <c r="C491" s="49">
        <v>1295</v>
      </c>
      <c r="D491" s="20">
        <v>2473.4959320000003</v>
      </c>
      <c r="E491" s="15">
        <v>6.2560990927448573E-2</v>
      </c>
      <c r="F491" s="79">
        <v>19404.8</v>
      </c>
      <c r="G491" s="37">
        <v>6.6736065303430084E-2</v>
      </c>
    </row>
    <row r="492" spans="1:7" x14ac:dyDescent="0.25">
      <c r="A492" s="12" t="s">
        <v>621</v>
      </c>
      <c r="B492" s="49">
        <v>18232.8</v>
      </c>
      <c r="C492" s="49">
        <v>792</v>
      </c>
      <c r="D492" s="20">
        <v>1962.67679</v>
      </c>
      <c r="E492" s="15">
        <v>4.3438199289193104E-2</v>
      </c>
      <c r="F492" s="79">
        <v>17440.8</v>
      </c>
      <c r="G492" s="37">
        <v>4.5410760974267238E-2</v>
      </c>
    </row>
    <row r="493" spans="1:7" x14ac:dyDescent="0.25">
      <c r="A493" s="12" t="s">
        <v>622</v>
      </c>
      <c r="B493" s="49">
        <v>36227.4</v>
      </c>
      <c r="C493" s="49">
        <v>1597</v>
      </c>
      <c r="D493" s="20">
        <v>3694.7131899999999</v>
      </c>
      <c r="E493" s="15">
        <v>4.4082655669465648E-2</v>
      </c>
      <c r="F493" s="79">
        <v>34630.400000000001</v>
      </c>
      <c r="G493" s="37">
        <v>4.6115551654038071E-2</v>
      </c>
    </row>
    <row r="494" spans="1:7" x14ac:dyDescent="0.25">
      <c r="A494" s="12" t="s">
        <v>623</v>
      </c>
      <c r="B494" s="49">
        <v>24790.6</v>
      </c>
      <c r="C494" s="49">
        <v>716</v>
      </c>
      <c r="D494" s="20">
        <v>1704.44805</v>
      </c>
      <c r="E494" s="15">
        <v>2.88819149193646E-2</v>
      </c>
      <c r="F494" s="79">
        <v>24074.6</v>
      </c>
      <c r="G494" s="37">
        <v>2.9740888737507583E-2</v>
      </c>
    </row>
    <row r="495" spans="1:7" x14ac:dyDescent="0.25">
      <c r="A495" s="12" t="s">
        <v>624</v>
      </c>
      <c r="B495" s="49">
        <v>25656.799999999999</v>
      </c>
      <c r="C495" s="49">
        <v>288</v>
      </c>
      <c r="D495" s="20">
        <v>596.19083000000001</v>
      </c>
      <c r="E495" s="15">
        <v>1.1225094321973123E-2</v>
      </c>
      <c r="F495" s="79">
        <v>25368.799999999999</v>
      </c>
      <c r="G495" s="37">
        <v>1.1352527514111822E-2</v>
      </c>
    </row>
    <row r="496" spans="1:7" x14ac:dyDescent="0.25">
      <c r="A496" s="12" t="s">
        <v>625</v>
      </c>
      <c r="B496" s="49">
        <v>36075.4</v>
      </c>
      <c r="C496" s="49">
        <v>1325</v>
      </c>
      <c r="D496" s="20">
        <v>3183.1662999999999</v>
      </c>
      <c r="E496" s="15">
        <v>3.6728629481585791E-2</v>
      </c>
      <c r="F496" s="79">
        <v>34750.400000000001</v>
      </c>
      <c r="G496" s="37">
        <v>3.8129057507251714E-2</v>
      </c>
    </row>
    <row r="497" spans="1:7" x14ac:dyDescent="0.25">
      <c r="A497" s="12" t="s">
        <v>626</v>
      </c>
      <c r="B497" s="49">
        <v>25418.2</v>
      </c>
      <c r="C497" s="49">
        <v>475</v>
      </c>
      <c r="D497" s="20">
        <v>1007.573324</v>
      </c>
      <c r="E497" s="15">
        <v>1.8687397219315293E-2</v>
      </c>
      <c r="F497" s="79">
        <v>24943.200000000001</v>
      </c>
      <c r="G497" s="37">
        <v>1.9043266301035953E-2</v>
      </c>
    </row>
    <row r="498" spans="1:7" x14ac:dyDescent="0.25">
      <c r="A498" s="12" t="s">
        <v>627</v>
      </c>
      <c r="B498" s="49">
        <v>47880.2</v>
      </c>
      <c r="C498" s="49">
        <v>1116</v>
      </c>
      <c r="D498" s="20">
        <v>2361.1947100000002</v>
      </c>
      <c r="E498" s="15">
        <v>2.3308173315900939E-2</v>
      </c>
      <c r="F498" s="79">
        <v>46764.2</v>
      </c>
      <c r="G498" s="37">
        <v>2.3864409099268246E-2</v>
      </c>
    </row>
    <row r="499" spans="1:7" x14ac:dyDescent="0.25">
      <c r="A499" s="12" t="s">
        <v>628</v>
      </c>
      <c r="B499" s="49">
        <v>18825.52</v>
      </c>
      <c r="C499" s="49">
        <v>1282</v>
      </c>
      <c r="D499" s="20">
        <v>2614.2298499999997</v>
      </c>
      <c r="E499" s="15">
        <v>6.8099048525618419E-2</v>
      </c>
      <c r="F499" s="79">
        <v>17543.52</v>
      </c>
      <c r="G499" s="37">
        <v>7.3075414740029362E-2</v>
      </c>
    </row>
    <row r="500" spans="1:7" x14ac:dyDescent="0.25">
      <c r="A500" s="12" t="s">
        <v>629</v>
      </c>
      <c r="B500" s="49">
        <v>9668.36</v>
      </c>
      <c r="C500" s="49">
        <v>917</v>
      </c>
      <c r="D500" s="20">
        <v>1895.22595</v>
      </c>
      <c r="E500" s="15">
        <v>9.4845454658287434E-2</v>
      </c>
      <c r="F500" s="79">
        <v>8751.36</v>
      </c>
      <c r="G500" s="37">
        <v>0.10478371361708351</v>
      </c>
    </row>
    <row r="501" spans="1:7" x14ac:dyDescent="0.25">
      <c r="A501" s="12" t="s">
        <v>630</v>
      </c>
      <c r="B501" s="49">
        <v>22388.720000000001</v>
      </c>
      <c r="C501" s="49">
        <v>806</v>
      </c>
      <c r="D501" s="20">
        <v>1547.7996499999999</v>
      </c>
      <c r="E501" s="15">
        <v>3.6000271565323962E-2</v>
      </c>
      <c r="F501" s="79">
        <v>21582.720000000001</v>
      </c>
      <c r="G501" s="37">
        <v>3.7344690567268628E-2</v>
      </c>
    </row>
    <row r="502" spans="1:7" x14ac:dyDescent="0.25">
      <c r="A502" s="12" t="s">
        <v>631</v>
      </c>
      <c r="B502" s="49">
        <v>29872.720000000001</v>
      </c>
      <c r="C502" s="49">
        <v>730</v>
      </c>
      <c r="D502" s="20">
        <v>1395.08583</v>
      </c>
      <c r="E502" s="15">
        <v>2.4437011427148245E-2</v>
      </c>
      <c r="F502" s="79">
        <v>29142.720000000001</v>
      </c>
      <c r="G502" s="37">
        <v>2.5049137486137189E-2</v>
      </c>
    </row>
    <row r="503" spans="1:7" x14ac:dyDescent="0.25">
      <c r="A503" s="12" t="s">
        <v>632</v>
      </c>
      <c r="B503" s="49">
        <v>26994.04</v>
      </c>
      <c r="C503" s="49">
        <v>1021</v>
      </c>
      <c r="D503" s="20">
        <v>2301.3328799999999</v>
      </c>
      <c r="E503" s="15">
        <v>3.7823163928037445E-2</v>
      </c>
      <c r="F503" s="79">
        <v>25973.040000000001</v>
      </c>
      <c r="G503" s="37">
        <v>3.930999220730419E-2</v>
      </c>
    </row>
    <row r="504" spans="1:7" x14ac:dyDescent="0.25">
      <c r="A504" s="12" t="s">
        <v>633</v>
      </c>
      <c r="B504" s="49">
        <v>26501.4</v>
      </c>
      <c r="C504" s="49">
        <v>623</v>
      </c>
      <c r="D504" s="20">
        <v>1551.1492779999999</v>
      </c>
      <c r="E504" s="15">
        <v>2.3508192020044224E-2</v>
      </c>
      <c r="F504" s="79">
        <v>25878.400000000001</v>
      </c>
      <c r="G504" s="37">
        <v>2.4074131321874612E-2</v>
      </c>
    </row>
    <row r="505" spans="1:7" x14ac:dyDescent="0.25">
      <c r="A505" s="12" t="s">
        <v>634</v>
      </c>
      <c r="B505" s="49">
        <v>17748</v>
      </c>
      <c r="C505" s="49">
        <v>148</v>
      </c>
      <c r="D505" s="20">
        <v>218.09600400000002</v>
      </c>
      <c r="E505" s="15">
        <v>8.338967771016453E-3</v>
      </c>
      <c r="F505" s="79">
        <v>17600</v>
      </c>
      <c r="G505" s="37">
        <v>8.4090909090909095E-3</v>
      </c>
    </row>
    <row r="506" spans="1:7" x14ac:dyDescent="0.25">
      <c r="A506" s="12" t="s">
        <v>635</v>
      </c>
      <c r="B506" s="49">
        <v>17633</v>
      </c>
      <c r="C506" s="49">
        <v>33</v>
      </c>
      <c r="D506" s="20">
        <v>97.416325999999998</v>
      </c>
      <c r="E506" s="15">
        <v>1.8714909544603868E-3</v>
      </c>
      <c r="F506" s="79">
        <v>17600</v>
      </c>
      <c r="G506" s="37">
        <v>1.8749999999999999E-3</v>
      </c>
    </row>
    <row r="507" spans="1:7" x14ac:dyDescent="0.25">
      <c r="A507" s="12" t="s">
        <v>636</v>
      </c>
      <c r="B507" s="49">
        <v>22624.9</v>
      </c>
      <c r="C507" s="49">
        <v>247</v>
      </c>
      <c r="D507" s="20">
        <v>590.13050599999997</v>
      </c>
      <c r="E507" s="15">
        <v>1.0917175324531821E-2</v>
      </c>
      <c r="F507" s="79">
        <v>22377.9</v>
      </c>
      <c r="G507" s="37">
        <v>1.1037675563837536E-2</v>
      </c>
    </row>
    <row r="508" spans="1:7" x14ac:dyDescent="0.25">
      <c r="A508" s="12" t="s">
        <v>637</v>
      </c>
      <c r="B508" s="49">
        <v>20561.400000000001</v>
      </c>
      <c r="C508" s="49">
        <v>499</v>
      </c>
      <c r="D508" s="20">
        <v>1327.9776339999999</v>
      </c>
      <c r="E508" s="15">
        <v>2.4268775472487281E-2</v>
      </c>
      <c r="F508" s="79">
        <v>20062.400000000001</v>
      </c>
      <c r="G508" s="37">
        <v>2.4872398117872237E-2</v>
      </c>
    </row>
    <row r="509" spans="1:7" x14ac:dyDescent="0.25">
      <c r="A509" s="12" t="s">
        <v>638</v>
      </c>
      <c r="B509" s="49">
        <v>15254.6</v>
      </c>
      <c r="C509" s="49">
        <v>285</v>
      </c>
      <c r="D509" s="20">
        <v>807.25876000000005</v>
      </c>
      <c r="E509" s="15">
        <v>1.8682889095748167E-2</v>
      </c>
      <c r="F509" s="79">
        <v>14969.6</v>
      </c>
      <c r="G509" s="37">
        <v>1.9038584865327061E-2</v>
      </c>
    </row>
    <row r="510" spans="1:7" x14ac:dyDescent="0.25">
      <c r="A510" s="12" t="s">
        <v>639</v>
      </c>
      <c r="B510" s="49">
        <v>6471</v>
      </c>
      <c r="C510" s="49">
        <v>71</v>
      </c>
      <c r="D510" s="20">
        <v>257.02445999999998</v>
      </c>
      <c r="E510" s="15">
        <v>1.0972029052696647E-2</v>
      </c>
      <c r="F510" s="79">
        <v>6400</v>
      </c>
      <c r="G510" s="37">
        <v>1.1093749999999999E-2</v>
      </c>
    </row>
    <row r="511" spans="1:7" x14ac:dyDescent="0.25">
      <c r="A511" s="12" t="s">
        <v>640</v>
      </c>
      <c r="B511" s="49">
        <v>6165</v>
      </c>
      <c r="C511" s="49">
        <v>165</v>
      </c>
      <c r="D511" s="20">
        <v>265.31097600000004</v>
      </c>
      <c r="E511" s="15">
        <v>2.6763990267639901E-2</v>
      </c>
      <c r="F511" s="79">
        <v>6000</v>
      </c>
      <c r="G511" s="37">
        <v>2.75E-2</v>
      </c>
    </row>
    <row r="512" spans="1:7" x14ac:dyDescent="0.25">
      <c r="A512" s="12" t="s">
        <v>641</v>
      </c>
      <c r="B512" s="49">
        <v>6</v>
      </c>
      <c r="C512" s="49">
        <v>6</v>
      </c>
      <c r="D512" s="20">
        <v>0</v>
      </c>
      <c r="E512" s="15">
        <v>1</v>
      </c>
      <c r="F512" s="79"/>
      <c r="G512" s="37">
        <v>1</v>
      </c>
    </row>
    <row r="513" spans="1:7" x14ac:dyDescent="0.25">
      <c r="A513" s="12" t="s">
        <v>642</v>
      </c>
      <c r="B513" s="49">
        <v>11243</v>
      </c>
      <c r="C513" s="49">
        <v>243</v>
      </c>
      <c r="D513" s="20">
        <v>420.33195600000005</v>
      </c>
      <c r="E513" s="15">
        <v>2.1613448367873343E-2</v>
      </c>
      <c r="F513" s="79">
        <v>11000</v>
      </c>
      <c r="G513" s="37">
        <v>2.2090909090909092E-2</v>
      </c>
    </row>
    <row r="514" spans="1:7" x14ac:dyDescent="0.25">
      <c r="A514" s="12" t="s">
        <v>643</v>
      </c>
      <c r="B514" s="49">
        <v>12410</v>
      </c>
      <c r="C514" s="49">
        <v>210</v>
      </c>
      <c r="D514" s="20">
        <v>362.06810400000006</v>
      </c>
      <c r="E514" s="15">
        <v>1.6921837228041903E-2</v>
      </c>
      <c r="F514" s="79">
        <v>12200</v>
      </c>
      <c r="G514" s="37">
        <v>1.7213114754098362E-2</v>
      </c>
    </row>
    <row r="515" spans="1:7" x14ac:dyDescent="0.25">
      <c r="A515" s="12" t="s">
        <v>644</v>
      </c>
      <c r="B515" s="49">
        <v>18704.400000000001</v>
      </c>
      <c r="C515" s="49">
        <v>982</v>
      </c>
      <c r="D515" s="20">
        <v>1942.5040800000002</v>
      </c>
      <c r="E515" s="15">
        <v>5.2501015803768092E-2</v>
      </c>
      <c r="F515" s="79">
        <v>17722.400000000001</v>
      </c>
      <c r="G515" s="37">
        <v>5.5410102469191529E-2</v>
      </c>
    </row>
    <row r="516" spans="1:7" x14ac:dyDescent="0.25">
      <c r="A516" s="12" t="s">
        <v>645</v>
      </c>
      <c r="B516" s="49">
        <v>35118.6</v>
      </c>
      <c r="C516" s="49">
        <v>729</v>
      </c>
      <c r="D516" s="20">
        <v>1556.9372820000001</v>
      </c>
      <c r="E516" s="15">
        <v>2.0758230681177495E-2</v>
      </c>
      <c r="F516" s="79">
        <v>34389.599999999999</v>
      </c>
      <c r="G516" s="37">
        <v>2.1198269244190104E-2</v>
      </c>
    </row>
    <row r="517" spans="1:7" x14ac:dyDescent="0.25">
      <c r="A517" s="12" t="s">
        <v>568</v>
      </c>
      <c r="B517" s="49"/>
      <c r="C517" s="49"/>
      <c r="E517" s="15">
        <v>1</v>
      </c>
      <c r="F517" s="79"/>
      <c r="G517" s="37">
        <v>1</v>
      </c>
    </row>
    <row r="518" spans="1:7" x14ac:dyDescent="0.25">
      <c r="A518" s="12" t="s">
        <v>54</v>
      </c>
      <c r="B518" s="49">
        <v>7560961.6499999948</v>
      </c>
      <c r="C518" s="49">
        <v>218289.35</v>
      </c>
      <c r="D518" s="20">
        <v>435983.77119679999</v>
      </c>
      <c r="E518" s="15">
        <v>2.8870580238956795E-2</v>
      </c>
      <c r="F518" s="79">
        <v>7372230.2999999952</v>
      </c>
      <c r="G518" s="37">
        <v>2.9609675921274486E-2</v>
      </c>
    </row>
  </sheetData>
  <mergeCells count="1">
    <mergeCell ref="A1:G1"/>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0F8DF-6268-41DF-A17A-04B5A7D06F91}">
  <dimension ref="A1:XFD915"/>
  <sheetViews>
    <sheetView workbookViewId="0">
      <pane ySplit="5" topLeftCell="A129" activePane="bottomLeft" state="frozen"/>
      <selection pane="bottomLeft" activeCell="A6" sqref="A6:F160"/>
    </sheetView>
  </sheetViews>
  <sheetFormatPr defaultRowHeight="15" x14ac:dyDescent="0.25"/>
  <cols>
    <col min="1" max="1" width="13.140625" bestFit="1" customWidth="1"/>
    <col min="2" max="2" width="18.42578125" style="6" bestFit="1" customWidth="1"/>
    <col min="3" max="3" width="12.7109375" style="6" bestFit="1" customWidth="1"/>
    <col min="4" max="4" width="17.7109375" style="40" bestFit="1" customWidth="1"/>
    <col min="5" max="5" width="13.85546875" style="41" bestFit="1" customWidth="1"/>
    <col min="6" max="6" width="18.5703125" style="20" bestFit="1" customWidth="1"/>
    <col min="7" max="7" width="8" style="50" bestFit="1" customWidth="1"/>
    <col min="8" max="8" width="9" bestFit="1" customWidth="1"/>
    <col min="9" max="9" width="7.28515625" bestFit="1" customWidth="1"/>
    <col min="10" max="10" width="12.7109375" bestFit="1" customWidth="1"/>
    <col min="11" max="15" width="8.140625" bestFit="1" customWidth="1"/>
    <col min="16" max="16" width="9" bestFit="1" customWidth="1"/>
    <col min="17" max="17" width="8.140625" bestFit="1" customWidth="1"/>
    <col min="18" max="18" width="17.7109375" bestFit="1" customWidth="1"/>
    <col min="19" max="20" width="8.28515625" bestFit="1" customWidth="1"/>
    <col min="21" max="23" width="8" bestFit="1" customWidth="1"/>
    <col min="24" max="24" width="9" bestFit="1" customWidth="1"/>
    <col min="25" max="25" width="7.28515625" bestFit="1" customWidth="1"/>
    <col min="26" max="26" width="23.42578125" bestFit="1" customWidth="1"/>
    <col min="27" max="27" width="17.85546875" bestFit="1" customWidth="1"/>
    <col min="28" max="28" width="22.7109375" bestFit="1" customWidth="1"/>
    <col min="29" max="380" width="9.5703125" bestFit="1" customWidth="1"/>
    <col min="381" max="381" width="12.7109375" bestFit="1" customWidth="1"/>
    <col min="382" max="759" width="9.5703125" bestFit="1" customWidth="1"/>
    <col min="760" max="760" width="17.7109375" bestFit="1" customWidth="1"/>
    <col min="761" max="1138" width="9.5703125" bestFit="1" customWidth="1"/>
    <col min="1139" max="1139" width="23.42578125" bestFit="1" customWidth="1"/>
    <col min="1140" max="1140" width="17.85546875" bestFit="1" customWidth="1"/>
    <col min="1141" max="1141" width="22.7109375" bestFit="1" customWidth="1"/>
  </cols>
  <sheetData>
    <row r="1" spans="1:7" x14ac:dyDescent="0.25">
      <c r="A1" s="92" t="s">
        <v>55</v>
      </c>
      <c r="B1" s="92"/>
      <c r="C1" s="92"/>
      <c r="D1" s="92"/>
      <c r="E1" s="92"/>
      <c r="F1" s="92"/>
      <c r="G1" s="92"/>
    </row>
    <row r="2" spans="1:7" x14ac:dyDescent="0.25">
      <c r="A2" s="80"/>
      <c r="B2" s="80"/>
      <c r="C2" s="80"/>
      <c r="D2" s="80"/>
      <c r="E2" s="80"/>
      <c r="F2" s="80"/>
      <c r="G2" s="80"/>
    </row>
    <row r="3" spans="1:7" x14ac:dyDescent="0.25">
      <c r="A3" s="11" t="s">
        <v>3</v>
      </c>
      <c r="B3" t="s">
        <v>9</v>
      </c>
      <c r="C3" s="80"/>
      <c r="D3" s="80"/>
      <c r="E3" s="80"/>
      <c r="F3" s="80"/>
      <c r="G3" s="80"/>
    </row>
    <row r="4" spans="1:7" x14ac:dyDescent="0.25">
      <c r="A4" s="80"/>
      <c r="B4" s="80"/>
      <c r="C4" s="80"/>
      <c r="D4" s="80"/>
      <c r="E4" s="80"/>
      <c r="F4" s="80"/>
      <c r="G4" s="80"/>
    </row>
    <row r="5" spans="1:7" x14ac:dyDescent="0.25">
      <c r="A5" s="11" t="s">
        <v>53</v>
      </c>
      <c r="B5" s="45" t="s">
        <v>59</v>
      </c>
      <c r="C5" s="15" t="s">
        <v>60</v>
      </c>
      <c r="D5" s="81" t="s">
        <v>58</v>
      </c>
      <c r="E5" t="s">
        <v>228</v>
      </c>
      <c r="F5" t="s">
        <v>646</v>
      </c>
      <c r="G5"/>
    </row>
    <row r="6" spans="1:7" x14ac:dyDescent="0.25">
      <c r="A6" s="82">
        <v>43832</v>
      </c>
      <c r="B6" s="45">
        <v>1171</v>
      </c>
      <c r="C6" s="15">
        <v>0.15863081691484057</v>
      </c>
      <c r="D6" s="81">
        <v>7381.92</v>
      </c>
      <c r="E6" s="83">
        <v>2219.63294</v>
      </c>
      <c r="F6" s="83">
        <v>8000038</v>
      </c>
      <c r="G6"/>
    </row>
    <row r="7" spans="1:7" x14ac:dyDescent="0.25">
      <c r="A7" s="82">
        <v>43833</v>
      </c>
      <c r="B7" s="45">
        <v>1193</v>
      </c>
      <c r="C7" s="15">
        <v>8.504001442757661E-2</v>
      </c>
      <c r="D7" s="81">
        <v>14028.690000000002</v>
      </c>
      <c r="E7" s="83">
        <v>2320.7906199999998</v>
      </c>
      <c r="F7" s="83">
        <v>8000038</v>
      </c>
      <c r="G7"/>
    </row>
    <row r="8" spans="1:7" x14ac:dyDescent="0.25">
      <c r="A8" s="82">
        <v>43836</v>
      </c>
      <c r="B8" s="45">
        <v>866</v>
      </c>
      <c r="C8" s="15">
        <v>3.2111180326896263E-2</v>
      </c>
      <c r="D8" s="81">
        <v>26968.799999999999</v>
      </c>
      <c r="E8" s="83">
        <v>1642.77602</v>
      </c>
      <c r="F8" s="83">
        <v>8000035</v>
      </c>
      <c r="G8"/>
    </row>
    <row r="9" spans="1:7" x14ac:dyDescent="0.25">
      <c r="A9" s="82">
        <v>43837</v>
      </c>
      <c r="B9" s="45">
        <v>833</v>
      </c>
      <c r="C9" s="15">
        <v>2.7852824737855771E-2</v>
      </c>
      <c r="D9" s="81">
        <v>29907.199999999997</v>
      </c>
      <c r="E9" s="83">
        <v>1580.1760100000001</v>
      </c>
      <c r="F9" s="83">
        <v>8000035</v>
      </c>
      <c r="G9"/>
    </row>
    <row r="10" spans="1:7" x14ac:dyDescent="0.25">
      <c r="A10" s="82">
        <v>43838</v>
      </c>
      <c r="B10" s="45">
        <v>1364</v>
      </c>
      <c r="C10" s="15">
        <v>4.8966111430212525E-2</v>
      </c>
      <c r="D10" s="81">
        <v>27856</v>
      </c>
      <c r="E10" s="83">
        <v>2587.4670800000004</v>
      </c>
      <c r="F10" s="83">
        <v>8000035</v>
      </c>
      <c r="G10"/>
    </row>
    <row r="11" spans="1:7" x14ac:dyDescent="0.25">
      <c r="A11" s="82">
        <v>43839</v>
      </c>
      <c r="B11" s="45">
        <v>1001</v>
      </c>
      <c r="C11" s="15">
        <v>3.5934807581849512E-2</v>
      </c>
      <c r="D11" s="81">
        <v>27856</v>
      </c>
      <c r="E11" s="83">
        <v>1898.86697</v>
      </c>
      <c r="F11" s="83">
        <v>8000035</v>
      </c>
      <c r="G11"/>
    </row>
    <row r="12" spans="1:7" x14ac:dyDescent="0.25">
      <c r="A12" s="82">
        <v>43840</v>
      </c>
      <c r="B12" s="45">
        <v>918</v>
      </c>
      <c r="C12" s="15">
        <v>4.4854004612437944E-2</v>
      </c>
      <c r="D12" s="81">
        <v>20466.400000000001</v>
      </c>
      <c r="E12" s="83">
        <v>1741.4184600000001</v>
      </c>
      <c r="F12" s="83">
        <v>8000035</v>
      </c>
      <c r="G12"/>
    </row>
    <row r="13" spans="1:7" x14ac:dyDescent="0.25">
      <c r="A13" s="82">
        <v>43843</v>
      </c>
      <c r="B13" s="45">
        <v>1013</v>
      </c>
      <c r="C13" s="15">
        <v>4.7197062879719705E-2</v>
      </c>
      <c r="D13" s="81">
        <v>21463.200000000001</v>
      </c>
      <c r="E13" s="83">
        <v>1921.6306100000002</v>
      </c>
      <c r="F13" s="83">
        <v>8000035</v>
      </c>
      <c r="G13"/>
    </row>
    <row r="14" spans="1:7" x14ac:dyDescent="0.25">
      <c r="A14" s="82">
        <v>43844</v>
      </c>
      <c r="B14" s="45">
        <v>1262</v>
      </c>
      <c r="C14" s="15">
        <v>8.2390607209635133E-2</v>
      </c>
      <c r="D14" s="81">
        <v>15317.279999999999</v>
      </c>
      <c r="E14" s="83">
        <v>2393.9761400000002</v>
      </c>
      <c r="F14" s="83">
        <v>8000035</v>
      </c>
      <c r="G14"/>
    </row>
    <row r="15" spans="1:7" x14ac:dyDescent="0.25">
      <c r="A15" s="82">
        <v>43845</v>
      </c>
      <c r="B15" s="45">
        <v>1161</v>
      </c>
      <c r="C15" s="15">
        <v>6.2645687645687634E-2</v>
      </c>
      <c r="D15" s="81">
        <v>18532.800000000003</v>
      </c>
      <c r="E15" s="83">
        <v>2202.3821700000003</v>
      </c>
      <c r="F15" s="83">
        <v>8000035</v>
      </c>
      <c r="G15"/>
    </row>
    <row r="16" spans="1:7" x14ac:dyDescent="0.25">
      <c r="A16" s="82">
        <v>43846</v>
      </c>
      <c r="B16" s="45">
        <v>1443</v>
      </c>
      <c r="C16" s="15">
        <v>8.4350448933782282E-2</v>
      </c>
      <c r="D16" s="81">
        <v>17107.199999999997</v>
      </c>
      <c r="E16" s="83">
        <v>2737.3277099999996</v>
      </c>
      <c r="F16" s="83">
        <v>8000035</v>
      </c>
      <c r="G16"/>
    </row>
    <row r="17" spans="1:7" x14ac:dyDescent="0.25">
      <c r="A17" s="82">
        <v>43847</v>
      </c>
      <c r="B17" s="45">
        <v>904</v>
      </c>
      <c r="C17" s="15">
        <v>0.13089611713464924</v>
      </c>
      <c r="D17" s="81">
        <v>6906.24</v>
      </c>
      <c r="E17" s="83">
        <v>1714.86088</v>
      </c>
      <c r="F17" s="83">
        <v>8000035</v>
      </c>
      <c r="G17"/>
    </row>
    <row r="18" spans="1:7" x14ac:dyDescent="0.25">
      <c r="A18" s="82">
        <v>43851</v>
      </c>
      <c r="B18" s="45">
        <v>520</v>
      </c>
      <c r="C18" s="15">
        <v>0.26085560638895577</v>
      </c>
      <c r="D18" s="81">
        <v>1993.44</v>
      </c>
      <c r="E18" s="83">
        <v>999.48430000000008</v>
      </c>
      <c r="F18" s="83">
        <v>8000036.5</v>
      </c>
      <c r="G18"/>
    </row>
    <row r="19" spans="1:7" x14ac:dyDescent="0.25">
      <c r="A19" s="82">
        <v>43852</v>
      </c>
      <c r="B19" s="45">
        <v>1377</v>
      </c>
      <c r="C19" s="15">
        <v>8.9814032121724424E-2</v>
      </c>
      <c r="D19" s="81">
        <v>15331.68</v>
      </c>
      <c r="E19" s="83">
        <v>2678.7331799999997</v>
      </c>
      <c r="F19" s="83">
        <v>8000038</v>
      </c>
      <c r="G19"/>
    </row>
    <row r="20" spans="1:7" x14ac:dyDescent="0.25">
      <c r="A20" s="82">
        <v>43853</v>
      </c>
      <c r="B20" s="45">
        <v>1127</v>
      </c>
      <c r="C20" s="15">
        <v>0.16060651404060053</v>
      </c>
      <c r="D20" s="81">
        <v>7017.15</v>
      </c>
      <c r="E20" s="83">
        <v>2192.3981799999997</v>
      </c>
      <c r="F20" s="83">
        <v>8000038</v>
      </c>
      <c r="G20"/>
    </row>
    <row r="21" spans="1:7" x14ac:dyDescent="0.25">
      <c r="A21" s="82">
        <v>43854</v>
      </c>
      <c r="B21" s="45">
        <v>388</v>
      </c>
      <c r="C21" s="15">
        <v>6.8329106790645258E-2</v>
      </c>
      <c r="D21" s="81">
        <v>5678.4</v>
      </c>
      <c r="E21" s="83">
        <v>754.79191999999989</v>
      </c>
      <c r="F21" s="83">
        <v>8000038</v>
      </c>
      <c r="G21"/>
    </row>
    <row r="22" spans="1:7" x14ac:dyDescent="0.25">
      <c r="A22" s="82">
        <v>43857</v>
      </c>
      <c r="B22" s="45">
        <v>598</v>
      </c>
      <c r="C22" s="15">
        <v>7.0685579196217499E-2</v>
      </c>
      <c r="D22" s="81">
        <v>8460</v>
      </c>
      <c r="E22" s="83">
        <v>1163.31332</v>
      </c>
      <c r="F22" s="83">
        <v>8000038</v>
      </c>
      <c r="G22"/>
    </row>
    <row r="23" spans="1:7" x14ac:dyDescent="0.25">
      <c r="A23" s="82">
        <v>43858</v>
      </c>
      <c r="B23" s="45">
        <v>1006</v>
      </c>
      <c r="C23" s="15">
        <v>5.5888888888888891E-2</v>
      </c>
      <c r="D23" s="81">
        <v>18000</v>
      </c>
      <c r="E23" s="83">
        <v>1957.0120400000001</v>
      </c>
      <c r="F23" s="83">
        <v>8000038</v>
      </c>
      <c r="G23"/>
    </row>
    <row r="24" spans="1:7" x14ac:dyDescent="0.25">
      <c r="A24" s="82">
        <v>43859</v>
      </c>
      <c r="B24" s="45">
        <v>1079</v>
      </c>
      <c r="C24" s="15">
        <v>5.3521825396825394E-2</v>
      </c>
      <c r="D24" s="81">
        <v>20160</v>
      </c>
      <c r="E24" s="83">
        <v>2099.0218599999998</v>
      </c>
      <c r="F24" s="83">
        <v>8000038</v>
      </c>
      <c r="G24"/>
    </row>
    <row r="25" spans="1:7" x14ac:dyDescent="0.25">
      <c r="A25" s="82">
        <v>43860</v>
      </c>
      <c r="B25" s="45">
        <v>806</v>
      </c>
      <c r="C25" s="15">
        <v>4.4777777777777777E-2</v>
      </c>
      <c r="D25" s="81">
        <v>18000</v>
      </c>
      <c r="E25" s="83">
        <v>1567.9440399999999</v>
      </c>
      <c r="F25" s="83">
        <v>8000038</v>
      </c>
      <c r="G25"/>
    </row>
    <row r="26" spans="1:7" x14ac:dyDescent="0.25">
      <c r="A26" s="82">
        <v>43861</v>
      </c>
      <c r="B26" s="45">
        <v>204</v>
      </c>
      <c r="C26" s="15">
        <v>4.0476190476190478E-2</v>
      </c>
      <c r="D26" s="81">
        <v>5040</v>
      </c>
      <c r="E26" s="83">
        <v>396.84935999999999</v>
      </c>
      <c r="F26" s="83">
        <v>8000038</v>
      </c>
      <c r="G26"/>
    </row>
    <row r="27" spans="1:7" x14ac:dyDescent="0.25">
      <c r="A27" s="82">
        <v>43864</v>
      </c>
      <c r="B27" s="45">
        <v>636</v>
      </c>
      <c r="C27" s="15">
        <v>4.6985815602836878E-2</v>
      </c>
      <c r="D27" s="81">
        <v>12900</v>
      </c>
      <c r="E27" s="83">
        <v>1215.8920800000001</v>
      </c>
      <c r="F27" s="83">
        <v>8000035</v>
      </c>
      <c r="G27"/>
    </row>
    <row r="28" spans="1:7" x14ac:dyDescent="0.25">
      <c r="A28" s="82">
        <v>43865</v>
      </c>
      <c r="B28" s="45">
        <v>548</v>
      </c>
      <c r="C28" s="15">
        <v>2.630820931349016E-2</v>
      </c>
      <c r="D28" s="81">
        <v>20282</v>
      </c>
      <c r="E28" s="83">
        <v>1047.65544</v>
      </c>
      <c r="F28" s="83">
        <v>8000035</v>
      </c>
      <c r="G28"/>
    </row>
    <row r="29" spans="1:7" x14ac:dyDescent="0.25">
      <c r="A29" s="82">
        <v>43866</v>
      </c>
      <c r="B29" s="45">
        <v>741</v>
      </c>
      <c r="C29" s="15">
        <v>2.6278459465210298E-2</v>
      </c>
      <c r="D29" s="81">
        <v>27457</v>
      </c>
      <c r="E29" s="83">
        <v>1416.62898</v>
      </c>
      <c r="F29" s="83">
        <v>8000035</v>
      </c>
      <c r="G29"/>
    </row>
    <row r="30" spans="1:7" x14ac:dyDescent="0.25">
      <c r="A30" s="82">
        <v>43867</v>
      </c>
      <c r="B30" s="45">
        <v>575</v>
      </c>
      <c r="C30" s="15">
        <v>3.0773347605030775E-2</v>
      </c>
      <c r="D30" s="81">
        <v>18110</v>
      </c>
      <c r="E30" s="83">
        <v>1099.2735</v>
      </c>
      <c r="F30" s="83">
        <v>8000035</v>
      </c>
      <c r="G30"/>
    </row>
    <row r="31" spans="1:7" x14ac:dyDescent="0.25">
      <c r="A31" s="82">
        <v>43868</v>
      </c>
      <c r="B31" s="45">
        <v>556</v>
      </c>
      <c r="C31" s="15">
        <v>4.9173078623861326E-2</v>
      </c>
      <c r="D31" s="81">
        <v>10751</v>
      </c>
      <c r="E31" s="83">
        <v>1062.9496799999999</v>
      </c>
      <c r="F31" s="83">
        <v>8000035</v>
      </c>
      <c r="G31"/>
    </row>
    <row r="32" spans="1:7" x14ac:dyDescent="0.25">
      <c r="A32" s="82">
        <v>43871</v>
      </c>
      <c r="B32" s="45">
        <v>445</v>
      </c>
      <c r="C32" s="15">
        <v>3.7555911891298845E-2</v>
      </c>
      <c r="D32" s="81">
        <v>11404</v>
      </c>
      <c r="E32" s="83">
        <v>853.31454000000008</v>
      </c>
      <c r="F32" s="83">
        <v>8000042.333333333</v>
      </c>
      <c r="G32"/>
    </row>
    <row r="33" spans="1:7" x14ac:dyDescent="0.25">
      <c r="A33" s="82">
        <v>43872</v>
      </c>
      <c r="B33" s="45">
        <v>511</v>
      </c>
      <c r="C33" s="15">
        <v>2.5865559829925087E-2</v>
      </c>
      <c r="D33" s="81">
        <v>19245</v>
      </c>
      <c r="E33" s="83">
        <v>980.30751000000009</v>
      </c>
      <c r="F33" s="83">
        <v>8000046</v>
      </c>
      <c r="G33"/>
    </row>
    <row r="34" spans="1:7" x14ac:dyDescent="0.25">
      <c r="A34" s="82">
        <v>43873</v>
      </c>
      <c r="B34" s="45">
        <v>448</v>
      </c>
      <c r="C34" s="15">
        <v>2.7110438729198185E-2</v>
      </c>
      <c r="D34" s="81">
        <v>16077</v>
      </c>
      <c r="E34" s="83">
        <v>858.05538000000001</v>
      </c>
      <c r="F34" s="83">
        <v>8000038.666666667</v>
      </c>
      <c r="G34"/>
    </row>
    <row r="35" spans="1:7" x14ac:dyDescent="0.25">
      <c r="A35" s="82">
        <v>43874</v>
      </c>
      <c r="B35" s="45">
        <v>507</v>
      </c>
      <c r="C35" s="15">
        <v>2.4426671805742917E-2</v>
      </c>
      <c r="D35" s="81">
        <v>20249</v>
      </c>
      <c r="E35" s="83">
        <v>969.27246000000002</v>
      </c>
      <c r="F35" s="83">
        <v>8000035</v>
      </c>
      <c r="G35"/>
    </row>
    <row r="36" spans="1:7" x14ac:dyDescent="0.25">
      <c r="A36" s="82">
        <v>43875</v>
      </c>
      <c r="B36" s="45">
        <v>545</v>
      </c>
      <c r="C36" s="15">
        <v>3.6301871711183639E-2</v>
      </c>
      <c r="D36" s="81">
        <v>14468</v>
      </c>
      <c r="E36" s="83">
        <v>1041.9201</v>
      </c>
      <c r="F36" s="83">
        <v>8000035</v>
      </c>
      <c r="G36"/>
    </row>
    <row r="37" spans="1:7" x14ac:dyDescent="0.25">
      <c r="A37" s="82">
        <v>43879</v>
      </c>
      <c r="B37" s="45">
        <v>743</v>
      </c>
      <c r="C37" s="15">
        <v>3.5375898681140792E-2</v>
      </c>
      <c r="D37" s="81">
        <v>20260</v>
      </c>
      <c r="E37" s="83">
        <v>1420.4525400000002</v>
      </c>
      <c r="F37" s="83">
        <v>8000035</v>
      </c>
      <c r="G37"/>
    </row>
    <row r="38" spans="1:7" x14ac:dyDescent="0.25">
      <c r="A38" s="82">
        <v>43880</v>
      </c>
      <c r="B38" s="45">
        <v>806</v>
      </c>
      <c r="C38" s="15">
        <v>2.960188041721757E-2</v>
      </c>
      <c r="D38" s="81">
        <v>26422</v>
      </c>
      <c r="E38" s="83">
        <v>1540.8946800000001</v>
      </c>
      <c r="F38" s="83">
        <v>8000035</v>
      </c>
      <c r="G38"/>
    </row>
    <row r="39" spans="1:7" x14ac:dyDescent="0.25">
      <c r="A39" s="82">
        <v>43881</v>
      </c>
      <c r="B39" s="45">
        <v>671</v>
      </c>
      <c r="C39" s="15">
        <v>2.2689615527677273E-2</v>
      </c>
      <c r="D39" s="81">
        <v>28902</v>
      </c>
      <c r="E39" s="83">
        <v>1282.80438</v>
      </c>
      <c r="F39" s="83">
        <v>8000035</v>
      </c>
      <c r="G39"/>
    </row>
    <row r="40" spans="1:7" x14ac:dyDescent="0.25">
      <c r="A40" s="82">
        <v>43882</v>
      </c>
      <c r="B40" s="45">
        <v>763</v>
      </c>
      <c r="C40" s="15">
        <v>3.7029847124484351E-2</v>
      </c>
      <c r="D40" s="81">
        <v>19842</v>
      </c>
      <c r="E40" s="83">
        <v>1458.6881400000002</v>
      </c>
      <c r="F40" s="83">
        <v>8000035</v>
      </c>
      <c r="G40"/>
    </row>
    <row r="41" spans="1:7" x14ac:dyDescent="0.25">
      <c r="A41" s="82">
        <v>43885</v>
      </c>
      <c r="B41" s="45">
        <v>1382</v>
      </c>
      <c r="C41" s="15">
        <v>7.104302678250142E-2</v>
      </c>
      <c r="D41" s="81">
        <v>18071</v>
      </c>
      <c r="E41" s="83">
        <v>2642.07996</v>
      </c>
      <c r="F41" s="83">
        <v>8000035</v>
      </c>
      <c r="G41"/>
    </row>
    <row r="42" spans="1:7" x14ac:dyDescent="0.25">
      <c r="A42" s="82">
        <v>43886</v>
      </c>
      <c r="B42" s="45">
        <v>1097</v>
      </c>
      <c r="C42" s="15">
        <v>3.1003589294293869E-2</v>
      </c>
      <c r="D42" s="81">
        <v>34286</v>
      </c>
      <c r="E42" s="83">
        <v>2097.2226599999999</v>
      </c>
      <c r="F42" s="83">
        <v>8000035</v>
      </c>
      <c r="G42"/>
    </row>
    <row r="43" spans="1:7" x14ac:dyDescent="0.25">
      <c r="A43" s="82">
        <v>43887</v>
      </c>
      <c r="B43" s="45">
        <v>1091</v>
      </c>
      <c r="C43" s="15">
        <v>3.1400201467837098E-2</v>
      </c>
      <c r="D43" s="81">
        <v>33654</v>
      </c>
      <c r="E43" s="83">
        <v>2085.75198</v>
      </c>
      <c r="F43" s="83">
        <v>8000035</v>
      </c>
      <c r="G43"/>
    </row>
    <row r="44" spans="1:7" x14ac:dyDescent="0.25">
      <c r="A44" s="82">
        <v>43888</v>
      </c>
      <c r="B44" s="45">
        <v>1526</v>
      </c>
      <c r="C44" s="15">
        <v>5.2391252102859887E-2</v>
      </c>
      <c r="D44" s="81">
        <v>27601</v>
      </c>
      <c r="E44" s="83">
        <v>2917.37628</v>
      </c>
      <c r="F44" s="83">
        <v>8000035</v>
      </c>
      <c r="G44"/>
    </row>
    <row r="45" spans="1:7" x14ac:dyDescent="0.25">
      <c r="A45" s="82">
        <v>43889</v>
      </c>
      <c r="B45" s="45">
        <v>376</v>
      </c>
      <c r="C45" s="15">
        <v>2.6832227217583673E-2</v>
      </c>
      <c r="D45" s="81">
        <v>13637</v>
      </c>
      <c r="E45" s="83">
        <v>718.82928000000004</v>
      </c>
      <c r="F45" s="83">
        <v>8000035</v>
      </c>
      <c r="G45"/>
    </row>
    <row r="46" spans="1:7" x14ac:dyDescent="0.25">
      <c r="A46" s="82">
        <v>43892</v>
      </c>
      <c r="B46" s="45">
        <v>812</v>
      </c>
      <c r="C46" s="15">
        <v>6.5844956211482328E-2</v>
      </c>
      <c r="D46" s="81">
        <v>11520</v>
      </c>
      <c r="E46" s="83">
        <v>1591.52</v>
      </c>
      <c r="F46" s="83">
        <v>8000038</v>
      </c>
      <c r="G46"/>
    </row>
    <row r="47" spans="1:7" x14ac:dyDescent="0.25">
      <c r="A47" s="82">
        <v>43893</v>
      </c>
      <c r="B47" s="45">
        <v>1112</v>
      </c>
      <c r="C47" s="15">
        <v>5.2275291462956001E-2</v>
      </c>
      <c r="D47" s="81">
        <v>20160</v>
      </c>
      <c r="E47" s="83">
        <v>2179.52</v>
      </c>
      <c r="F47" s="83">
        <v>8000038</v>
      </c>
      <c r="G47"/>
    </row>
    <row r="48" spans="1:7" x14ac:dyDescent="0.25">
      <c r="A48" s="82">
        <v>43894</v>
      </c>
      <c r="B48" s="45">
        <v>1015</v>
      </c>
      <c r="C48" s="15">
        <v>5.1337818016286479E-2</v>
      </c>
      <c r="D48" s="81">
        <v>18756</v>
      </c>
      <c r="E48" s="83">
        <v>1989.4</v>
      </c>
      <c r="F48" s="83">
        <v>8000038</v>
      </c>
      <c r="G48"/>
    </row>
    <row r="49" spans="1:7" x14ac:dyDescent="0.25">
      <c r="A49" s="82">
        <v>43895</v>
      </c>
      <c r="B49" s="45">
        <v>849</v>
      </c>
      <c r="C49" s="15">
        <v>5.3781832003040667E-2</v>
      </c>
      <c r="D49" s="81">
        <v>14937</v>
      </c>
      <c r="E49" s="83">
        <v>1664.04</v>
      </c>
      <c r="F49" s="83">
        <v>8000038</v>
      </c>
      <c r="G49"/>
    </row>
    <row r="50" spans="1:7" x14ac:dyDescent="0.25">
      <c r="A50" s="82">
        <v>43896</v>
      </c>
      <c r="B50" s="45">
        <v>648</v>
      </c>
      <c r="C50" s="15">
        <v>9.3994778067885115E-2</v>
      </c>
      <c r="D50" s="81">
        <v>6246</v>
      </c>
      <c r="E50" s="83">
        <v>1270.08</v>
      </c>
      <c r="F50" s="83">
        <v>8000038</v>
      </c>
      <c r="G50"/>
    </row>
    <row r="51" spans="1:7" x14ac:dyDescent="0.25">
      <c r="A51" s="82">
        <v>43899</v>
      </c>
      <c r="B51" s="45">
        <v>1186</v>
      </c>
      <c r="C51" s="15">
        <v>0.12221965737275141</v>
      </c>
      <c r="D51" s="81">
        <v>8517.84</v>
      </c>
      <c r="E51" s="83">
        <v>2324.56</v>
      </c>
      <c r="F51" s="83">
        <v>8000038</v>
      </c>
      <c r="G51"/>
    </row>
    <row r="52" spans="1:7" x14ac:dyDescent="0.25">
      <c r="A52" s="82">
        <v>43900</v>
      </c>
      <c r="B52" s="45">
        <v>1240</v>
      </c>
      <c r="C52" s="15">
        <v>8.3394982850225299E-2</v>
      </c>
      <c r="D52" s="81">
        <v>13629</v>
      </c>
      <c r="E52" s="83">
        <v>2430.3999999999996</v>
      </c>
      <c r="F52" s="83">
        <v>8000038</v>
      </c>
      <c r="G52"/>
    </row>
    <row r="53" spans="1:7" x14ac:dyDescent="0.25">
      <c r="A53" s="82">
        <v>43901</v>
      </c>
      <c r="B53" s="45">
        <v>1435</v>
      </c>
      <c r="C53" s="15">
        <v>0.16805246515985478</v>
      </c>
      <c r="D53" s="81">
        <v>7104</v>
      </c>
      <c r="E53" s="83">
        <v>2276.9299799999999</v>
      </c>
      <c r="F53" s="83">
        <v>8000035</v>
      </c>
      <c r="G53"/>
    </row>
    <row r="54" spans="1:7" x14ac:dyDescent="0.25">
      <c r="A54" s="82">
        <v>43902</v>
      </c>
      <c r="B54" s="45">
        <v>896</v>
      </c>
      <c r="C54" s="15">
        <v>3.5652893614312092E-2</v>
      </c>
      <c r="D54" s="81">
        <v>24235.200000000001</v>
      </c>
      <c r="E54" s="83">
        <v>1712.95488</v>
      </c>
      <c r="F54" s="83">
        <v>8000035</v>
      </c>
      <c r="G54"/>
    </row>
    <row r="55" spans="1:7" x14ac:dyDescent="0.25">
      <c r="A55" s="82">
        <v>43903</v>
      </c>
      <c r="B55" s="45">
        <v>768</v>
      </c>
      <c r="C55" s="15">
        <v>3.8373905744094022E-2</v>
      </c>
      <c r="D55" s="81">
        <v>19245.599999999999</v>
      </c>
      <c r="E55" s="83">
        <v>1468.24704</v>
      </c>
      <c r="F55" s="83">
        <v>8000035</v>
      </c>
      <c r="G55"/>
    </row>
    <row r="56" spans="1:7" x14ac:dyDescent="0.25">
      <c r="A56" s="82">
        <v>43906</v>
      </c>
      <c r="B56" s="45">
        <v>851</v>
      </c>
      <c r="C56" s="15">
        <v>8.4112519026627391E-2</v>
      </c>
      <c r="D56" s="81">
        <v>9266.4</v>
      </c>
      <c r="E56" s="83">
        <v>1632.56691</v>
      </c>
      <c r="F56" s="83">
        <v>8000046</v>
      </c>
      <c r="G56"/>
    </row>
    <row r="57" spans="1:7" x14ac:dyDescent="0.25">
      <c r="A57" s="82">
        <v>43907</v>
      </c>
      <c r="B57" s="45">
        <v>1111</v>
      </c>
      <c r="C57" s="15">
        <v>4.894074777586107E-2</v>
      </c>
      <c r="D57" s="81">
        <v>21589.919999999998</v>
      </c>
      <c r="E57" s="83">
        <v>2129.5700400000001</v>
      </c>
      <c r="F57" s="83">
        <v>8000042.333333333</v>
      </c>
      <c r="G57"/>
    </row>
    <row r="58" spans="1:7" x14ac:dyDescent="0.25">
      <c r="A58" s="82">
        <v>43908</v>
      </c>
      <c r="B58" s="45">
        <v>939</v>
      </c>
      <c r="C58" s="15">
        <v>3.305895690013308E-2</v>
      </c>
      <c r="D58" s="81">
        <v>27464.799999999999</v>
      </c>
      <c r="E58" s="83">
        <v>1795.1614199999999</v>
      </c>
      <c r="F58" s="83">
        <v>8000035</v>
      </c>
      <c r="G58"/>
    </row>
    <row r="59" spans="1:7" x14ac:dyDescent="0.25">
      <c r="A59" s="82">
        <v>43909</v>
      </c>
      <c r="B59" s="45">
        <v>1149</v>
      </c>
      <c r="C59" s="15">
        <v>3.7405996679363222E-2</v>
      </c>
      <c r="D59" s="81">
        <v>29567.999999999996</v>
      </c>
      <c r="E59" s="83">
        <v>2196.6352200000001</v>
      </c>
      <c r="F59" s="83">
        <v>8000035</v>
      </c>
      <c r="G59"/>
    </row>
    <row r="60" spans="1:7" x14ac:dyDescent="0.25">
      <c r="A60" s="82">
        <v>43910</v>
      </c>
      <c r="B60" s="45">
        <v>735</v>
      </c>
      <c r="C60" s="15">
        <v>2.3812455047916493E-2</v>
      </c>
      <c r="D60" s="81">
        <v>30131.199999999997</v>
      </c>
      <c r="E60" s="83">
        <v>1405.1583000000001</v>
      </c>
      <c r="F60" s="83">
        <v>8000035</v>
      </c>
      <c r="G60"/>
    </row>
    <row r="61" spans="1:7" x14ac:dyDescent="0.25">
      <c r="A61" s="82">
        <v>43911</v>
      </c>
      <c r="B61" s="45">
        <v>888</v>
      </c>
      <c r="C61" s="15">
        <v>3.6929096135419989E-2</v>
      </c>
      <c r="D61" s="81">
        <v>23158.080000000002</v>
      </c>
      <c r="E61" s="83">
        <v>1697.6606400000001</v>
      </c>
      <c r="F61" s="83">
        <v>8000035</v>
      </c>
      <c r="G61"/>
    </row>
    <row r="62" spans="1:7" x14ac:dyDescent="0.25">
      <c r="A62" s="82">
        <v>43913</v>
      </c>
      <c r="B62" s="45">
        <v>941</v>
      </c>
      <c r="C62" s="15">
        <v>5.1087163060886558E-2</v>
      </c>
      <c r="D62" s="81">
        <v>17478.5</v>
      </c>
      <c r="E62" s="83">
        <v>1798.9849800000002</v>
      </c>
      <c r="F62" s="83">
        <v>8000035</v>
      </c>
      <c r="G62"/>
    </row>
    <row r="63" spans="1:7" x14ac:dyDescent="0.25">
      <c r="A63" s="82">
        <v>43914</v>
      </c>
      <c r="B63" s="45">
        <v>992</v>
      </c>
      <c r="C63" s="15">
        <v>3.3420815912620742E-2</v>
      </c>
      <c r="D63" s="81">
        <v>28690.1</v>
      </c>
      <c r="E63" s="83">
        <v>1896.48576</v>
      </c>
      <c r="F63" s="83">
        <v>8000035</v>
      </c>
      <c r="G63"/>
    </row>
    <row r="64" spans="1:7" x14ac:dyDescent="0.25">
      <c r="A64" s="82">
        <v>43915</v>
      </c>
      <c r="B64" s="45">
        <v>828</v>
      </c>
      <c r="C64" s="15">
        <v>2.9938041271108485E-2</v>
      </c>
      <c r="D64" s="81">
        <v>26829.120000000003</v>
      </c>
      <c r="E64" s="83">
        <v>1582.9538400000001</v>
      </c>
      <c r="F64" s="83">
        <v>8000035</v>
      </c>
      <c r="G64"/>
    </row>
    <row r="65" spans="1:7" x14ac:dyDescent="0.25">
      <c r="A65" s="82">
        <v>43916</v>
      </c>
      <c r="B65" s="45">
        <v>1054</v>
      </c>
      <c r="C65" s="15">
        <v>3.7591839646194447E-2</v>
      </c>
      <c r="D65" s="81">
        <v>26984.000000000004</v>
      </c>
      <c r="E65" s="83">
        <v>2015.0161199999998</v>
      </c>
      <c r="F65" s="83">
        <v>8000035</v>
      </c>
      <c r="G65"/>
    </row>
    <row r="66" spans="1:7" x14ac:dyDescent="0.25">
      <c r="A66" s="82">
        <v>43917</v>
      </c>
      <c r="B66" s="45">
        <v>846</v>
      </c>
      <c r="C66" s="15">
        <v>4.2324548237978023E-2</v>
      </c>
      <c r="D66" s="81">
        <v>19142.400000000001</v>
      </c>
      <c r="E66" s="83">
        <v>1617.3658799999998</v>
      </c>
      <c r="F66" s="83">
        <v>8000035</v>
      </c>
      <c r="G66"/>
    </row>
    <row r="67" spans="1:7" x14ac:dyDescent="0.25">
      <c r="A67" s="82">
        <v>43918</v>
      </c>
      <c r="B67" s="45">
        <v>737</v>
      </c>
      <c r="C67" s="15">
        <v>5.8207309637614085E-2</v>
      </c>
      <c r="D67" s="81">
        <v>11924.64</v>
      </c>
      <c r="E67" s="83">
        <v>1444.52</v>
      </c>
      <c r="F67" s="83">
        <v>8000038</v>
      </c>
      <c r="G67"/>
    </row>
    <row r="68" spans="1:7" x14ac:dyDescent="0.25">
      <c r="A68" s="82">
        <v>43919</v>
      </c>
      <c r="B68" s="45">
        <v>4.75</v>
      </c>
      <c r="C68" s="15">
        <v>1.6702122048559223E-3</v>
      </c>
      <c r="D68" s="81">
        <v>2839.2</v>
      </c>
      <c r="E68" s="83">
        <v>9.31</v>
      </c>
      <c r="F68" s="83">
        <v>8000038</v>
      </c>
      <c r="G68"/>
    </row>
    <row r="69" spans="1:7" x14ac:dyDescent="0.25">
      <c r="A69" s="82">
        <v>43920</v>
      </c>
      <c r="B69" s="45">
        <v>1134</v>
      </c>
      <c r="C69" s="15">
        <v>7.2345605291564266E-2</v>
      </c>
      <c r="D69" s="81">
        <v>14540.760000000002</v>
      </c>
      <c r="E69" s="83">
        <v>2222.6400000000003</v>
      </c>
      <c r="F69" s="83">
        <v>8000038</v>
      </c>
      <c r="G69"/>
    </row>
    <row r="70" spans="1:7" x14ac:dyDescent="0.25">
      <c r="A70" s="82">
        <v>43921</v>
      </c>
      <c r="B70" s="45">
        <v>2022</v>
      </c>
      <c r="C70" s="15">
        <v>0.11651707303580566</v>
      </c>
      <c r="D70" s="81">
        <v>15331.68</v>
      </c>
      <c r="E70" s="83">
        <v>3963.1200000000003</v>
      </c>
      <c r="F70" s="83">
        <v>8000038</v>
      </c>
      <c r="G70"/>
    </row>
    <row r="71" spans="1:7" x14ac:dyDescent="0.25">
      <c r="A71" s="82">
        <v>43922</v>
      </c>
      <c r="B71" s="45">
        <v>834</v>
      </c>
      <c r="C71" s="15">
        <v>6.2388165099731288E-2</v>
      </c>
      <c r="D71" s="81">
        <v>12533.920000000002</v>
      </c>
      <c r="E71" s="83">
        <v>1619.4506999999999</v>
      </c>
      <c r="F71" s="83">
        <v>8000037</v>
      </c>
      <c r="G71"/>
    </row>
    <row r="72" spans="1:7" x14ac:dyDescent="0.25">
      <c r="A72" s="82">
        <v>43923</v>
      </c>
      <c r="B72" s="45">
        <v>1427</v>
      </c>
      <c r="C72" s="15">
        <v>5.5875327929832803E-2</v>
      </c>
      <c r="D72" s="81">
        <v>24112</v>
      </c>
      <c r="E72" s="83">
        <v>2728.11006</v>
      </c>
      <c r="F72" s="83">
        <v>8000035</v>
      </c>
      <c r="G72"/>
    </row>
    <row r="73" spans="1:7" x14ac:dyDescent="0.25">
      <c r="A73" s="82">
        <v>43924</v>
      </c>
      <c r="B73" s="45">
        <v>1149</v>
      </c>
      <c r="C73" s="15">
        <v>5.7078419489125787E-2</v>
      </c>
      <c r="D73" s="81">
        <v>18981.2</v>
      </c>
      <c r="E73" s="83">
        <v>2196.6352200000001</v>
      </c>
      <c r="F73" s="83">
        <v>8000035</v>
      </c>
      <c r="G73"/>
    </row>
    <row r="74" spans="1:7" x14ac:dyDescent="0.25">
      <c r="A74" s="82">
        <v>43927</v>
      </c>
      <c r="B74" s="45">
        <v>1088</v>
      </c>
      <c r="C74" s="15">
        <v>4.043527383005293E-2</v>
      </c>
      <c r="D74" s="81">
        <v>25819.199999999997</v>
      </c>
      <c r="E74" s="83">
        <v>2080.0166399999998</v>
      </c>
      <c r="F74" s="83">
        <v>8000035</v>
      </c>
      <c r="G74"/>
    </row>
    <row r="75" spans="1:7" x14ac:dyDescent="0.25">
      <c r="A75" s="82">
        <v>43928</v>
      </c>
      <c r="B75" s="45">
        <v>1269</v>
      </c>
      <c r="C75" s="15">
        <v>3.785867288793953E-2</v>
      </c>
      <c r="D75" s="81">
        <v>32250.399999999998</v>
      </c>
      <c r="E75" s="83">
        <v>2426.04882</v>
      </c>
      <c r="F75" s="83">
        <v>8000035</v>
      </c>
      <c r="G75"/>
    </row>
    <row r="76" spans="1:7" x14ac:dyDescent="0.25">
      <c r="A76" s="82">
        <v>43929</v>
      </c>
      <c r="B76" s="45">
        <v>2130</v>
      </c>
      <c r="C76" s="15">
        <v>8.4891673442058446E-2</v>
      </c>
      <c r="D76" s="81">
        <v>22960.799999999999</v>
      </c>
      <c r="E76" s="83">
        <v>4072.0914000000002</v>
      </c>
      <c r="F76" s="83">
        <v>8000035</v>
      </c>
      <c r="G76"/>
    </row>
    <row r="77" spans="1:7" x14ac:dyDescent="0.25">
      <c r="A77" s="82">
        <v>43930</v>
      </c>
      <c r="B77" s="45">
        <v>2852</v>
      </c>
      <c r="C77" s="15">
        <v>0.12806236080178174</v>
      </c>
      <c r="D77" s="81">
        <v>19418.400000000001</v>
      </c>
      <c r="E77" s="83">
        <v>5452.3965600000001</v>
      </c>
      <c r="F77" s="83">
        <v>8000035</v>
      </c>
      <c r="G77"/>
    </row>
    <row r="78" spans="1:7" x14ac:dyDescent="0.25">
      <c r="A78" s="82">
        <v>43931</v>
      </c>
      <c r="B78" s="45">
        <v>429</v>
      </c>
      <c r="C78" s="15">
        <v>2.7539190386318992E-2</v>
      </c>
      <c r="D78" s="81">
        <v>15148.8</v>
      </c>
      <c r="E78" s="83">
        <v>820.15362000000005</v>
      </c>
      <c r="F78" s="83">
        <v>8000035</v>
      </c>
      <c r="G78"/>
    </row>
    <row r="79" spans="1:7" x14ac:dyDescent="0.25">
      <c r="A79" s="82">
        <v>43934</v>
      </c>
      <c r="B79" s="45">
        <v>1063</v>
      </c>
      <c r="C79" s="15">
        <v>0.11053802799326166</v>
      </c>
      <c r="D79" s="81">
        <v>8553.5999999999985</v>
      </c>
      <c r="E79" s="83">
        <v>2039.2698300000002</v>
      </c>
      <c r="F79" s="83">
        <v>8000046</v>
      </c>
      <c r="G79"/>
    </row>
    <row r="80" spans="1:7" x14ac:dyDescent="0.25">
      <c r="A80" s="82">
        <v>43935</v>
      </c>
      <c r="B80" s="45">
        <v>1290</v>
      </c>
      <c r="C80" s="15">
        <v>9.0986034701650439E-2</v>
      </c>
      <c r="D80" s="81">
        <v>12888</v>
      </c>
      <c r="E80" s="83">
        <v>2519.8324600000005</v>
      </c>
      <c r="F80" s="83">
        <v>8000040.666666667</v>
      </c>
      <c r="G80"/>
    </row>
    <row r="81" spans="1:7" x14ac:dyDescent="0.25">
      <c r="A81" s="82">
        <v>43936</v>
      </c>
      <c r="B81" s="45">
        <v>1858</v>
      </c>
      <c r="C81" s="15">
        <v>0.15478689726415409</v>
      </c>
      <c r="D81" s="81">
        <v>10145.6</v>
      </c>
      <c r="E81" s="83">
        <v>3601.1751999999997</v>
      </c>
      <c r="F81" s="83">
        <v>8000037</v>
      </c>
      <c r="G81"/>
    </row>
    <row r="82" spans="1:7" x14ac:dyDescent="0.25">
      <c r="A82" s="82">
        <v>43937</v>
      </c>
      <c r="B82" s="45">
        <v>1347</v>
      </c>
      <c r="C82" s="15">
        <v>6.077916452337765E-2</v>
      </c>
      <c r="D82" s="81">
        <v>20815.199999999997</v>
      </c>
      <c r="E82" s="83">
        <v>2575.1676600000001</v>
      </c>
      <c r="F82" s="83">
        <v>8000035</v>
      </c>
      <c r="G82"/>
    </row>
    <row r="83" spans="1:7" x14ac:dyDescent="0.25">
      <c r="A83" s="82">
        <v>43938</v>
      </c>
      <c r="B83" s="45">
        <v>1025</v>
      </c>
      <c r="C83" s="15">
        <v>5.6241426611796985E-2</v>
      </c>
      <c r="D83" s="81">
        <v>17200</v>
      </c>
      <c r="E83" s="83">
        <v>1959.5745000000002</v>
      </c>
      <c r="F83" s="83">
        <v>8000035</v>
      </c>
      <c r="G83"/>
    </row>
    <row r="84" spans="1:7" x14ac:dyDescent="0.25">
      <c r="A84" s="82">
        <v>43940</v>
      </c>
      <c r="B84" s="45">
        <v>90</v>
      </c>
      <c r="C84" s="15">
        <v>1</v>
      </c>
      <c r="D84" s="81">
        <v>0</v>
      </c>
      <c r="E84" s="83">
        <v>172.06020000000001</v>
      </c>
      <c r="F84" s="83">
        <v>8000035</v>
      </c>
      <c r="G84"/>
    </row>
    <row r="85" spans="1:7" x14ac:dyDescent="0.25">
      <c r="A85" s="82">
        <v>43941</v>
      </c>
      <c r="B85" s="45">
        <v>1049</v>
      </c>
      <c r="C85" s="15">
        <v>6.0361594144522579E-2</v>
      </c>
      <c r="D85" s="81">
        <v>16329.599999999999</v>
      </c>
      <c r="E85" s="83">
        <v>2005.45722</v>
      </c>
      <c r="F85" s="83">
        <v>8000035</v>
      </c>
      <c r="G85"/>
    </row>
    <row r="86" spans="1:7" x14ac:dyDescent="0.25">
      <c r="A86" s="82">
        <v>43942</v>
      </c>
      <c r="B86" s="45">
        <v>966</v>
      </c>
      <c r="C86" s="15">
        <v>5.2198835414802421E-2</v>
      </c>
      <c r="D86" s="81">
        <v>17540.16</v>
      </c>
      <c r="E86" s="83">
        <v>1846.7794799999999</v>
      </c>
      <c r="F86" s="83">
        <v>8000035</v>
      </c>
      <c r="G86"/>
    </row>
    <row r="87" spans="1:7" x14ac:dyDescent="0.25">
      <c r="A87" s="82">
        <v>43943</v>
      </c>
      <c r="B87" s="45">
        <v>1346</v>
      </c>
      <c r="C87" s="15">
        <v>5.7416349582814344E-2</v>
      </c>
      <c r="D87" s="81">
        <v>22096.799999999999</v>
      </c>
      <c r="E87" s="83">
        <v>2573.2558799999997</v>
      </c>
      <c r="F87" s="83">
        <v>8000035</v>
      </c>
      <c r="G87"/>
    </row>
    <row r="88" spans="1:7" x14ac:dyDescent="0.25">
      <c r="A88" s="82">
        <v>43944</v>
      </c>
      <c r="B88" s="45">
        <v>538</v>
      </c>
      <c r="C88" s="15">
        <v>5.1154299623473926E-2</v>
      </c>
      <c r="D88" s="81">
        <v>9979.2000000000007</v>
      </c>
      <c r="E88" s="83">
        <v>1028.53764</v>
      </c>
      <c r="F88" s="83">
        <v>8000035</v>
      </c>
      <c r="G88"/>
    </row>
    <row r="89" spans="1:7" x14ac:dyDescent="0.25">
      <c r="A89" s="82">
        <v>43951</v>
      </c>
      <c r="B89" s="45">
        <v>506</v>
      </c>
      <c r="C89" s="15">
        <v>0.12432432432432433</v>
      </c>
      <c r="D89" s="81">
        <v>3564</v>
      </c>
      <c r="E89" s="83">
        <v>967.36068</v>
      </c>
      <c r="F89" s="83">
        <v>8000035</v>
      </c>
      <c r="G89"/>
    </row>
    <row r="90" spans="1:7" x14ac:dyDescent="0.25">
      <c r="A90" s="82">
        <v>43945</v>
      </c>
      <c r="B90" s="45">
        <v>66</v>
      </c>
      <c r="C90" s="15">
        <v>1</v>
      </c>
      <c r="D90" s="81">
        <v>0</v>
      </c>
      <c r="E90" s="83">
        <v>126.17748</v>
      </c>
      <c r="F90" s="83">
        <v>8000035</v>
      </c>
      <c r="G90"/>
    </row>
    <row r="91" spans="1:7" x14ac:dyDescent="0.25">
      <c r="A91" s="82">
        <v>43948</v>
      </c>
      <c r="B91" s="45">
        <v>998</v>
      </c>
      <c r="C91" s="15">
        <v>0.16528651871480624</v>
      </c>
      <c r="D91" s="81">
        <v>5040</v>
      </c>
      <c r="E91" s="83">
        <v>0</v>
      </c>
      <c r="F91" s="83">
        <v>8000402</v>
      </c>
      <c r="G91"/>
    </row>
    <row r="92" spans="1:7" x14ac:dyDescent="0.25">
      <c r="A92" s="82">
        <v>43949</v>
      </c>
      <c r="B92" s="45">
        <v>1125</v>
      </c>
      <c r="C92" s="15">
        <v>6.4867669953295279E-2</v>
      </c>
      <c r="D92" s="81">
        <v>16218</v>
      </c>
      <c r="E92" s="83">
        <v>0</v>
      </c>
      <c r="F92" s="83">
        <v>8000402</v>
      </c>
      <c r="G92"/>
    </row>
    <row r="93" spans="1:7" x14ac:dyDescent="0.25">
      <c r="A93" s="82">
        <v>43952</v>
      </c>
      <c r="B93" s="45">
        <v>3745</v>
      </c>
      <c r="C93" s="15">
        <v>0.17366424603285013</v>
      </c>
      <c r="D93" s="81">
        <v>17819.599999999999</v>
      </c>
      <c r="E93" s="83">
        <v>4465.9180800000004</v>
      </c>
      <c r="F93" s="83">
        <v>8000035</v>
      </c>
      <c r="G93"/>
    </row>
    <row r="94" spans="1:7" x14ac:dyDescent="0.25">
      <c r="A94" s="82">
        <v>43953</v>
      </c>
      <c r="B94" s="45">
        <v>435</v>
      </c>
      <c r="C94" s="15">
        <v>1</v>
      </c>
      <c r="D94" s="81">
        <v>0</v>
      </c>
      <c r="E94" s="83"/>
      <c r="F94" s="83">
        <v>8000035</v>
      </c>
      <c r="G94"/>
    </row>
    <row r="95" spans="1:7" x14ac:dyDescent="0.25">
      <c r="A95" s="82">
        <v>43955</v>
      </c>
      <c r="B95" s="45">
        <v>1159</v>
      </c>
      <c r="C95" s="15">
        <v>9.7797654206396079E-2</v>
      </c>
      <c r="D95" s="81">
        <v>10692</v>
      </c>
      <c r="E95" s="83">
        <v>2215.7530200000001</v>
      </c>
      <c r="F95" s="83">
        <v>8000035</v>
      </c>
      <c r="G95"/>
    </row>
    <row r="96" spans="1:7" x14ac:dyDescent="0.25">
      <c r="A96" s="82">
        <v>43956</v>
      </c>
      <c r="B96" s="45">
        <v>709</v>
      </c>
      <c r="C96" s="15">
        <v>7.1074844116526661E-2</v>
      </c>
      <c r="D96" s="81">
        <v>9266.4</v>
      </c>
      <c r="E96" s="83">
        <v>1355.4520200000002</v>
      </c>
      <c r="F96" s="83">
        <v>8000035</v>
      </c>
      <c r="G96"/>
    </row>
    <row r="97" spans="1:7" x14ac:dyDescent="0.25">
      <c r="A97" s="82">
        <v>43957</v>
      </c>
      <c r="B97" s="45">
        <v>526</v>
      </c>
      <c r="C97" s="15">
        <v>9.5365871346725639E-2</v>
      </c>
      <c r="D97" s="81">
        <v>4989.6000000000004</v>
      </c>
      <c r="E97" s="83">
        <v>1005.59628</v>
      </c>
      <c r="F97" s="83">
        <v>8000035</v>
      </c>
      <c r="G97"/>
    </row>
    <row r="98" spans="1:7" x14ac:dyDescent="0.25">
      <c r="A98" s="82">
        <v>43958</v>
      </c>
      <c r="B98" s="45">
        <v>243</v>
      </c>
      <c r="C98" s="15">
        <v>5.3763440860215055E-2</v>
      </c>
      <c r="D98" s="81">
        <v>4276.8</v>
      </c>
      <c r="E98" s="83">
        <v>464.56254000000001</v>
      </c>
      <c r="F98" s="83">
        <v>8000035</v>
      </c>
      <c r="G98"/>
    </row>
    <row r="99" spans="1:7" x14ac:dyDescent="0.25">
      <c r="A99" s="82">
        <v>43959</v>
      </c>
      <c r="B99" s="45">
        <v>1031</v>
      </c>
      <c r="C99" s="15">
        <v>0.11588175789591998</v>
      </c>
      <c r="D99" s="81">
        <v>7866</v>
      </c>
      <c r="E99" s="83">
        <v>2020.7599999999998</v>
      </c>
      <c r="F99" s="83">
        <v>8000038</v>
      </c>
      <c r="G99"/>
    </row>
    <row r="100" spans="1:7" x14ac:dyDescent="0.25">
      <c r="A100" s="82">
        <v>43962</v>
      </c>
      <c r="B100" s="45">
        <v>1374</v>
      </c>
      <c r="C100" s="15">
        <v>0.17585624328060204</v>
      </c>
      <c r="D100" s="81">
        <v>6439.2000000000007</v>
      </c>
      <c r="E100" s="83">
        <v>2693.04</v>
      </c>
      <c r="F100" s="83">
        <v>8000038</v>
      </c>
      <c r="G100"/>
    </row>
    <row r="101" spans="1:7" x14ac:dyDescent="0.25">
      <c r="A101" s="82">
        <v>43963</v>
      </c>
      <c r="B101" s="45">
        <v>1625</v>
      </c>
      <c r="C101" s="15">
        <v>0.12806852178189418</v>
      </c>
      <c r="D101" s="81">
        <v>11063.52</v>
      </c>
      <c r="E101" s="83">
        <v>3185</v>
      </c>
      <c r="F101" s="83">
        <v>8000038</v>
      </c>
      <c r="G101"/>
    </row>
    <row r="102" spans="1:7" x14ac:dyDescent="0.25">
      <c r="A102" s="82">
        <v>43964</v>
      </c>
      <c r="B102" s="45">
        <v>636</v>
      </c>
      <c r="C102" s="15">
        <v>6.2924443178040551E-2</v>
      </c>
      <c r="D102" s="81">
        <v>9471.36</v>
      </c>
      <c r="E102" s="83">
        <v>1246.56</v>
      </c>
      <c r="F102" s="83">
        <v>8000038</v>
      </c>
      <c r="G102"/>
    </row>
    <row r="103" spans="1:7" x14ac:dyDescent="0.25">
      <c r="A103" s="82">
        <v>43965</v>
      </c>
      <c r="B103" s="45">
        <v>1207</v>
      </c>
      <c r="C103" s="15">
        <v>7.9882353875518536E-2</v>
      </c>
      <c r="D103" s="81">
        <v>13902.720000000001</v>
      </c>
      <c r="E103" s="83">
        <v>2365.7200000000003</v>
      </c>
      <c r="F103" s="83">
        <v>8000038</v>
      </c>
      <c r="G103"/>
    </row>
    <row r="104" spans="1:7" x14ac:dyDescent="0.25">
      <c r="A104" s="82">
        <v>43966</v>
      </c>
      <c r="B104" s="45">
        <v>1098</v>
      </c>
      <c r="C104" s="15">
        <v>0.12230985162411441</v>
      </c>
      <c r="D104" s="81">
        <v>7879.2</v>
      </c>
      <c r="E104" s="83">
        <v>2152.08</v>
      </c>
      <c r="F104" s="83">
        <v>8000038</v>
      </c>
      <c r="G104"/>
    </row>
    <row r="105" spans="1:7" x14ac:dyDescent="0.25">
      <c r="A105" s="82">
        <v>43969</v>
      </c>
      <c r="B105" s="45">
        <v>680</v>
      </c>
      <c r="C105" s="15">
        <v>0.12621013244639781</v>
      </c>
      <c r="D105" s="81">
        <v>4707.84</v>
      </c>
      <c r="E105" s="83">
        <v>1361.39094</v>
      </c>
      <c r="F105" s="83">
        <v>8000038.666666667</v>
      </c>
      <c r="G105"/>
    </row>
    <row r="106" spans="1:7" x14ac:dyDescent="0.25">
      <c r="A106" s="82">
        <v>43970</v>
      </c>
      <c r="B106" s="45">
        <v>993</v>
      </c>
      <c r="C106" s="15">
        <v>0.13716909509838049</v>
      </c>
      <c r="D106" s="81">
        <v>6246.24</v>
      </c>
      <c r="E106" s="83">
        <v>1946.28</v>
      </c>
      <c r="F106" s="83">
        <v>8000038</v>
      </c>
      <c r="G106"/>
    </row>
    <row r="107" spans="1:7" x14ac:dyDescent="0.25">
      <c r="A107" s="82">
        <v>43971</v>
      </c>
      <c r="B107" s="45">
        <v>696</v>
      </c>
      <c r="C107" s="15">
        <v>6.1101512789178705E-2</v>
      </c>
      <c r="D107" s="81">
        <v>10694.880000000001</v>
      </c>
      <c r="E107" s="83">
        <v>1378.5756000000001</v>
      </c>
      <c r="F107" s="83">
        <v>8000038.333333333</v>
      </c>
      <c r="G107"/>
    </row>
    <row r="108" spans="1:7" x14ac:dyDescent="0.25">
      <c r="A108" s="82">
        <v>43972</v>
      </c>
      <c r="B108" s="45">
        <v>277</v>
      </c>
      <c r="C108" s="15">
        <v>1.7714395344375519E-2</v>
      </c>
      <c r="D108" s="81">
        <v>15360</v>
      </c>
      <c r="E108" s="83">
        <v>576.19601</v>
      </c>
      <c r="F108" s="83">
        <v>8000039</v>
      </c>
      <c r="G108"/>
    </row>
    <row r="109" spans="1:7" x14ac:dyDescent="0.25">
      <c r="A109" s="82">
        <v>43973</v>
      </c>
      <c r="B109" s="45">
        <v>345</v>
      </c>
      <c r="C109" s="15">
        <v>2.1967526265520534E-2</v>
      </c>
      <c r="D109" s="81">
        <v>15360</v>
      </c>
      <c r="E109" s="83">
        <v>717.64485000000002</v>
      </c>
      <c r="F109" s="83">
        <v>8000039</v>
      </c>
      <c r="G109"/>
    </row>
    <row r="110" spans="1:7" x14ac:dyDescent="0.25">
      <c r="A110" s="82">
        <v>43976</v>
      </c>
      <c r="B110" s="45">
        <v>1644</v>
      </c>
      <c r="C110" s="15">
        <v>0.10073881256882133</v>
      </c>
      <c r="D110" s="81">
        <v>14675.43</v>
      </c>
      <c r="E110" s="83">
        <v>3142.96632</v>
      </c>
      <c r="F110" s="83">
        <v>8000035</v>
      </c>
      <c r="G110"/>
    </row>
    <row r="111" spans="1:7" x14ac:dyDescent="0.25">
      <c r="A111" s="82">
        <v>43977</v>
      </c>
      <c r="B111" s="45">
        <v>1703</v>
      </c>
      <c r="C111" s="15">
        <v>6.3889828874300988E-2</v>
      </c>
      <c r="D111" s="81">
        <v>24952.26</v>
      </c>
      <c r="E111" s="83">
        <v>3255.76134</v>
      </c>
      <c r="F111" s="83">
        <v>8000035</v>
      </c>
      <c r="G111"/>
    </row>
    <row r="112" spans="1:7" x14ac:dyDescent="0.25">
      <c r="A112" s="82">
        <v>43978</v>
      </c>
      <c r="B112" s="45">
        <v>1610</v>
      </c>
      <c r="C112" s="15">
        <v>8.4931603682760939E-2</v>
      </c>
      <c r="D112" s="81">
        <v>17346.43</v>
      </c>
      <c r="E112" s="83">
        <v>3077.9657999999999</v>
      </c>
      <c r="F112" s="83">
        <v>8000035</v>
      </c>
      <c r="G112"/>
    </row>
    <row r="113" spans="1:7" x14ac:dyDescent="0.25">
      <c r="A113" s="82">
        <v>43979</v>
      </c>
      <c r="B113" s="45">
        <v>1366</v>
      </c>
      <c r="C113" s="15">
        <v>5.2656351007390002E-2</v>
      </c>
      <c r="D113" s="81">
        <v>24575.79</v>
      </c>
      <c r="E113" s="83">
        <v>2611.4914800000001</v>
      </c>
      <c r="F113" s="83">
        <v>8000035</v>
      </c>
      <c r="G113"/>
    </row>
    <row r="114" spans="1:7" x14ac:dyDescent="0.25">
      <c r="A114" s="82">
        <v>43980</v>
      </c>
      <c r="B114" s="45">
        <v>586</v>
      </c>
      <c r="C114" s="15">
        <v>7.5599246587713193E-2</v>
      </c>
      <c r="D114" s="81">
        <v>7165.4</v>
      </c>
      <c r="E114" s="83">
        <v>1120.3030799999999</v>
      </c>
      <c r="F114" s="83">
        <v>8000035</v>
      </c>
      <c r="G114"/>
    </row>
    <row r="115" spans="1:7" x14ac:dyDescent="0.25">
      <c r="A115" s="82">
        <v>43984</v>
      </c>
      <c r="B115" s="45">
        <v>998</v>
      </c>
      <c r="C115" s="15">
        <v>0.25734914904589995</v>
      </c>
      <c r="D115" s="81">
        <v>2880</v>
      </c>
      <c r="E115" s="83">
        <v>1907.9564399999999</v>
      </c>
      <c r="F115" s="83">
        <v>8000035</v>
      </c>
      <c r="G115"/>
    </row>
    <row r="116" spans="1:7" x14ac:dyDescent="0.25">
      <c r="A116" s="82">
        <v>43985</v>
      </c>
      <c r="B116" s="45">
        <v>1138</v>
      </c>
      <c r="C116" s="15">
        <v>0.11724706367195549</v>
      </c>
      <c r="D116" s="81">
        <v>8568</v>
      </c>
      <c r="E116" s="83">
        <v>0</v>
      </c>
      <c r="F116" s="83">
        <v>8000413</v>
      </c>
      <c r="G116"/>
    </row>
    <row r="117" spans="1:7" x14ac:dyDescent="0.25">
      <c r="A117" s="82">
        <v>43986</v>
      </c>
      <c r="B117" s="45">
        <v>685</v>
      </c>
      <c r="C117" s="15">
        <v>1</v>
      </c>
      <c r="D117" s="81">
        <v>0</v>
      </c>
      <c r="E117" s="83">
        <v>0</v>
      </c>
      <c r="F117" s="83">
        <v>8000413</v>
      </c>
      <c r="G117"/>
    </row>
    <row r="118" spans="1:7" x14ac:dyDescent="0.25">
      <c r="A118" s="82">
        <v>43987</v>
      </c>
      <c r="B118" s="45">
        <v>748</v>
      </c>
      <c r="C118" s="15">
        <v>0.17348548102792466</v>
      </c>
      <c r="D118" s="81">
        <v>3563.6</v>
      </c>
      <c r="E118" s="83">
        <v>1430.01144</v>
      </c>
      <c r="F118" s="83">
        <v>8000035</v>
      </c>
      <c r="G118"/>
    </row>
    <row r="119" spans="1:7" x14ac:dyDescent="0.25">
      <c r="A119" s="82">
        <v>43990</v>
      </c>
      <c r="B119" s="45">
        <v>1256</v>
      </c>
      <c r="C119" s="15">
        <v>7.6195098277117207E-2</v>
      </c>
      <c r="D119" s="81">
        <v>15228</v>
      </c>
      <c r="E119" s="83">
        <v>2401.1956800000003</v>
      </c>
      <c r="F119" s="83">
        <v>8000035</v>
      </c>
      <c r="G119"/>
    </row>
    <row r="120" spans="1:7" x14ac:dyDescent="0.25">
      <c r="A120" s="82">
        <v>43991</v>
      </c>
      <c r="B120" s="45">
        <v>1730</v>
      </c>
      <c r="C120" s="15">
        <v>8.0649672739478234E-2</v>
      </c>
      <c r="D120" s="81">
        <v>19720.800000000003</v>
      </c>
      <c r="E120" s="83">
        <v>3307.3794000000003</v>
      </c>
      <c r="F120" s="83">
        <v>8000035</v>
      </c>
      <c r="G120"/>
    </row>
    <row r="121" spans="1:7" x14ac:dyDescent="0.25">
      <c r="A121" s="82">
        <v>43992</v>
      </c>
      <c r="B121" s="45">
        <v>1546</v>
      </c>
      <c r="C121" s="15">
        <v>8.3656197917793981E-2</v>
      </c>
      <c r="D121" s="81">
        <v>16934.400000000001</v>
      </c>
      <c r="E121" s="83">
        <v>2955.6118799999999</v>
      </c>
      <c r="F121" s="83">
        <v>8000035</v>
      </c>
      <c r="G121"/>
    </row>
    <row r="122" spans="1:7" x14ac:dyDescent="0.25">
      <c r="A122" s="82">
        <v>43993</v>
      </c>
      <c r="B122" s="45">
        <v>1375</v>
      </c>
      <c r="C122" s="15">
        <v>5.5961189388944517E-2</v>
      </c>
      <c r="D122" s="81">
        <v>23195.599999999999</v>
      </c>
      <c r="E122" s="83">
        <v>2628.6975000000002</v>
      </c>
      <c r="F122" s="83">
        <v>8000035</v>
      </c>
      <c r="G122"/>
    </row>
    <row r="123" spans="1:7" x14ac:dyDescent="0.25">
      <c r="A123" s="82">
        <v>43994</v>
      </c>
      <c r="B123" s="45">
        <v>1537</v>
      </c>
      <c r="C123" s="15">
        <v>5.4969421694503057E-2</v>
      </c>
      <c r="D123" s="81">
        <v>26424</v>
      </c>
      <c r="E123" s="83">
        <v>2938.4058600000003</v>
      </c>
      <c r="F123" s="83">
        <v>8000035</v>
      </c>
      <c r="G123"/>
    </row>
    <row r="124" spans="1:7" x14ac:dyDescent="0.25">
      <c r="A124" s="82">
        <v>43995</v>
      </c>
      <c r="B124" s="45">
        <v>106</v>
      </c>
      <c r="C124" s="15">
        <v>1.2119826206265722E-2</v>
      </c>
      <c r="D124" s="81">
        <v>8640</v>
      </c>
      <c r="E124" s="83">
        <v>220.49378000000002</v>
      </c>
      <c r="F124" s="83">
        <v>8000039</v>
      </c>
      <c r="G124"/>
    </row>
    <row r="125" spans="1:7" x14ac:dyDescent="0.25">
      <c r="A125" s="82">
        <v>43996</v>
      </c>
      <c r="B125" s="45">
        <v>691</v>
      </c>
      <c r="C125" s="15">
        <v>3.3139897367032753E-2</v>
      </c>
      <c r="D125" s="81">
        <v>20160</v>
      </c>
      <c r="E125" s="83">
        <v>1437.3698300000001</v>
      </c>
      <c r="F125" s="83">
        <v>8000039</v>
      </c>
      <c r="G125"/>
    </row>
    <row r="126" spans="1:7" x14ac:dyDescent="0.25">
      <c r="A126" s="82">
        <v>43997</v>
      </c>
      <c r="B126" s="45">
        <v>547</v>
      </c>
      <c r="C126" s="15">
        <v>3.9107742904125262E-2</v>
      </c>
      <c r="D126" s="81">
        <v>13440</v>
      </c>
      <c r="E126" s="83">
        <v>1137.8311100000001</v>
      </c>
      <c r="F126" s="83">
        <v>8000039</v>
      </c>
      <c r="G126"/>
    </row>
    <row r="127" spans="1:7" x14ac:dyDescent="0.25">
      <c r="A127" s="82">
        <v>43998</v>
      </c>
      <c r="B127" s="45">
        <v>597</v>
      </c>
      <c r="C127" s="15">
        <v>2.6326233628786878E-2</v>
      </c>
      <c r="D127" s="81">
        <v>22080</v>
      </c>
      <c r="E127" s="83">
        <v>1241.83761</v>
      </c>
      <c r="F127" s="83">
        <v>8000039</v>
      </c>
      <c r="G127"/>
    </row>
    <row r="128" spans="1:7" x14ac:dyDescent="0.25">
      <c r="A128" s="82">
        <v>43999</v>
      </c>
      <c r="B128" s="45">
        <v>203</v>
      </c>
      <c r="C128" s="15">
        <v>1.1006886081440112E-2</v>
      </c>
      <c r="D128" s="81">
        <v>18240</v>
      </c>
      <c r="E128" s="83">
        <v>422.26639</v>
      </c>
      <c r="F128" s="83">
        <v>8000039</v>
      </c>
      <c r="G128"/>
    </row>
    <row r="129" spans="1:7" x14ac:dyDescent="0.25">
      <c r="A129" s="82">
        <v>44000</v>
      </c>
      <c r="B129" s="45">
        <v>1241</v>
      </c>
      <c r="C129" s="15">
        <v>0.12611532285929147</v>
      </c>
      <c r="D129" s="81">
        <v>8599.1999999999989</v>
      </c>
      <c r="E129" s="83">
        <v>2432.36</v>
      </c>
      <c r="F129" s="83">
        <v>8000038</v>
      </c>
      <c r="G129"/>
    </row>
    <row r="130" spans="1:7" x14ac:dyDescent="0.25">
      <c r="A130" s="82">
        <v>44001</v>
      </c>
      <c r="B130" s="45">
        <v>915</v>
      </c>
      <c r="C130" s="15">
        <v>4.251661168161331E-2</v>
      </c>
      <c r="D130" s="81">
        <v>20606</v>
      </c>
      <c r="E130" s="83">
        <v>1793.4</v>
      </c>
      <c r="F130" s="83">
        <v>8000038</v>
      </c>
      <c r="G130"/>
    </row>
    <row r="131" spans="1:7" x14ac:dyDescent="0.25">
      <c r="A131" s="82">
        <v>44002</v>
      </c>
      <c r="B131" s="45">
        <v>403</v>
      </c>
      <c r="C131" s="15">
        <v>3.9145216124332201E-2</v>
      </c>
      <c r="D131" s="81">
        <v>9892</v>
      </c>
      <c r="E131" s="83">
        <v>789.88</v>
      </c>
      <c r="F131" s="83">
        <v>8000038</v>
      </c>
      <c r="G131"/>
    </row>
    <row r="132" spans="1:7" x14ac:dyDescent="0.25">
      <c r="A132" s="82">
        <v>44003</v>
      </c>
      <c r="B132" s="45">
        <v>500</v>
      </c>
      <c r="C132" s="15">
        <v>0.11873664212776062</v>
      </c>
      <c r="D132" s="81">
        <v>3711</v>
      </c>
      <c r="E132" s="83">
        <v>980</v>
      </c>
      <c r="F132" s="83">
        <v>8000038</v>
      </c>
      <c r="G132"/>
    </row>
    <row r="133" spans="1:7" x14ac:dyDescent="0.25">
      <c r="A133" s="82">
        <v>44004</v>
      </c>
      <c r="B133" s="45">
        <v>910</v>
      </c>
      <c r="C133" s="15">
        <v>4.7013845835916515E-2</v>
      </c>
      <c r="D133" s="81">
        <v>18446</v>
      </c>
      <c r="E133" s="83">
        <v>1783.6</v>
      </c>
      <c r="F133" s="83">
        <v>8000038</v>
      </c>
      <c r="G133"/>
    </row>
    <row r="134" spans="1:7" x14ac:dyDescent="0.25">
      <c r="A134" s="82">
        <v>44005</v>
      </c>
      <c r="B134" s="45">
        <v>849</v>
      </c>
      <c r="C134" s="15">
        <v>4.5951504654687163E-2</v>
      </c>
      <c r="D134" s="81">
        <v>17627</v>
      </c>
      <c r="E134" s="83">
        <v>1664.04</v>
      </c>
      <c r="F134" s="83">
        <v>8000038</v>
      </c>
      <c r="G134"/>
    </row>
    <row r="135" spans="1:7" x14ac:dyDescent="0.25">
      <c r="A135" s="82">
        <v>44006</v>
      </c>
      <c r="B135" s="45">
        <v>962</v>
      </c>
      <c r="C135" s="15">
        <v>4.8731067321817534E-2</v>
      </c>
      <c r="D135" s="81">
        <v>18779</v>
      </c>
      <c r="E135" s="83">
        <v>1839.1323600000001</v>
      </c>
      <c r="F135" s="83">
        <v>8000035</v>
      </c>
      <c r="G135"/>
    </row>
    <row r="136" spans="1:7" x14ac:dyDescent="0.25">
      <c r="A136" s="82">
        <v>44007</v>
      </c>
      <c r="B136" s="45">
        <v>1253</v>
      </c>
      <c r="C136" s="15">
        <v>4.3221800620903757E-2</v>
      </c>
      <c r="D136" s="81">
        <v>27737</v>
      </c>
      <c r="E136" s="83">
        <v>2395.4603400000001</v>
      </c>
      <c r="F136" s="83">
        <v>8000035</v>
      </c>
      <c r="G136"/>
    </row>
    <row r="137" spans="1:7" x14ac:dyDescent="0.25">
      <c r="A137" s="82">
        <v>44008</v>
      </c>
      <c r="B137" s="45">
        <v>1171</v>
      </c>
      <c r="C137" s="15">
        <v>4.7483881432220917E-2</v>
      </c>
      <c r="D137" s="81">
        <v>23490</v>
      </c>
      <c r="E137" s="83">
        <v>2238.6943799999999</v>
      </c>
      <c r="F137" s="83">
        <v>8000035</v>
      </c>
      <c r="G137"/>
    </row>
    <row r="138" spans="1:7" x14ac:dyDescent="0.25">
      <c r="A138" s="82">
        <v>44009</v>
      </c>
      <c r="B138" s="45">
        <v>1315</v>
      </c>
      <c r="C138" s="15">
        <v>4.5560059591865015E-2</v>
      </c>
      <c r="D138" s="81">
        <v>27548</v>
      </c>
      <c r="E138" s="83">
        <v>2513.9907000000003</v>
      </c>
      <c r="F138" s="83">
        <v>8000035</v>
      </c>
      <c r="G138"/>
    </row>
    <row r="139" spans="1:7" x14ac:dyDescent="0.25">
      <c r="A139" s="82">
        <v>44010</v>
      </c>
      <c r="B139" s="45">
        <v>1747</v>
      </c>
      <c r="C139" s="15">
        <v>5.9128139172815272E-2</v>
      </c>
      <c r="D139" s="81">
        <v>27799</v>
      </c>
      <c r="E139" s="83">
        <v>3339.8796600000001</v>
      </c>
      <c r="F139" s="83">
        <v>8000035</v>
      </c>
      <c r="G139"/>
    </row>
    <row r="140" spans="1:7" x14ac:dyDescent="0.25">
      <c r="A140" s="82">
        <v>44011</v>
      </c>
      <c r="B140" s="45">
        <v>810</v>
      </c>
      <c r="C140" s="15">
        <v>2.3023791250959325E-2</v>
      </c>
      <c r="D140" s="81">
        <v>34371</v>
      </c>
      <c r="E140" s="83">
        <v>1548.5418</v>
      </c>
      <c r="F140" s="83">
        <v>8000035</v>
      </c>
      <c r="G140"/>
    </row>
    <row r="141" spans="1:7" x14ac:dyDescent="0.25">
      <c r="A141" s="82">
        <v>44013</v>
      </c>
      <c r="B141" s="45">
        <v>198</v>
      </c>
      <c r="C141" s="15">
        <v>1</v>
      </c>
      <c r="D141" s="81"/>
      <c r="E141" s="83">
        <v>0</v>
      </c>
      <c r="F141" s="83"/>
      <c r="G141"/>
    </row>
    <row r="142" spans="1:7" x14ac:dyDescent="0.25">
      <c r="A142" s="82">
        <v>44014</v>
      </c>
      <c r="B142" s="45">
        <v>1582</v>
      </c>
      <c r="C142" s="15">
        <v>0.12181599778236364</v>
      </c>
      <c r="D142" s="81">
        <v>11404.8</v>
      </c>
      <c r="E142" s="83">
        <v>0</v>
      </c>
      <c r="F142" s="83">
        <v>8000413</v>
      </c>
      <c r="G142"/>
    </row>
    <row r="143" spans="1:7" x14ac:dyDescent="0.25">
      <c r="A143" s="82">
        <v>44019</v>
      </c>
      <c r="B143" s="45">
        <v>1339</v>
      </c>
      <c r="C143" s="15">
        <v>8.8382604930416026E-2</v>
      </c>
      <c r="D143" s="81">
        <v>13811.039999999999</v>
      </c>
      <c r="E143" s="83">
        <v>2559.8734199999999</v>
      </c>
      <c r="F143" s="83">
        <v>8000035</v>
      </c>
      <c r="G143"/>
    </row>
    <row r="144" spans="1:7" x14ac:dyDescent="0.25">
      <c r="A144" s="82">
        <v>44020</v>
      </c>
      <c r="B144" s="45">
        <v>1232</v>
      </c>
      <c r="C144" s="15">
        <v>6.4369396740672324E-2</v>
      </c>
      <c r="D144" s="81">
        <v>17907.53</v>
      </c>
      <c r="E144" s="83">
        <v>2355.3129600000002</v>
      </c>
      <c r="F144" s="83">
        <v>8000035</v>
      </c>
      <c r="G144"/>
    </row>
    <row r="145" spans="1:7" x14ac:dyDescent="0.25">
      <c r="A145" s="82">
        <v>44021</v>
      </c>
      <c r="B145" s="45">
        <v>1294</v>
      </c>
      <c r="C145" s="15">
        <v>4.6171412260044245E-2</v>
      </c>
      <c r="D145" s="81">
        <v>26732</v>
      </c>
      <c r="E145" s="83">
        <v>2473.8433199999999</v>
      </c>
      <c r="F145" s="83">
        <v>8000035</v>
      </c>
      <c r="G145"/>
    </row>
    <row r="146" spans="1:7" x14ac:dyDescent="0.25">
      <c r="A146" s="82">
        <v>44022</v>
      </c>
      <c r="B146" s="45">
        <v>1300</v>
      </c>
      <c r="C146" s="15">
        <v>3.6003899499268847E-2</v>
      </c>
      <c r="D146" s="81">
        <v>34807.199999999997</v>
      </c>
      <c r="E146" s="83">
        <v>2485.3139999999999</v>
      </c>
      <c r="F146" s="83">
        <v>8000035</v>
      </c>
      <c r="G146"/>
    </row>
    <row r="147" spans="1:7" x14ac:dyDescent="0.25">
      <c r="A147" s="82">
        <v>44023</v>
      </c>
      <c r="B147" s="45">
        <v>1367</v>
      </c>
      <c r="C147" s="15">
        <v>5.1003275850489888E-2</v>
      </c>
      <c r="D147" s="81">
        <v>25435.199999999997</v>
      </c>
      <c r="E147" s="83">
        <v>2613.40326</v>
      </c>
      <c r="F147" s="83">
        <v>8000035</v>
      </c>
      <c r="G147"/>
    </row>
    <row r="148" spans="1:7" x14ac:dyDescent="0.25">
      <c r="A148" s="82">
        <v>44024</v>
      </c>
      <c r="B148" s="45">
        <v>1094</v>
      </c>
      <c r="C148" s="15">
        <v>3.5348476525897447E-2</v>
      </c>
      <c r="D148" s="81">
        <v>29855</v>
      </c>
      <c r="E148" s="83">
        <v>2091.4873200000002</v>
      </c>
      <c r="F148" s="83">
        <v>8000035</v>
      </c>
      <c r="G148"/>
    </row>
    <row r="149" spans="1:7" x14ac:dyDescent="0.25">
      <c r="A149" s="82">
        <v>44025</v>
      </c>
      <c r="B149" s="45">
        <v>1096</v>
      </c>
      <c r="C149" s="15">
        <v>5.0180737647686352E-2</v>
      </c>
      <c r="D149" s="81">
        <v>20745.05</v>
      </c>
      <c r="E149" s="83">
        <v>2095.31088</v>
      </c>
      <c r="F149" s="83">
        <v>8000035</v>
      </c>
      <c r="G149"/>
    </row>
    <row r="150" spans="1:7" x14ac:dyDescent="0.25">
      <c r="A150" s="82">
        <v>44026</v>
      </c>
      <c r="B150" s="45">
        <v>1104</v>
      </c>
      <c r="C150" s="15">
        <v>4.380808092431876E-2</v>
      </c>
      <c r="D150" s="81">
        <v>24096.83</v>
      </c>
      <c r="E150" s="83">
        <v>2110.6051200000002</v>
      </c>
      <c r="F150" s="83">
        <v>8000035</v>
      </c>
      <c r="G150"/>
    </row>
    <row r="151" spans="1:7" x14ac:dyDescent="0.25">
      <c r="A151" s="82">
        <v>44027</v>
      </c>
      <c r="B151" s="45">
        <v>1655</v>
      </c>
      <c r="C151" s="15">
        <v>7.9184329636469777E-2</v>
      </c>
      <c r="D151" s="81">
        <v>19245.599999999999</v>
      </c>
      <c r="E151" s="83">
        <v>3163.9959000000003</v>
      </c>
      <c r="F151" s="83">
        <v>8000035</v>
      </c>
      <c r="G151"/>
    </row>
    <row r="152" spans="1:7" x14ac:dyDescent="0.25">
      <c r="A152" s="82">
        <v>44028</v>
      </c>
      <c r="B152" s="45">
        <v>1574</v>
      </c>
      <c r="C152" s="15">
        <v>5.7700062318999962E-2</v>
      </c>
      <c r="D152" s="81">
        <v>25705</v>
      </c>
      <c r="E152" s="83">
        <v>3009.1417200000001</v>
      </c>
      <c r="F152" s="83">
        <v>8000035</v>
      </c>
      <c r="G152"/>
    </row>
    <row r="153" spans="1:7" x14ac:dyDescent="0.25">
      <c r="A153" s="82">
        <v>44029</v>
      </c>
      <c r="B153" s="45">
        <v>746</v>
      </c>
      <c r="C153" s="15">
        <v>2.6133991003741436E-2</v>
      </c>
      <c r="D153" s="81">
        <v>27799.199999999997</v>
      </c>
      <c r="E153" s="83">
        <v>1426.18788</v>
      </c>
      <c r="F153" s="83">
        <v>8000035</v>
      </c>
      <c r="G153"/>
    </row>
    <row r="154" spans="1:7" x14ac:dyDescent="0.25">
      <c r="A154" s="82">
        <v>44030</v>
      </c>
      <c r="B154" s="45">
        <v>891</v>
      </c>
      <c r="C154" s="15">
        <v>3.4483559353520342E-2</v>
      </c>
      <c r="D154" s="81">
        <v>24947.4</v>
      </c>
      <c r="E154" s="83">
        <v>1703.39598</v>
      </c>
      <c r="F154" s="83">
        <v>8000035</v>
      </c>
      <c r="G154"/>
    </row>
    <row r="155" spans="1:7" x14ac:dyDescent="0.25">
      <c r="A155" s="82">
        <v>44031</v>
      </c>
      <c r="B155" s="45">
        <v>539</v>
      </c>
      <c r="C155" s="15">
        <v>5.6416869376630235E-2</v>
      </c>
      <c r="D155" s="81">
        <v>9014.8799999999992</v>
      </c>
      <c r="E155" s="83">
        <v>1056.44</v>
      </c>
      <c r="F155" s="83">
        <v>8000038</v>
      </c>
      <c r="G155"/>
    </row>
    <row r="156" spans="1:7" x14ac:dyDescent="0.25">
      <c r="A156" s="82">
        <v>44032</v>
      </c>
      <c r="B156" s="45">
        <v>1037</v>
      </c>
      <c r="C156" s="15">
        <v>4.7915114931588121E-2</v>
      </c>
      <c r="D156" s="81">
        <v>20605.439999999999</v>
      </c>
      <c r="E156" s="83">
        <v>2032.52</v>
      </c>
      <c r="F156" s="83">
        <v>8000038</v>
      </c>
      <c r="G156"/>
    </row>
    <row r="157" spans="1:7" x14ac:dyDescent="0.25">
      <c r="A157" s="82">
        <v>44033</v>
      </c>
      <c r="B157" s="45">
        <v>851</v>
      </c>
      <c r="C157" s="15">
        <v>6.3973225964559885E-2</v>
      </c>
      <c r="D157" s="81">
        <v>12451.439999999999</v>
      </c>
      <c r="E157" s="83">
        <v>1667.96</v>
      </c>
      <c r="F157" s="83">
        <v>8000038</v>
      </c>
      <c r="G157"/>
    </row>
    <row r="158" spans="1:7" x14ac:dyDescent="0.25">
      <c r="A158" s="82">
        <v>44035</v>
      </c>
      <c r="B158" s="45">
        <v>276</v>
      </c>
      <c r="C158" s="15">
        <v>4.5125320863920994E-2</v>
      </c>
      <c r="D158" s="81">
        <v>5840.3</v>
      </c>
      <c r="E158" s="83">
        <v>534.9325</v>
      </c>
      <c r="F158" s="83">
        <v>8000036.5</v>
      </c>
      <c r="G158"/>
    </row>
    <row r="159" spans="1:7" x14ac:dyDescent="0.25">
      <c r="A159" s="82">
        <v>44036</v>
      </c>
      <c r="B159" s="45">
        <v>133</v>
      </c>
      <c r="C159" s="15">
        <v>5.7760792148006605E-2</v>
      </c>
      <c r="D159" s="81">
        <v>2169.6</v>
      </c>
      <c r="E159" s="83">
        <v>254.26674</v>
      </c>
      <c r="F159" s="83">
        <v>8000035</v>
      </c>
      <c r="G159"/>
    </row>
    <row r="160" spans="1:7" x14ac:dyDescent="0.25">
      <c r="A160" s="82">
        <v>44039</v>
      </c>
      <c r="B160" s="45">
        <v>1243</v>
      </c>
      <c r="C160" s="15">
        <v>6.6275659824046915E-2</v>
      </c>
      <c r="D160" s="81">
        <v>17512</v>
      </c>
      <c r="E160" s="83">
        <v>2376.3425400000001</v>
      </c>
      <c r="F160" s="83">
        <v>8000035</v>
      </c>
      <c r="G160"/>
    </row>
    <row r="161" spans="1:7" x14ac:dyDescent="0.25">
      <c r="A161" s="12" t="s">
        <v>54</v>
      </c>
      <c r="B161" s="45">
        <v>152310.75</v>
      </c>
      <c r="C161" s="15">
        <v>5.6576251036701476E-2</v>
      </c>
      <c r="D161" s="81">
        <v>2560490.5000000005</v>
      </c>
      <c r="E161" s="83">
        <v>278321.96269999986</v>
      </c>
      <c r="F161" s="83">
        <v>8000046.1331592686</v>
      </c>
      <c r="G161"/>
    </row>
    <row r="162" spans="1:7" x14ac:dyDescent="0.25">
      <c r="B162"/>
      <c r="C162"/>
      <c r="D162"/>
      <c r="E162"/>
      <c r="F162"/>
      <c r="G162"/>
    </row>
    <row r="163" spans="1:7" x14ac:dyDescent="0.25">
      <c r="B163"/>
      <c r="C163"/>
      <c r="D163"/>
      <c r="E163"/>
      <c r="F163"/>
      <c r="G163"/>
    </row>
    <row r="164" spans="1:7" x14ac:dyDescent="0.25">
      <c r="B164"/>
      <c r="C164"/>
      <c r="D164"/>
      <c r="E164"/>
      <c r="F164"/>
      <c r="G164"/>
    </row>
    <row r="165" spans="1:7" x14ac:dyDescent="0.25">
      <c r="B165"/>
      <c r="C165"/>
      <c r="D165"/>
      <c r="E165"/>
      <c r="F165"/>
      <c r="G165"/>
    </row>
    <row r="166" spans="1:7" x14ac:dyDescent="0.25">
      <c r="B166"/>
      <c r="C166"/>
      <c r="D166"/>
      <c r="E166"/>
      <c r="F166"/>
      <c r="G166"/>
    </row>
    <row r="167" spans="1:7" x14ac:dyDescent="0.25">
      <c r="B167"/>
      <c r="C167"/>
      <c r="D167"/>
      <c r="E167"/>
      <c r="F167"/>
      <c r="G167"/>
    </row>
    <row r="168" spans="1:7" x14ac:dyDescent="0.25">
      <c r="B168"/>
      <c r="C168"/>
      <c r="D168"/>
      <c r="E168"/>
      <c r="F168"/>
      <c r="G168"/>
    </row>
    <row r="169" spans="1:7" x14ac:dyDescent="0.25">
      <c r="B169"/>
      <c r="C169"/>
      <c r="D169"/>
      <c r="E169"/>
      <c r="F169"/>
      <c r="G169"/>
    </row>
    <row r="170" spans="1:7" x14ac:dyDescent="0.25">
      <c r="B170"/>
      <c r="C170"/>
      <c r="D170"/>
      <c r="E170"/>
      <c r="F170"/>
      <c r="G170"/>
    </row>
    <row r="171" spans="1:7" x14ac:dyDescent="0.25">
      <c r="B171"/>
      <c r="C171"/>
      <c r="D171"/>
      <c r="E171"/>
      <c r="F171"/>
      <c r="G171"/>
    </row>
    <row r="172" spans="1:7" x14ac:dyDescent="0.25">
      <c r="B172"/>
      <c r="C172"/>
      <c r="D172"/>
      <c r="E172"/>
      <c r="F172"/>
      <c r="G172"/>
    </row>
    <row r="173" spans="1:7" x14ac:dyDescent="0.25">
      <c r="B173"/>
      <c r="C173"/>
      <c r="D173"/>
      <c r="E173"/>
      <c r="F173"/>
      <c r="G173"/>
    </row>
    <row r="174" spans="1:7" x14ac:dyDescent="0.25">
      <c r="B174"/>
      <c r="C174"/>
      <c r="D174"/>
      <c r="E174"/>
      <c r="F174"/>
      <c r="G174"/>
    </row>
    <row r="175" spans="1:7" x14ac:dyDescent="0.25">
      <c r="B175"/>
      <c r="C175"/>
      <c r="D175"/>
      <c r="E175"/>
      <c r="F175"/>
      <c r="G175"/>
    </row>
    <row r="176" spans="1:7" x14ac:dyDescent="0.25">
      <c r="B176"/>
      <c r="C176"/>
      <c r="D176"/>
      <c r="E176"/>
      <c r="F176"/>
      <c r="G176"/>
    </row>
    <row r="177" spans="2:7" x14ac:dyDescent="0.25">
      <c r="B177"/>
      <c r="C177"/>
      <c r="D177"/>
      <c r="E177"/>
      <c r="F177"/>
      <c r="G177"/>
    </row>
    <row r="178" spans="2:7" x14ac:dyDescent="0.25">
      <c r="B178"/>
      <c r="C178"/>
      <c r="D178"/>
      <c r="E178"/>
      <c r="F178"/>
      <c r="G178"/>
    </row>
    <row r="179" spans="2:7" x14ac:dyDescent="0.25">
      <c r="B179"/>
      <c r="C179"/>
      <c r="D179"/>
      <c r="E179"/>
      <c r="F179"/>
      <c r="G179"/>
    </row>
    <row r="180" spans="2:7" x14ac:dyDescent="0.25">
      <c r="B180"/>
      <c r="C180"/>
      <c r="D180"/>
      <c r="E180"/>
      <c r="F180"/>
      <c r="G180"/>
    </row>
    <row r="181" spans="2:7" x14ac:dyDescent="0.25">
      <c r="B181"/>
      <c r="C181"/>
      <c r="D181"/>
      <c r="E181"/>
      <c r="F181"/>
      <c r="G181"/>
    </row>
    <row r="182" spans="2:7" x14ac:dyDescent="0.25">
      <c r="B182"/>
      <c r="C182"/>
      <c r="D182"/>
      <c r="E182"/>
      <c r="F182"/>
      <c r="G182"/>
    </row>
    <row r="183" spans="2:7" x14ac:dyDescent="0.25">
      <c r="B183"/>
      <c r="C183"/>
      <c r="D183"/>
      <c r="E183"/>
      <c r="F183"/>
      <c r="G183"/>
    </row>
    <row r="184" spans="2:7" x14ac:dyDescent="0.25">
      <c r="B184"/>
      <c r="C184"/>
      <c r="D184"/>
      <c r="E184"/>
      <c r="F184"/>
      <c r="G184"/>
    </row>
    <row r="185" spans="2:7" x14ac:dyDescent="0.25">
      <c r="B185"/>
      <c r="C185"/>
      <c r="D185"/>
      <c r="E185"/>
      <c r="F185"/>
      <c r="G185"/>
    </row>
    <row r="186" spans="2:7" x14ac:dyDescent="0.25">
      <c r="B186"/>
      <c r="C186"/>
      <c r="D186"/>
      <c r="E186"/>
      <c r="F186"/>
      <c r="G186"/>
    </row>
    <row r="187" spans="2:7" x14ac:dyDescent="0.25">
      <c r="B187"/>
      <c r="C187"/>
      <c r="D187"/>
      <c r="E187"/>
      <c r="F187"/>
      <c r="G187"/>
    </row>
    <row r="188" spans="2:7" x14ac:dyDescent="0.25">
      <c r="B188"/>
      <c r="C188"/>
      <c r="D188"/>
      <c r="E188"/>
      <c r="F188"/>
      <c r="G188"/>
    </row>
    <row r="189" spans="2:7" x14ac:dyDescent="0.25">
      <c r="B189"/>
      <c r="C189"/>
      <c r="D189"/>
      <c r="E189"/>
      <c r="F189"/>
      <c r="G189"/>
    </row>
    <row r="190" spans="2:7" x14ac:dyDescent="0.25">
      <c r="B190"/>
      <c r="C190"/>
      <c r="D190"/>
      <c r="E190"/>
      <c r="F190"/>
      <c r="G190"/>
    </row>
    <row r="191" spans="2:7" x14ac:dyDescent="0.25">
      <c r="B191"/>
      <c r="C191"/>
      <c r="D191"/>
      <c r="E191"/>
      <c r="F191"/>
      <c r="G191"/>
    </row>
    <row r="192" spans="2:7" x14ac:dyDescent="0.25">
      <c r="B192"/>
      <c r="C192"/>
      <c r="D192"/>
      <c r="E192"/>
      <c r="F192"/>
      <c r="G192"/>
    </row>
    <row r="193" spans="2:7" x14ac:dyDescent="0.25">
      <c r="B193"/>
      <c r="C193"/>
      <c r="D193"/>
      <c r="E193"/>
      <c r="F193"/>
      <c r="G193"/>
    </row>
    <row r="194" spans="2:7" x14ac:dyDescent="0.25">
      <c r="B194"/>
      <c r="C194"/>
      <c r="D194"/>
      <c r="E194"/>
      <c r="F194"/>
      <c r="G194"/>
    </row>
    <row r="195" spans="2:7" x14ac:dyDescent="0.25">
      <c r="B195"/>
      <c r="C195"/>
      <c r="D195"/>
      <c r="E195"/>
      <c r="F195"/>
      <c r="G195"/>
    </row>
    <row r="196" spans="2:7" x14ac:dyDescent="0.25">
      <c r="B196"/>
      <c r="C196"/>
      <c r="D196"/>
      <c r="E196"/>
      <c r="F196"/>
      <c r="G196"/>
    </row>
    <row r="197" spans="2:7" x14ac:dyDescent="0.25">
      <c r="B197"/>
      <c r="C197"/>
      <c r="D197"/>
      <c r="E197"/>
      <c r="F197"/>
      <c r="G197"/>
    </row>
    <row r="198" spans="2:7" x14ac:dyDescent="0.25">
      <c r="B198"/>
      <c r="C198"/>
      <c r="D198"/>
      <c r="E198"/>
      <c r="F198"/>
      <c r="G198"/>
    </row>
    <row r="199" spans="2:7" x14ac:dyDescent="0.25">
      <c r="B199"/>
      <c r="C199"/>
      <c r="D199"/>
      <c r="E199"/>
      <c r="F199"/>
      <c r="G199"/>
    </row>
    <row r="200" spans="2:7" x14ac:dyDescent="0.25">
      <c r="B200"/>
      <c r="C200"/>
      <c r="D200"/>
      <c r="E200"/>
      <c r="F200"/>
      <c r="G200"/>
    </row>
    <row r="201" spans="2:7" x14ac:dyDescent="0.25">
      <c r="B201"/>
      <c r="C201"/>
      <c r="D201"/>
      <c r="E201"/>
      <c r="F201"/>
      <c r="G201"/>
    </row>
    <row r="202" spans="2:7" x14ac:dyDescent="0.25">
      <c r="B202"/>
      <c r="C202"/>
      <c r="D202"/>
      <c r="E202"/>
      <c r="F202"/>
      <c r="G202"/>
    </row>
    <row r="203" spans="2:7" x14ac:dyDescent="0.25">
      <c r="B203"/>
      <c r="C203"/>
      <c r="D203"/>
      <c r="E203"/>
      <c r="F203"/>
      <c r="G203"/>
    </row>
    <row r="204" spans="2:7" x14ac:dyDescent="0.25">
      <c r="B204"/>
      <c r="C204"/>
      <c r="D204"/>
      <c r="E204"/>
      <c r="F204"/>
      <c r="G204"/>
    </row>
    <row r="205" spans="2:7" x14ac:dyDescent="0.25">
      <c r="B205"/>
      <c r="C205"/>
      <c r="D205"/>
      <c r="E205"/>
      <c r="F205"/>
      <c r="G205"/>
    </row>
    <row r="206" spans="2:7" x14ac:dyDescent="0.25">
      <c r="B206"/>
      <c r="C206"/>
      <c r="D206"/>
      <c r="E206"/>
      <c r="F206"/>
      <c r="G206"/>
    </row>
    <row r="207" spans="2:7" x14ac:dyDescent="0.25">
      <c r="B207"/>
      <c r="C207"/>
      <c r="D207"/>
      <c r="E207"/>
      <c r="F207"/>
      <c r="G207"/>
    </row>
    <row r="208" spans="2:7" x14ac:dyDescent="0.25">
      <c r="B208"/>
      <c r="C208"/>
      <c r="D208"/>
      <c r="E208"/>
      <c r="F208"/>
      <c r="G208"/>
    </row>
    <row r="209" spans="2:7" x14ac:dyDescent="0.25">
      <c r="B209"/>
      <c r="C209"/>
      <c r="D209"/>
      <c r="E209"/>
      <c r="F209"/>
      <c r="G209"/>
    </row>
    <row r="210" spans="2:7" x14ac:dyDescent="0.25">
      <c r="B210"/>
      <c r="C210"/>
      <c r="D210"/>
      <c r="E210"/>
      <c r="F210"/>
      <c r="G210"/>
    </row>
    <row r="211" spans="2:7" x14ac:dyDescent="0.25">
      <c r="B211"/>
      <c r="C211"/>
      <c r="D211"/>
      <c r="E211"/>
      <c r="F211"/>
      <c r="G211"/>
    </row>
    <row r="212" spans="2:7" x14ac:dyDescent="0.25">
      <c r="B212"/>
      <c r="C212"/>
      <c r="D212"/>
      <c r="E212"/>
      <c r="F212"/>
      <c r="G212"/>
    </row>
    <row r="213" spans="2:7" x14ac:dyDescent="0.25">
      <c r="B213"/>
      <c r="C213"/>
      <c r="D213"/>
      <c r="E213"/>
      <c r="F213"/>
      <c r="G213"/>
    </row>
    <row r="214" spans="2:7" x14ac:dyDescent="0.25">
      <c r="B214"/>
      <c r="C214"/>
      <c r="D214"/>
      <c r="E214"/>
      <c r="F214"/>
      <c r="G214"/>
    </row>
    <row r="215" spans="2:7" x14ac:dyDescent="0.25">
      <c r="B215"/>
      <c r="C215"/>
      <c r="D215"/>
      <c r="E215"/>
      <c r="F215"/>
      <c r="G215"/>
    </row>
    <row r="216" spans="2:7" x14ac:dyDescent="0.25">
      <c r="B216"/>
      <c r="C216"/>
      <c r="D216"/>
      <c r="E216"/>
      <c r="F216"/>
      <c r="G216"/>
    </row>
    <row r="217" spans="2:7" x14ac:dyDescent="0.25">
      <c r="B217"/>
      <c r="C217"/>
      <c r="D217"/>
      <c r="E217"/>
      <c r="F217"/>
      <c r="G217"/>
    </row>
    <row r="218" spans="2:7" x14ac:dyDescent="0.25">
      <c r="B218"/>
      <c r="C218"/>
      <c r="D218"/>
      <c r="E218"/>
      <c r="F218"/>
      <c r="G218"/>
    </row>
    <row r="219" spans="2:7" x14ac:dyDescent="0.25">
      <c r="B219"/>
      <c r="C219"/>
      <c r="D219"/>
      <c r="E219"/>
      <c r="F219"/>
      <c r="G219"/>
    </row>
    <row r="220" spans="2:7" x14ac:dyDescent="0.25">
      <c r="B220"/>
      <c r="C220"/>
      <c r="D220"/>
      <c r="E220"/>
      <c r="F220"/>
      <c r="G220"/>
    </row>
    <row r="221" spans="2:7" x14ac:dyDescent="0.25">
      <c r="B221"/>
      <c r="C221"/>
      <c r="D221"/>
      <c r="E221"/>
      <c r="F221"/>
      <c r="G221"/>
    </row>
    <row r="222" spans="2:7" x14ac:dyDescent="0.25">
      <c r="B222"/>
      <c r="C222"/>
      <c r="D222"/>
      <c r="E222"/>
      <c r="F222"/>
      <c r="G222"/>
    </row>
    <row r="223" spans="2:7" x14ac:dyDescent="0.25">
      <c r="B223"/>
      <c r="C223"/>
      <c r="D223"/>
      <c r="E223"/>
      <c r="F223"/>
      <c r="G223"/>
    </row>
    <row r="224" spans="2:7" x14ac:dyDescent="0.25">
      <c r="B224"/>
      <c r="C224"/>
      <c r="D224"/>
      <c r="E224"/>
      <c r="F224"/>
      <c r="G224"/>
    </row>
    <row r="225" spans="2:7" x14ac:dyDescent="0.25">
      <c r="B225"/>
      <c r="C225"/>
      <c r="D225"/>
      <c r="E225"/>
      <c r="F225"/>
      <c r="G225"/>
    </row>
    <row r="226" spans="2:7" x14ac:dyDescent="0.25">
      <c r="B226"/>
      <c r="C226"/>
      <c r="D226"/>
      <c r="E226"/>
      <c r="F226"/>
      <c r="G226"/>
    </row>
    <row r="227" spans="2:7" x14ac:dyDescent="0.25">
      <c r="B227"/>
      <c r="C227"/>
      <c r="D227"/>
      <c r="E227"/>
      <c r="F227"/>
      <c r="G227"/>
    </row>
    <row r="228" spans="2:7" x14ac:dyDescent="0.25">
      <c r="B228"/>
      <c r="C228"/>
      <c r="D228"/>
      <c r="E228"/>
      <c r="F228"/>
      <c r="G228"/>
    </row>
    <row r="229" spans="2:7" x14ac:dyDescent="0.25">
      <c r="B229"/>
      <c r="C229"/>
      <c r="D229"/>
      <c r="E229"/>
      <c r="F229"/>
      <c r="G229"/>
    </row>
    <row r="230" spans="2:7" x14ac:dyDescent="0.25">
      <c r="B230"/>
      <c r="C230"/>
      <c r="D230"/>
      <c r="E230"/>
      <c r="F230"/>
      <c r="G230"/>
    </row>
    <row r="231" spans="2:7" x14ac:dyDescent="0.25">
      <c r="B231"/>
      <c r="C231"/>
      <c r="D231"/>
      <c r="E231"/>
      <c r="F231"/>
      <c r="G231"/>
    </row>
    <row r="232" spans="2:7" x14ac:dyDescent="0.25">
      <c r="B232"/>
      <c r="C232"/>
      <c r="D232"/>
      <c r="E232"/>
      <c r="F232"/>
      <c r="G232"/>
    </row>
    <row r="233" spans="2:7" x14ac:dyDescent="0.25">
      <c r="B233"/>
      <c r="C233"/>
      <c r="D233"/>
      <c r="E233"/>
      <c r="F233"/>
      <c r="G233"/>
    </row>
    <row r="234" spans="2:7" x14ac:dyDescent="0.25">
      <c r="B234"/>
      <c r="C234"/>
      <c r="D234"/>
      <c r="E234"/>
      <c r="F234"/>
      <c r="G234"/>
    </row>
    <row r="235" spans="2:7" x14ac:dyDescent="0.25">
      <c r="B235"/>
      <c r="C235"/>
      <c r="D235"/>
      <c r="E235"/>
      <c r="F235"/>
      <c r="G235"/>
    </row>
    <row r="236" spans="2:7" x14ac:dyDescent="0.25">
      <c r="B236"/>
      <c r="C236"/>
      <c r="D236"/>
      <c r="E236"/>
      <c r="F236"/>
      <c r="G236"/>
    </row>
    <row r="237" spans="2:7" x14ac:dyDescent="0.25">
      <c r="B237"/>
      <c r="C237"/>
      <c r="D237"/>
      <c r="E237"/>
      <c r="F237"/>
      <c r="G237"/>
    </row>
    <row r="238" spans="2:7" x14ac:dyDescent="0.25">
      <c r="B238"/>
      <c r="C238"/>
      <c r="D238"/>
      <c r="E238"/>
      <c r="F238"/>
      <c r="G238"/>
    </row>
    <row r="239" spans="2:7" x14ac:dyDescent="0.25">
      <c r="B239"/>
      <c r="C239"/>
      <c r="D239"/>
      <c r="E239"/>
      <c r="F239"/>
      <c r="G239"/>
    </row>
    <row r="240" spans="2:7" x14ac:dyDescent="0.25">
      <c r="B240"/>
      <c r="C240"/>
      <c r="D240"/>
      <c r="E240"/>
      <c r="F240"/>
      <c r="G240"/>
    </row>
    <row r="241" spans="2:7" x14ac:dyDescent="0.25">
      <c r="B241"/>
      <c r="C241"/>
      <c r="D241"/>
      <c r="E241"/>
      <c r="F241"/>
      <c r="G241"/>
    </row>
    <row r="242" spans="2:7" x14ac:dyDescent="0.25">
      <c r="B242"/>
      <c r="C242"/>
      <c r="D242"/>
      <c r="E242"/>
      <c r="F242"/>
      <c r="G242"/>
    </row>
    <row r="243" spans="2:7" x14ac:dyDescent="0.25">
      <c r="B243"/>
      <c r="C243"/>
      <c r="D243"/>
      <c r="E243"/>
      <c r="F243"/>
      <c r="G243"/>
    </row>
    <row r="244" spans="2:7" x14ac:dyDescent="0.25">
      <c r="B244"/>
      <c r="C244"/>
      <c r="D244"/>
      <c r="E244"/>
      <c r="F244"/>
      <c r="G244"/>
    </row>
    <row r="245" spans="2:7" x14ac:dyDescent="0.25">
      <c r="B245"/>
      <c r="C245"/>
      <c r="D245"/>
      <c r="E245"/>
      <c r="F245"/>
      <c r="G245"/>
    </row>
    <row r="246" spans="2:7" x14ac:dyDescent="0.25">
      <c r="B246"/>
      <c r="C246"/>
      <c r="D246"/>
      <c r="E246"/>
      <c r="F246"/>
      <c r="G246"/>
    </row>
    <row r="247" spans="2:7" x14ac:dyDescent="0.25">
      <c r="B247"/>
      <c r="C247"/>
      <c r="D247"/>
      <c r="E247"/>
      <c r="F247"/>
      <c r="G247"/>
    </row>
    <row r="248" spans="2:7" x14ac:dyDescent="0.25">
      <c r="B248"/>
      <c r="C248"/>
      <c r="D248"/>
      <c r="E248"/>
      <c r="F248"/>
      <c r="G248"/>
    </row>
    <row r="249" spans="2:7" x14ac:dyDescent="0.25">
      <c r="B249"/>
      <c r="C249"/>
      <c r="D249"/>
      <c r="E249"/>
      <c r="F249"/>
      <c r="G249"/>
    </row>
    <row r="250" spans="2:7" x14ac:dyDescent="0.25">
      <c r="B250"/>
      <c r="C250"/>
      <c r="D250"/>
      <c r="E250"/>
      <c r="F250"/>
      <c r="G250"/>
    </row>
    <row r="251" spans="2:7" x14ac:dyDescent="0.25">
      <c r="B251"/>
      <c r="C251"/>
      <c r="D251"/>
      <c r="E251"/>
      <c r="F251"/>
      <c r="G251"/>
    </row>
    <row r="252" spans="2:7" x14ac:dyDescent="0.25">
      <c r="B252"/>
      <c r="C252"/>
      <c r="D252"/>
      <c r="E252"/>
      <c r="F252"/>
      <c r="G252"/>
    </row>
    <row r="253" spans="2:7" x14ac:dyDescent="0.25">
      <c r="B253"/>
      <c r="C253"/>
      <c r="D253"/>
      <c r="E253"/>
      <c r="F253"/>
      <c r="G253"/>
    </row>
    <row r="254" spans="2:7" x14ac:dyDescent="0.25">
      <c r="B254"/>
      <c r="C254"/>
      <c r="D254"/>
      <c r="E254"/>
      <c r="F254"/>
      <c r="G254"/>
    </row>
    <row r="255" spans="2:7" x14ac:dyDescent="0.25">
      <c r="B255"/>
      <c r="C255"/>
      <c r="D255"/>
      <c r="E255"/>
      <c r="F255"/>
      <c r="G255"/>
    </row>
    <row r="256" spans="2:7" x14ac:dyDescent="0.25">
      <c r="B256"/>
      <c r="C256"/>
      <c r="D256"/>
      <c r="E256"/>
      <c r="F256"/>
      <c r="G256"/>
    </row>
    <row r="257" spans="2:7" x14ac:dyDescent="0.25">
      <c r="B257"/>
      <c r="C257"/>
      <c r="D257"/>
      <c r="E257"/>
      <c r="F257"/>
      <c r="G257"/>
    </row>
    <row r="258" spans="2:7" x14ac:dyDescent="0.25">
      <c r="B258"/>
      <c r="C258"/>
      <c r="D258"/>
      <c r="E258"/>
      <c r="F258"/>
      <c r="G258"/>
    </row>
    <row r="259" spans="2:7" x14ac:dyDescent="0.25">
      <c r="B259"/>
      <c r="C259"/>
      <c r="D259"/>
      <c r="E259"/>
      <c r="F259"/>
      <c r="G259"/>
    </row>
    <row r="260" spans="2:7" x14ac:dyDescent="0.25">
      <c r="B260"/>
      <c r="C260"/>
      <c r="D260"/>
      <c r="E260"/>
      <c r="F260"/>
      <c r="G260"/>
    </row>
    <row r="261" spans="2:7" x14ac:dyDescent="0.25">
      <c r="B261"/>
      <c r="C261"/>
      <c r="D261"/>
      <c r="E261"/>
      <c r="F261"/>
      <c r="G261"/>
    </row>
    <row r="262" spans="2:7" x14ac:dyDescent="0.25">
      <c r="B262"/>
      <c r="C262"/>
      <c r="D262"/>
      <c r="E262"/>
      <c r="F262"/>
      <c r="G262"/>
    </row>
    <row r="263" spans="2:7" x14ac:dyDescent="0.25">
      <c r="B263"/>
      <c r="C263"/>
      <c r="D263"/>
      <c r="E263"/>
      <c r="F263"/>
      <c r="G263"/>
    </row>
    <row r="264" spans="2:7" x14ac:dyDescent="0.25">
      <c r="B264"/>
      <c r="C264"/>
      <c r="D264"/>
      <c r="E264"/>
      <c r="F264"/>
      <c r="G264"/>
    </row>
    <row r="265" spans="2:7" x14ac:dyDescent="0.25">
      <c r="B265"/>
      <c r="C265"/>
      <c r="D265"/>
      <c r="E265"/>
      <c r="F265"/>
      <c r="G265"/>
    </row>
    <row r="266" spans="2:7" x14ac:dyDescent="0.25">
      <c r="B266"/>
      <c r="C266"/>
      <c r="D266"/>
      <c r="E266"/>
      <c r="F266"/>
      <c r="G266"/>
    </row>
    <row r="267" spans="2:7" x14ac:dyDescent="0.25">
      <c r="B267"/>
      <c r="C267"/>
      <c r="D267"/>
      <c r="E267"/>
      <c r="F267"/>
      <c r="G267"/>
    </row>
    <row r="268" spans="2:7" x14ac:dyDescent="0.25">
      <c r="B268"/>
      <c r="C268"/>
      <c r="D268"/>
      <c r="E268"/>
      <c r="F268"/>
      <c r="G268"/>
    </row>
    <row r="269" spans="2:7" x14ac:dyDescent="0.25">
      <c r="B269"/>
      <c r="C269"/>
      <c r="D269"/>
      <c r="E269"/>
      <c r="F269"/>
      <c r="G269"/>
    </row>
    <row r="270" spans="2:7" x14ac:dyDescent="0.25">
      <c r="B270"/>
      <c r="C270"/>
      <c r="D270"/>
      <c r="E270"/>
      <c r="F270"/>
      <c r="G270"/>
    </row>
    <row r="271" spans="2:7" x14ac:dyDescent="0.25">
      <c r="B271"/>
      <c r="C271"/>
      <c r="D271"/>
      <c r="E271"/>
      <c r="F271"/>
      <c r="G271"/>
    </row>
    <row r="272" spans="2:7" x14ac:dyDescent="0.25">
      <c r="B272"/>
      <c r="C272"/>
      <c r="D272"/>
      <c r="E272"/>
      <c r="F272"/>
      <c r="G272"/>
    </row>
    <row r="273" spans="2:7" x14ac:dyDescent="0.25">
      <c r="B273"/>
      <c r="C273"/>
      <c r="D273"/>
      <c r="E273"/>
      <c r="F273"/>
      <c r="G273"/>
    </row>
    <row r="274" spans="2:7" x14ac:dyDescent="0.25">
      <c r="B274"/>
      <c r="C274"/>
      <c r="D274"/>
      <c r="E274"/>
      <c r="F274"/>
      <c r="G274"/>
    </row>
    <row r="275" spans="2:7" x14ac:dyDescent="0.25">
      <c r="B275"/>
      <c r="C275"/>
      <c r="D275"/>
      <c r="E275"/>
      <c r="F275"/>
      <c r="G275"/>
    </row>
    <row r="276" spans="2:7" x14ac:dyDescent="0.25">
      <c r="B276"/>
      <c r="C276"/>
      <c r="D276"/>
      <c r="E276"/>
      <c r="F276"/>
      <c r="G276"/>
    </row>
    <row r="277" spans="2:7" x14ac:dyDescent="0.25">
      <c r="B277"/>
      <c r="C277"/>
      <c r="D277"/>
      <c r="E277"/>
      <c r="F277"/>
      <c r="G277"/>
    </row>
    <row r="278" spans="2:7" x14ac:dyDescent="0.25">
      <c r="B278"/>
      <c r="C278"/>
      <c r="D278"/>
      <c r="E278"/>
      <c r="F278"/>
      <c r="G278"/>
    </row>
    <row r="279" spans="2:7" x14ac:dyDescent="0.25">
      <c r="B279"/>
      <c r="C279"/>
      <c r="D279"/>
      <c r="E279"/>
      <c r="F279"/>
      <c r="G279"/>
    </row>
    <row r="280" spans="2:7" x14ac:dyDescent="0.25">
      <c r="B280"/>
      <c r="C280"/>
      <c r="D280"/>
      <c r="E280"/>
      <c r="F280"/>
      <c r="G280"/>
    </row>
    <row r="281" spans="2:7" x14ac:dyDescent="0.25">
      <c r="B281"/>
      <c r="C281"/>
      <c r="D281"/>
      <c r="E281"/>
      <c r="F281"/>
      <c r="G281"/>
    </row>
    <row r="282" spans="2:7" x14ac:dyDescent="0.25">
      <c r="B282"/>
      <c r="C282"/>
      <c r="D282"/>
      <c r="E282"/>
      <c r="F282"/>
      <c r="G282"/>
    </row>
    <row r="283" spans="2:7" x14ac:dyDescent="0.25">
      <c r="B283"/>
      <c r="C283"/>
      <c r="D283"/>
      <c r="E283"/>
      <c r="F283"/>
      <c r="G283"/>
    </row>
    <row r="284" spans="2:7" x14ac:dyDescent="0.25">
      <c r="B284"/>
      <c r="C284"/>
      <c r="D284"/>
      <c r="E284"/>
      <c r="F284"/>
      <c r="G284"/>
    </row>
    <row r="285" spans="2:7" x14ac:dyDescent="0.25">
      <c r="B285"/>
      <c r="C285"/>
      <c r="D285"/>
      <c r="E285"/>
      <c r="F285"/>
      <c r="G285"/>
    </row>
    <row r="286" spans="2:7" x14ac:dyDescent="0.25">
      <c r="B286"/>
      <c r="C286"/>
      <c r="D286"/>
      <c r="E286"/>
      <c r="F286"/>
      <c r="G286"/>
    </row>
    <row r="287" spans="2:7" x14ac:dyDescent="0.25">
      <c r="B287"/>
      <c r="C287"/>
      <c r="D287"/>
      <c r="E287"/>
      <c r="F287"/>
      <c r="G287"/>
    </row>
    <row r="288" spans="2:7" x14ac:dyDescent="0.25">
      <c r="B288"/>
      <c r="C288"/>
      <c r="D288"/>
      <c r="E288"/>
      <c r="F288"/>
      <c r="G288"/>
    </row>
    <row r="289" spans="2:7" x14ac:dyDescent="0.25">
      <c r="B289"/>
      <c r="C289"/>
      <c r="D289"/>
      <c r="E289"/>
      <c r="F289"/>
      <c r="G289"/>
    </row>
    <row r="290" spans="2:7" x14ac:dyDescent="0.25">
      <c r="B290"/>
      <c r="C290"/>
      <c r="D290"/>
      <c r="E290"/>
      <c r="F290"/>
      <c r="G290"/>
    </row>
    <row r="291" spans="2:7" x14ac:dyDescent="0.25">
      <c r="B291"/>
      <c r="C291"/>
      <c r="D291"/>
      <c r="E291"/>
      <c r="F291"/>
      <c r="G291"/>
    </row>
    <row r="292" spans="2:7" x14ac:dyDescent="0.25">
      <c r="B292"/>
      <c r="C292"/>
      <c r="D292"/>
      <c r="E292"/>
      <c r="F292"/>
      <c r="G292"/>
    </row>
    <row r="293" spans="2:7" x14ac:dyDescent="0.25">
      <c r="B293"/>
      <c r="C293"/>
      <c r="D293"/>
      <c r="E293"/>
      <c r="F293"/>
      <c r="G293"/>
    </row>
    <row r="294" spans="2:7" x14ac:dyDescent="0.25">
      <c r="B294"/>
      <c r="C294"/>
      <c r="D294"/>
      <c r="E294"/>
      <c r="F294"/>
      <c r="G294"/>
    </row>
    <row r="295" spans="2:7" x14ac:dyDescent="0.25">
      <c r="B295"/>
      <c r="C295"/>
      <c r="D295"/>
      <c r="E295"/>
      <c r="F295"/>
      <c r="G295"/>
    </row>
    <row r="296" spans="2:7" x14ac:dyDescent="0.25">
      <c r="B296"/>
      <c r="C296"/>
      <c r="D296"/>
      <c r="E296"/>
      <c r="F296"/>
      <c r="G296"/>
    </row>
    <row r="297" spans="2:7" x14ac:dyDescent="0.25">
      <c r="B297"/>
      <c r="C297"/>
      <c r="D297"/>
      <c r="E297"/>
      <c r="F297"/>
      <c r="G297"/>
    </row>
    <row r="298" spans="2:7" x14ac:dyDescent="0.25">
      <c r="B298"/>
      <c r="C298"/>
      <c r="D298"/>
      <c r="E298"/>
      <c r="F298"/>
      <c r="G298"/>
    </row>
    <row r="299" spans="2:7" x14ac:dyDescent="0.25">
      <c r="B299"/>
      <c r="C299"/>
      <c r="D299"/>
      <c r="E299"/>
      <c r="F299"/>
      <c r="G299"/>
    </row>
    <row r="300" spans="2:7" x14ac:dyDescent="0.25">
      <c r="B300"/>
      <c r="C300"/>
      <c r="D300"/>
      <c r="E300"/>
      <c r="F300"/>
      <c r="G300"/>
    </row>
    <row r="301" spans="2:7" x14ac:dyDescent="0.25">
      <c r="B301"/>
      <c r="C301"/>
      <c r="D301"/>
      <c r="E301"/>
      <c r="F301"/>
      <c r="G301"/>
    </row>
    <row r="302" spans="2:7" x14ac:dyDescent="0.25">
      <c r="B302"/>
      <c r="C302"/>
      <c r="D302"/>
      <c r="E302"/>
      <c r="F302"/>
      <c r="G302"/>
    </row>
    <row r="303" spans="2:7" x14ac:dyDescent="0.25">
      <c r="B303"/>
      <c r="C303"/>
      <c r="D303"/>
      <c r="E303"/>
      <c r="F303"/>
      <c r="G303"/>
    </row>
    <row r="304" spans="2:7" x14ac:dyDescent="0.25">
      <c r="B304"/>
      <c r="C304"/>
      <c r="D304"/>
      <c r="E304"/>
      <c r="F304"/>
      <c r="G304"/>
    </row>
    <row r="305" spans="2:7" x14ac:dyDescent="0.25">
      <c r="B305"/>
      <c r="C305"/>
      <c r="D305"/>
      <c r="E305"/>
      <c r="F305"/>
      <c r="G305"/>
    </row>
    <row r="306" spans="2:7" x14ac:dyDescent="0.25">
      <c r="B306"/>
      <c r="C306"/>
      <c r="D306"/>
      <c r="E306"/>
      <c r="F306"/>
      <c r="G306"/>
    </row>
    <row r="307" spans="2:7" x14ac:dyDescent="0.25">
      <c r="B307"/>
      <c r="C307"/>
      <c r="D307"/>
      <c r="E307"/>
      <c r="F307"/>
      <c r="G307"/>
    </row>
    <row r="308" spans="2:7" x14ac:dyDescent="0.25">
      <c r="B308"/>
      <c r="C308"/>
      <c r="D308"/>
      <c r="E308"/>
      <c r="F308"/>
      <c r="G308"/>
    </row>
    <row r="309" spans="2:7" x14ac:dyDescent="0.25">
      <c r="B309"/>
      <c r="C309"/>
      <c r="D309"/>
      <c r="E309"/>
      <c r="F309"/>
      <c r="G309"/>
    </row>
    <row r="310" spans="2:7" x14ac:dyDescent="0.25">
      <c r="B310"/>
      <c r="C310"/>
      <c r="D310"/>
      <c r="E310"/>
      <c r="F310"/>
      <c r="G310"/>
    </row>
    <row r="311" spans="2:7" x14ac:dyDescent="0.25">
      <c r="B311"/>
      <c r="C311"/>
      <c r="D311"/>
      <c r="E311"/>
      <c r="F311"/>
      <c r="G311"/>
    </row>
    <row r="312" spans="2:7" x14ac:dyDescent="0.25">
      <c r="B312"/>
      <c r="C312"/>
      <c r="D312"/>
      <c r="E312"/>
      <c r="F312"/>
      <c r="G312"/>
    </row>
    <row r="313" spans="2:7" x14ac:dyDescent="0.25">
      <c r="B313"/>
      <c r="C313"/>
      <c r="D313"/>
      <c r="E313"/>
      <c r="F313"/>
      <c r="G313"/>
    </row>
    <row r="314" spans="2:7" x14ac:dyDescent="0.25">
      <c r="B314"/>
      <c r="C314"/>
      <c r="D314"/>
      <c r="E314"/>
      <c r="F314"/>
      <c r="G314"/>
    </row>
    <row r="315" spans="2:7" x14ac:dyDescent="0.25">
      <c r="B315"/>
      <c r="C315"/>
      <c r="D315"/>
      <c r="E315"/>
      <c r="F315"/>
      <c r="G315"/>
    </row>
    <row r="316" spans="2:7" x14ac:dyDescent="0.25">
      <c r="B316"/>
      <c r="C316"/>
      <c r="D316"/>
      <c r="E316"/>
      <c r="F316"/>
      <c r="G316"/>
    </row>
    <row r="317" spans="2:7" x14ac:dyDescent="0.25">
      <c r="B317"/>
      <c r="C317"/>
      <c r="D317"/>
      <c r="E317"/>
      <c r="F317"/>
      <c r="G317"/>
    </row>
    <row r="318" spans="2:7" x14ac:dyDescent="0.25">
      <c r="B318"/>
      <c r="C318"/>
      <c r="D318"/>
      <c r="E318"/>
      <c r="F318"/>
      <c r="G318"/>
    </row>
    <row r="319" spans="2:7" x14ac:dyDescent="0.25">
      <c r="B319"/>
      <c r="C319"/>
      <c r="D319"/>
      <c r="E319"/>
      <c r="F319"/>
      <c r="G319"/>
    </row>
    <row r="320" spans="2:7" x14ac:dyDescent="0.25">
      <c r="B320"/>
      <c r="C320"/>
      <c r="D320"/>
      <c r="E320"/>
      <c r="F320"/>
      <c r="G320"/>
    </row>
    <row r="321" spans="2:7" x14ac:dyDescent="0.25">
      <c r="B321"/>
      <c r="C321"/>
      <c r="D321"/>
      <c r="E321"/>
      <c r="F321"/>
      <c r="G321"/>
    </row>
    <row r="322" spans="2:7" x14ac:dyDescent="0.25">
      <c r="B322"/>
      <c r="C322"/>
      <c r="D322"/>
      <c r="E322"/>
      <c r="F322"/>
      <c r="G322"/>
    </row>
    <row r="323" spans="2:7" x14ac:dyDescent="0.25">
      <c r="B323"/>
      <c r="C323"/>
      <c r="D323"/>
      <c r="E323"/>
      <c r="F323"/>
      <c r="G323"/>
    </row>
    <row r="324" spans="2:7" x14ac:dyDescent="0.25">
      <c r="B324"/>
      <c r="C324"/>
      <c r="D324"/>
      <c r="E324"/>
      <c r="F324"/>
      <c r="G324"/>
    </row>
    <row r="325" spans="2:7" x14ac:dyDescent="0.25">
      <c r="B325"/>
      <c r="C325"/>
      <c r="D325"/>
      <c r="E325"/>
      <c r="F325"/>
      <c r="G325"/>
    </row>
    <row r="326" spans="2:7" x14ac:dyDescent="0.25">
      <c r="B326"/>
      <c r="C326"/>
      <c r="D326"/>
      <c r="E326"/>
      <c r="F326"/>
      <c r="G326"/>
    </row>
    <row r="327" spans="2:7" x14ac:dyDescent="0.25">
      <c r="B327"/>
      <c r="C327"/>
      <c r="D327"/>
      <c r="E327"/>
      <c r="F327"/>
      <c r="G327"/>
    </row>
    <row r="328" spans="2:7" x14ac:dyDescent="0.25">
      <c r="B328"/>
      <c r="C328"/>
      <c r="D328"/>
      <c r="E328"/>
      <c r="F328"/>
      <c r="G328"/>
    </row>
    <row r="329" spans="2:7" x14ac:dyDescent="0.25">
      <c r="B329"/>
      <c r="C329"/>
      <c r="D329"/>
      <c r="E329"/>
      <c r="F329"/>
      <c r="G329"/>
    </row>
    <row r="330" spans="2:7" x14ac:dyDescent="0.25">
      <c r="B330"/>
      <c r="C330"/>
      <c r="D330"/>
      <c r="E330"/>
      <c r="F330"/>
      <c r="G330"/>
    </row>
    <row r="331" spans="2:7" x14ac:dyDescent="0.25">
      <c r="B331"/>
      <c r="C331"/>
      <c r="D331"/>
      <c r="E331"/>
      <c r="F331"/>
      <c r="G331"/>
    </row>
    <row r="332" spans="2:7" x14ac:dyDescent="0.25">
      <c r="B332"/>
      <c r="C332"/>
      <c r="D332"/>
      <c r="E332"/>
      <c r="F332"/>
      <c r="G332"/>
    </row>
    <row r="333" spans="2:7" x14ac:dyDescent="0.25">
      <c r="B333"/>
      <c r="C333"/>
      <c r="D333"/>
      <c r="E333"/>
      <c r="F333"/>
      <c r="G333"/>
    </row>
    <row r="334" spans="2:7" x14ac:dyDescent="0.25">
      <c r="B334"/>
      <c r="C334"/>
      <c r="D334"/>
      <c r="E334"/>
      <c r="F334"/>
      <c r="G334"/>
    </row>
    <row r="335" spans="2:7" x14ac:dyDescent="0.25">
      <c r="B335"/>
      <c r="C335"/>
      <c r="D335"/>
      <c r="E335"/>
      <c r="F335"/>
      <c r="G335"/>
    </row>
    <row r="336" spans="2:7" x14ac:dyDescent="0.25">
      <c r="B336"/>
      <c r="C336"/>
      <c r="D336"/>
      <c r="E336"/>
      <c r="F336"/>
      <c r="G336"/>
    </row>
    <row r="337" spans="2:7" x14ac:dyDescent="0.25">
      <c r="B337"/>
      <c r="C337"/>
      <c r="D337"/>
      <c r="E337"/>
      <c r="F337"/>
      <c r="G337"/>
    </row>
    <row r="338" spans="2:7" x14ac:dyDescent="0.25">
      <c r="B338"/>
      <c r="C338"/>
      <c r="D338"/>
      <c r="E338"/>
      <c r="F338"/>
      <c r="G338"/>
    </row>
    <row r="339" spans="2:7" x14ac:dyDescent="0.25">
      <c r="B339"/>
      <c r="C339"/>
      <c r="D339"/>
      <c r="E339"/>
      <c r="F339"/>
      <c r="G339"/>
    </row>
    <row r="340" spans="2:7" x14ac:dyDescent="0.25">
      <c r="B340"/>
      <c r="C340"/>
      <c r="D340"/>
      <c r="E340"/>
      <c r="F340"/>
      <c r="G340"/>
    </row>
    <row r="341" spans="2:7" x14ac:dyDescent="0.25">
      <c r="B341"/>
      <c r="C341"/>
      <c r="D341"/>
      <c r="E341"/>
      <c r="F341"/>
      <c r="G341"/>
    </row>
    <row r="342" spans="2:7" x14ac:dyDescent="0.25">
      <c r="B342"/>
      <c r="C342"/>
      <c r="D342"/>
      <c r="E342"/>
      <c r="F342"/>
      <c r="G342"/>
    </row>
    <row r="343" spans="2:7" x14ac:dyDescent="0.25">
      <c r="B343"/>
      <c r="C343"/>
      <c r="D343"/>
      <c r="E343"/>
      <c r="F343"/>
      <c r="G343"/>
    </row>
    <row r="344" spans="2:7" x14ac:dyDescent="0.25">
      <c r="B344"/>
      <c r="C344"/>
      <c r="D344"/>
      <c r="E344"/>
      <c r="F344"/>
      <c r="G344"/>
    </row>
    <row r="345" spans="2:7" x14ac:dyDescent="0.25">
      <c r="B345"/>
      <c r="C345"/>
      <c r="D345"/>
      <c r="E345"/>
      <c r="F345"/>
      <c r="G345"/>
    </row>
    <row r="346" spans="2:7" x14ac:dyDescent="0.25">
      <c r="B346"/>
      <c r="C346"/>
      <c r="D346"/>
      <c r="E346"/>
      <c r="F346"/>
      <c r="G346"/>
    </row>
    <row r="347" spans="2:7" x14ac:dyDescent="0.25">
      <c r="B347"/>
      <c r="C347"/>
      <c r="D347"/>
      <c r="E347"/>
      <c r="F347"/>
      <c r="G347"/>
    </row>
    <row r="348" spans="2:7" x14ac:dyDescent="0.25">
      <c r="B348"/>
      <c r="C348"/>
      <c r="D348"/>
      <c r="E348"/>
      <c r="F348"/>
      <c r="G348"/>
    </row>
    <row r="349" spans="2:7" x14ac:dyDescent="0.25">
      <c r="B349"/>
      <c r="C349"/>
      <c r="D349"/>
      <c r="E349"/>
      <c r="F349"/>
      <c r="G349"/>
    </row>
    <row r="350" spans="2:7" x14ac:dyDescent="0.25">
      <c r="B350"/>
      <c r="C350"/>
      <c r="D350"/>
      <c r="E350"/>
      <c r="F350"/>
      <c r="G350"/>
    </row>
    <row r="351" spans="2:7" x14ac:dyDescent="0.25">
      <c r="B351"/>
      <c r="C351"/>
      <c r="D351"/>
      <c r="E351"/>
      <c r="F351"/>
      <c r="G351"/>
    </row>
    <row r="352" spans="2:7" x14ac:dyDescent="0.25">
      <c r="B352"/>
      <c r="C352"/>
      <c r="D352"/>
      <c r="E352"/>
      <c r="F352"/>
      <c r="G352"/>
    </row>
    <row r="353" spans="2:7" x14ac:dyDescent="0.25">
      <c r="B353"/>
      <c r="C353"/>
      <c r="D353"/>
      <c r="E353"/>
      <c r="F353"/>
      <c r="G353"/>
    </row>
    <row r="354" spans="2:7" x14ac:dyDescent="0.25">
      <c r="B354"/>
      <c r="C354"/>
      <c r="D354"/>
      <c r="E354"/>
      <c r="F354"/>
      <c r="G354"/>
    </row>
    <row r="355" spans="2:7" x14ac:dyDescent="0.25">
      <c r="B355"/>
      <c r="C355"/>
      <c r="D355"/>
      <c r="E355"/>
      <c r="F355"/>
      <c r="G355"/>
    </row>
    <row r="356" spans="2:7" x14ac:dyDescent="0.25">
      <c r="B356"/>
      <c r="C356"/>
      <c r="D356"/>
      <c r="E356"/>
      <c r="F356"/>
      <c r="G356"/>
    </row>
    <row r="357" spans="2:7" x14ac:dyDescent="0.25">
      <c r="B357"/>
      <c r="C357"/>
      <c r="D357"/>
      <c r="E357"/>
      <c r="F357"/>
      <c r="G357"/>
    </row>
    <row r="358" spans="2:7" x14ac:dyDescent="0.25">
      <c r="B358"/>
      <c r="C358"/>
      <c r="D358"/>
      <c r="E358"/>
      <c r="F358"/>
      <c r="G358"/>
    </row>
    <row r="359" spans="2:7" x14ac:dyDescent="0.25">
      <c r="B359"/>
      <c r="C359"/>
      <c r="D359"/>
      <c r="E359"/>
      <c r="F359"/>
      <c r="G359"/>
    </row>
    <row r="360" spans="2:7" x14ac:dyDescent="0.25">
      <c r="B360"/>
      <c r="C360"/>
      <c r="D360"/>
      <c r="E360"/>
      <c r="F360"/>
      <c r="G360"/>
    </row>
    <row r="361" spans="2:7" x14ac:dyDescent="0.25">
      <c r="B361"/>
      <c r="C361"/>
      <c r="D361"/>
      <c r="E361"/>
      <c r="F361"/>
      <c r="G361"/>
    </row>
    <row r="362" spans="2:7" x14ac:dyDescent="0.25">
      <c r="B362"/>
      <c r="C362"/>
      <c r="D362"/>
      <c r="E362"/>
      <c r="F362"/>
      <c r="G362"/>
    </row>
    <row r="363" spans="2:7" x14ac:dyDescent="0.25">
      <c r="B363"/>
      <c r="C363"/>
      <c r="D363"/>
      <c r="E363"/>
      <c r="F363"/>
      <c r="G363"/>
    </row>
    <row r="364" spans="2:7" x14ac:dyDescent="0.25">
      <c r="B364"/>
      <c r="C364"/>
      <c r="D364"/>
      <c r="E364"/>
      <c r="F364"/>
      <c r="G364"/>
    </row>
    <row r="365" spans="2:7" x14ac:dyDescent="0.25">
      <c r="B365"/>
      <c r="C365"/>
      <c r="D365"/>
      <c r="E365"/>
      <c r="F365"/>
      <c r="G365"/>
    </row>
    <row r="366" spans="2:7" x14ac:dyDescent="0.25">
      <c r="B366"/>
      <c r="C366"/>
      <c r="D366"/>
      <c r="E366"/>
      <c r="F366"/>
      <c r="G366"/>
    </row>
    <row r="367" spans="2:7" x14ac:dyDescent="0.25">
      <c r="B367"/>
      <c r="C367"/>
      <c r="D367"/>
      <c r="E367"/>
      <c r="F367"/>
      <c r="G367"/>
    </row>
    <row r="368" spans="2:7" x14ac:dyDescent="0.25">
      <c r="B368"/>
      <c r="C368"/>
      <c r="D368"/>
      <c r="E368"/>
      <c r="F368"/>
      <c r="G368"/>
    </row>
    <row r="369" spans="2:7" x14ac:dyDescent="0.25">
      <c r="B369"/>
      <c r="C369"/>
      <c r="D369"/>
      <c r="E369"/>
      <c r="F369"/>
      <c r="G369"/>
    </row>
    <row r="370" spans="2:7" x14ac:dyDescent="0.25">
      <c r="B370"/>
      <c r="C370"/>
      <c r="D370"/>
      <c r="E370"/>
      <c r="F370"/>
      <c r="G370"/>
    </row>
    <row r="371" spans="2:7" x14ac:dyDescent="0.25">
      <c r="B371"/>
      <c r="C371"/>
      <c r="D371"/>
      <c r="E371"/>
      <c r="F371"/>
      <c r="G371"/>
    </row>
    <row r="372" spans="2:7" x14ac:dyDescent="0.25">
      <c r="B372"/>
      <c r="C372"/>
      <c r="D372"/>
      <c r="E372"/>
      <c r="F372"/>
      <c r="G372"/>
    </row>
    <row r="373" spans="2:7" x14ac:dyDescent="0.25">
      <c r="B373"/>
      <c r="C373"/>
      <c r="D373"/>
      <c r="E373"/>
      <c r="F373"/>
      <c r="G373"/>
    </row>
    <row r="374" spans="2:7" x14ac:dyDescent="0.25">
      <c r="B374"/>
      <c r="C374"/>
      <c r="D374"/>
      <c r="E374"/>
      <c r="F374"/>
      <c r="G374"/>
    </row>
    <row r="375" spans="2:7" x14ac:dyDescent="0.25">
      <c r="B375"/>
      <c r="C375"/>
      <c r="D375"/>
      <c r="E375"/>
      <c r="F375"/>
      <c r="G375"/>
    </row>
    <row r="376" spans="2:7" x14ac:dyDescent="0.25">
      <c r="B376"/>
      <c r="C376"/>
      <c r="D376"/>
      <c r="E376"/>
      <c r="F376"/>
      <c r="G376"/>
    </row>
    <row r="377" spans="2:7" x14ac:dyDescent="0.25">
      <c r="B377"/>
      <c r="C377"/>
      <c r="D377"/>
      <c r="E377"/>
      <c r="F377"/>
      <c r="G377"/>
    </row>
    <row r="378" spans="2:7" x14ac:dyDescent="0.25">
      <c r="B378"/>
      <c r="C378"/>
      <c r="D378"/>
      <c r="E378"/>
      <c r="F378"/>
      <c r="G378"/>
    </row>
    <row r="379" spans="2:7" x14ac:dyDescent="0.25">
      <c r="B379"/>
      <c r="C379"/>
      <c r="D379"/>
      <c r="E379"/>
      <c r="F379"/>
      <c r="G379"/>
    </row>
    <row r="380" spans="2:7" x14ac:dyDescent="0.25">
      <c r="B380"/>
      <c r="C380"/>
      <c r="D380"/>
      <c r="E380"/>
      <c r="F380"/>
      <c r="G380"/>
    </row>
    <row r="381" spans="2:7" x14ac:dyDescent="0.25">
      <c r="B381"/>
      <c r="C381"/>
      <c r="D381"/>
      <c r="E381"/>
      <c r="F381"/>
      <c r="G381"/>
    </row>
    <row r="382" spans="2:7" x14ac:dyDescent="0.25">
      <c r="B382"/>
      <c r="C382"/>
      <c r="D382"/>
      <c r="E382"/>
      <c r="F382"/>
      <c r="G382"/>
    </row>
    <row r="383" spans="2:7" x14ac:dyDescent="0.25">
      <c r="B383"/>
      <c r="C383"/>
      <c r="D383"/>
      <c r="E383"/>
      <c r="F383"/>
      <c r="G383"/>
    </row>
    <row r="384" spans="2:7" x14ac:dyDescent="0.25">
      <c r="B384"/>
      <c r="C384"/>
      <c r="D384"/>
      <c r="E384"/>
      <c r="F384"/>
      <c r="G384"/>
    </row>
    <row r="385" spans="2:10" x14ac:dyDescent="0.25">
      <c r="B385"/>
      <c r="C385"/>
      <c r="D385"/>
      <c r="E385"/>
      <c r="F385"/>
      <c r="G385"/>
    </row>
    <row r="386" spans="2:10" x14ac:dyDescent="0.25">
      <c r="B386"/>
      <c r="C386"/>
      <c r="D386"/>
      <c r="E386"/>
      <c r="F386"/>
      <c r="G386"/>
    </row>
    <row r="387" spans="2:10" x14ac:dyDescent="0.25">
      <c r="B387"/>
      <c r="C387"/>
      <c r="D387"/>
      <c r="E387"/>
      <c r="F387"/>
      <c r="G387"/>
    </row>
    <row r="388" spans="2:10" x14ac:dyDescent="0.25">
      <c r="B388"/>
      <c r="C388"/>
      <c r="D388"/>
      <c r="E388"/>
      <c r="F388"/>
      <c r="G388"/>
    </row>
    <row r="389" spans="2:10" x14ac:dyDescent="0.25">
      <c r="B389"/>
      <c r="C389"/>
      <c r="D389"/>
      <c r="E389"/>
      <c r="F389"/>
      <c r="G389"/>
    </row>
    <row r="390" spans="2:10" x14ac:dyDescent="0.25">
      <c r="B390"/>
      <c r="C390"/>
      <c r="D390"/>
      <c r="E390"/>
      <c r="F390"/>
      <c r="G390"/>
    </row>
    <row r="391" spans="2:10" x14ac:dyDescent="0.25">
      <c r="B391"/>
      <c r="C391"/>
      <c r="D391"/>
      <c r="E391"/>
      <c r="F391"/>
      <c r="G391"/>
    </row>
    <row r="392" spans="2:10" x14ac:dyDescent="0.25">
      <c r="B392"/>
      <c r="C392"/>
      <c r="D392"/>
      <c r="E392"/>
      <c r="F392"/>
      <c r="G392"/>
    </row>
    <row r="393" spans="2:10" x14ac:dyDescent="0.25">
      <c r="B393"/>
      <c r="C393"/>
      <c r="D393"/>
      <c r="E393"/>
      <c r="F393"/>
      <c r="G393"/>
    </row>
    <row r="394" spans="2:10" x14ac:dyDescent="0.25">
      <c r="B394"/>
      <c r="C394"/>
      <c r="D394"/>
      <c r="E394"/>
      <c r="F394"/>
      <c r="G394"/>
    </row>
    <row r="395" spans="2:10" x14ac:dyDescent="0.25">
      <c r="B395"/>
      <c r="C395"/>
      <c r="D395"/>
      <c r="E395"/>
      <c r="F395"/>
      <c r="G395"/>
    </row>
    <row r="396" spans="2:10" x14ac:dyDescent="0.25">
      <c r="B396"/>
      <c r="C396"/>
      <c r="D396"/>
      <c r="E396"/>
      <c r="F396"/>
      <c r="G396"/>
    </row>
    <row r="397" spans="2:10" x14ac:dyDescent="0.25">
      <c r="B397"/>
      <c r="C397"/>
      <c r="D397"/>
      <c r="E397"/>
      <c r="F397"/>
      <c r="G397"/>
      <c r="H397" t="s">
        <v>415</v>
      </c>
      <c r="J397">
        <f>(31506-449-461)/(844701)</f>
        <v>3.6221100720846784E-2</v>
      </c>
    </row>
    <row r="398" spans="2:10" x14ac:dyDescent="0.25">
      <c r="B398"/>
      <c r="C398"/>
      <c r="D398"/>
      <c r="E398"/>
      <c r="F398"/>
      <c r="G398"/>
    </row>
    <row r="399" spans="2:10" x14ac:dyDescent="0.25">
      <c r="B399"/>
      <c r="C399"/>
      <c r="D399"/>
      <c r="E399"/>
      <c r="F399"/>
      <c r="G399"/>
    </row>
    <row r="400" spans="2:10" x14ac:dyDescent="0.25">
      <c r="B400"/>
      <c r="C400"/>
      <c r="D400"/>
      <c r="E400"/>
      <c r="F400"/>
      <c r="G400"/>
    </row>
    <row r="401" spans="2:7" x14ac:dyDescent="0.25">
      <c r="B401"/>
      <c r="C401"/>
      <c r="D401"/>
      <c r="E401"/>
      <c r="F401"/>
      <c r="G401"/>
    </row>
    <row r="402" spans="2:7" x14ac:dyDescent="0.25">
      <c r="B402"/>
      <c r="C402"/>
      <c r="D402"/>
      <c r="E402"/>
      <c r="F402"/>
      <c r="G402"/>
    </row>
    <row r="403" spans="2:7" x14ac:dyDescent="0.25">
      <c r="B403"/>
      <c r="C403"/>
      <c r="D403"/>
      <c r="E403"/>
      <c r="F403"/>
      <c r="G403"/>
    </row>
    <row r="404" spans="2:7" x14ac:dyDescent="0.25">
      <c r="B404"/>
      <c r="C404"/>
      <c r="D404"/>
      <c r="E404"/>
      <c r="F404"/>
      <c r="G404"/>
    </row>
    <row r="405" spans="2:7" x14ac:dyDescent="0.25">
      <c r="B405"/>
      <c r="C405"/>
      <c r="D405"/>
      <c r="E405"/>
      <c r="F405"/>
      <c r="G405"/>
    </row>
    <row r="406" spans="2:7" x14ac:dyDescent="0.25">
      <c r="B406"/>
      <c r="C406"/>
      <c r="D406"/>
      <c r="E406"/>
      <c r="F406"/>
      <c r="G406"/>
    </row>
    <row r="407" spans="2:7" x14ac:dyDescent="0.25">
      <c r="B407"/>
      <c r="C407"/>
      <c r="D407"/>
      <c r="E407"/>
      <c r="F407"/>
      <c r="G407"/>
    </row>
    <row r="408" spans="2:7" x14ac:dyDescent="0.25">
      <c r="B408"/>
      <c r="C408"/>
      <c r="D408"/>
      <c r="E408"/>
      <c r="F408"/>
      <c r="G408"/>
    </row>
    <row r="409" spans="2:7" x14ac:dyDescent="0.25">
      <c r="B409"/>
      <c r="C409"/>
      <c r="D409"/>
      <c r="E409"/>
      <c r="F409"/>
      <c r="G409"/>
    </row>
    <row r="410" spans="2:7" x14ac:dyDescent="0.25">
      <c r="B410"/>
      <c r="C410"/>
      <c r="D410"/>
      <c r="E410"/>
      <c r="F410"/>
      <c r="G410"/>
    </row>
    <row r="411" spans="2:7" x14ac:dyDescent="0.25">
      <c r="B411"/>
      <c r="C411"/>
      <c r="D411"/>
      <c r="E411"/>
      <c r="F411"/>
      <c r="G411"/>
    </row>
    <row r="412" spans="2:7" x14ac:dyDescent="0.25">
      <c r="B412"/>
      <c r="C412"/>
      <c r="D412"/>
      <c r="E412"/>
      <c r="F412"/>
      <c r="G412"/>
    </row>
    <row r="413" spans="2:7" x14ac:dyDescent="0.25">
      <c r="B413"/>
      <c r="C413"/>
      <c r="D413"/>
      <c r="E413"/>
      <c r="F413"/>
      <c r="G413"/>
    </row>
    <row r="414" spans="2:7" x14ac:dyDescent="0.25">
      <c r="B414"/>
      <c r="C414"/>
      <c r="D414"/>
      <c r="E414"/>
      <c r="F414"/>
      <c r="G414"/>
    </row>
    <row r="415" spans="2:7" x14ac:dyDescent="0.25">
      <c r="B415"/>
      <c r="C415"/>
      <c r="D415"/>
      <c r="E415"/>
      <c r="F415"/>
      <c r="G415"/>
    </row>
    <row r="416" spans="2:7" x14ac:dyDescent="0.25">
      <c r="B416"/>
      <c r="C416"/>
      <c r="D416"/>
      <c r="E416"/>
      <c r="F416"/>
      <c r="G416"/>
    </row>
    <row r="417" spans="2:7" x14ac:dyDescent="0.25">
      <c r="B417"/>
      <c r="C417"/>
      <c r="D417"/>
      <c r="E417"/>
      <c r="F417"/>
      <c r="G417"/>
    </row>
    <row r="418" spans="2:7" x14ac:dyDescent="0.25">
      <c r="B418"/>
      <c r="C418"/>
      <c r="D418"/>
      <c r="E418"/>
      <c r="F418"/>
      <c r="G418"/>
    </row>
    <row r="419" spans="2:7" x14ac:dyDescent="0.25">
      <c r="B419"/>
      <c r="C419"/>
      <c r="D419"/>
      <c r="E419"/>
      <c r="F419"/>
      <c r="G419"/>
    </row>
    <row r="420" spans="2:7" x14ac:dyDescent="0.25">
      <c r="B420"/>
      <c r="C420"/>
      <c r="D420"/>
      <c r="E420"/>
      <c r="F420"/>
      <c r="G420"/>
    </row>
    <row r="421" spans="2:7" x14ac:dyDescent="0.25">
      <c r="B421"/>
      <c r="C421"/>
      <c r="D421"/>
      <c r="E421"/>
      <c r="F421"/>
      <c r="G421"/>
    </row>
    <row r="422" spans="2:7" x14ac:dyDescent="0.25">
      <c r="B422"/>
      <c r="C422"/>
      <c r="D422"/>
      <c r="E422"/>
      <c r="F422"/>
      <c r="G422"/>
    </row>
    <row r="423" spans="2:7" x14ac:dyDescent="0.25">
      <c r="B423"/>
      <c r="C423"/>
      <c r="D423"/>
      <c r="E423"/>
      <c r="F423"/>
      <c r="G423"/>
    </row>
    <row r="424" spans="2:7" x14ac:dyDescent="0.25">
      <c r="B424"/>
      <c r="C424"/>
      <c r="D424"/>
      <c r="E424"/>
      <c r="F424"/>
      <c r="G424"/>
    </row>
    <row r="425" spans="2:7" x14ac:dyDescent="0.25">
      <c r="B425"/>
      <c r="C425"/>
      <c r="D425"/>
      <c r="E425"/>
      <c r="F425"/>
      <c r="G425"/>
    </row>
    <row r="426" spans="2:7" x14ac:dyDescent="0.25">
      <c r="B426"/>
      <c r="C426"/>
      <c r="D426"/>
      <c r="E426"/>
      <c r="F426"/>
      <c r="G426"/>
    </row>
    <row r="427" spans="2:7" x14ac:dyDescent="0.25">
      <c r="B427"/>
      <c r="C427"/>
      <c r="D427"/>
      <c r="E427"/>
      <c r="F427"/>
      <c r="G427"/>
    </row>
    <row r="428" spans="2:7" x14ac:dyDescent="0.25">
      <c r="B428"/>
      <c r="C428"/>
      <c r="D428"/>
      <c r="E428"/>
      <c r="F428"/>
      <c r="G428"/>
    </row>
    <row r="429" spans="2:7" x14ac:dyDescent="0.25">
      <c r="B429"/>
      <c r="C429"/>
      <c r="D429"/>
      <c r="E429"/>
      <c r="F429"/>
      <c r="G429"/>
    </row>
    <row r="430" spans="2:7" x14ac:dyDescent="0.25">
      <c r="B430"/>
      <c r="C430"/>
      <c r="D430"/>
      <c r="E430"/>
      <c r="F430"/>
      <c r="G430"/>
    </row>
    <row r="431" spans="2:7" x14ac:dyDescent="0.25">
      <c r="B431"/>
      <c r="C431"/>
      <c r="D431"/>
      <c r="E431"/>
      <c r="F431"/>
      <c r="G431"/>
    </row>
    <row r="432" spans="2:7" x14ac:dyDescent="0.25">
      <c r="B432"/>
      <c r="C432"/>
      <c r="D432"/>
      <c r="E432"/>
      <c r="F432"/>
      <c r="G432"/>
    </row>
    <row r="433" spans="2:7" x14ac:dyDescent="0.25">
      <c r="B433"/>
      <c r="C433"/>
      <c r="D433"/>
      <c r="E433"/>
      <c r="F433"/>
      <c r="G433"/>
    </row>
    <row r="434" spans="2:7" x14ac:dyDescent="0.25">
      <c r="B434"/>
      <c r="C434"/>
      <c r="D434"/>
      <c r="E434"/>
      <c r="F434"/>
      <c r="G434"/>
    </row>
    <row r="435" spans="2:7" x14ac:dyDescent="0.25">
      <c r="B435"/>
      <c r="C435"/>
      <c r="D435"/>
      <c r="E435"/>
      <c r="F435"/>
      <c r="G435"/>
    </row>
    <row r="436" spans="2:7" x14ac:dyDescent="0.25">
      <c r="B436"/>
      <c r="C436"/>
      <c r="D436"/>
      <c r="E436"/>
      <c r="F436"/>
      <c r="G436"/>
    </row>
    <row r="437" spans="2:7" x14ac:dyDescent="0.25">
      <c r="B437"/>
      <c r="C437"/>
      <c r="D437"/>
      <c r="E437"/>
      <c r="F437"/>
      <c r="G437"/>
    </row>
    <row r="438" spans="2:7" x14ac:dyDescent="0.25">
      <c r="B438"/>
      <c r="C438"/>
      <c r="D438"/>
      <c r="E438"/>
      <c r="F438"/>
      <c r="G438"/>
    </row>
    <row r="439" spans="2:7" x14ac:dyDescent="0.25">
      <c r="B439"/>
      <c r="C439"/>
      <c r="D439"/>
      <c r="E439"/>
      <c r="F439"/>
      <c r="G439"/>
    </row>
    <row r="440" spans="2:7" x14ac:dyDescent="0.25">
      <c r="B440"/>
      <c r="C440"/>
      <c r="D440"/>
      <c r="E440"/>
      <c r="F440"/>
      <c r="G440"/>
    </row>
    <row r="441" spans="2:7" x14ac:dyDescent="0.25">
      <c r="B441"/>
      <c r="C441"/>
      <c r="D441"/>
      <c r="E441"/>
      <c r="F441"/>
      <c r="G441"/>
    </row>
    <row r="442" spans="2:7" x14ac:dyDescent="0.25">
      <c r="B442"/>
      <c r="C442"/>
      <c r="D442"/>
      <c r="E442"/>
      <c r="F442"/>
      <c r="G442"/>
    </row>
    <row r="443" spans="2:7" x14ac:dyDescent="0.25">
      <c r="B443"/>
      <c r="C443"/>
      <c r="D443"/>
      <c r="E443"/>
      <c r="F443"/>
      <c r="G443"/>
    </row>
    <row r="444" spans="2:7" x14ac:dyDescent="0.25">
      <c r="B444"/>
      <c r="C444"/>
      <c r="D444"/>
      <c r="E444"/>
      <c r="F444"/>
      <c r="G444"/>
    </row>
    <row r="445" spans="2:7" x14ac:dyDescent="0.25">
      <c r="B445"/>
      <c r="C445"/>
      <c r="D445"/>
      <c r="E445"/>
      <c r="F445"/>
      <c r="G445"/>
    </row>
    <row r="446" spans="2:7" x14ac:dyDescent="0.25">
      <c r="B446"/>
      <c r="C446"/>
      <c r="D446"/>
      <c r="E446"/>
      <c r="F446"/>
      <c r="G446"/>
    </row>
    <row r="447" spans="2:7" x14ac:dyDescent="0.25">
      <c r="B447"/>
      <c r="C447"/>
      <c r="D447"/>
      <c r="E447"/>
      <c r="F447"/>
      <c r="G447"/>
    </row>
    <row r="448" spans="2:7" x14ac:dyDescent="0.25">
      <c r="B448"/>
      <c r="C448"/>
      <c r="D448"/>
      <c r="E448"/>
      <c r="F448"/>
      <c r="G448"/>
    </row>
    <row r="449" spans="2:7" x14ac:dyDescent="0.25">
      <c r="B449"/>
      <c r="C449"/>
      <c r="D449"/>
      <c r="E449"/>
      <c r="F449"/>
      <c r="G449"/>
    </row>
    <row r="450" spans="2:7" x14ac:dyDescent="0.25">
      <c r="B450"/>
      <c r="C450"/>
      <c r="D450"/>
      <c r="E450"/>
      <c r="F450"/>
      <c r="G450"/>
    </row>
    <row r="451" spans="2:7" x14ac:dyDescent="0.25">
      <c r="B451"/>
      <c r="C451"/>
      <c r="D451"/>
      <c r="E451"/>
      <c r="F451"/>
      <c r="G451"/>
    </row>
    <row r="452" spans="2:7" x14ac:dyDescent="0.25">
      <c r="B452"/>
      <c r="C452"/>
      <c r="D452"/>
      <c r="E452"/>
      <c r="F452"/>
      <c r="G452"/>
    </row>
    <row r="453" spans="2:7" x14ac:dyDescent="0.25">
      <c r="B453"/>
      <c r="C453"/>
      <c r="D453"/>
      <c r="E453"/>
      <c r="F453"/>
      <c r="G453"/>
    </row>
    <row r="454" spans="2:7" x14ac:dyDescent="0.25">
      <c r="B454"/>
      <c r="C454"/>
      <c r="D454"/>
      <c r="E454"/>
      <c r="F454"/>
      <c r="G454"/>
    </row>
    <row r="455" spans="2:7" x14ac:dyDescent="0.25">
      <c r="B455"/>
      <c r="C455"/>
      <c r="D455"/>
      <c r="E455"/>
      <c r="F455"/>
      <c r="G455"/>
    </row>
    <row r="456" spans="2:7" x14ac:dyDescent="0.25">
      <c r="B456"/>
      <c r="C456"/>
      <c r="D456"/>
      <c r="E456"/>
      <c r="F456"/>
      <c r="G456"/>
    </row>
    <row r="457" spans="2:7" x14ac:dyDescent="0.25">
      <c r="B457"/>
      <c r="C457"/>
      <c r="D457"/>
      <c r="E457"/>
      <c r="F457"/>
      <c r="G457"/>
    </row>
    <row r="458" spans="2:7" x14ac:dyDescent="0.25">
      <c r="B458"/>
      <c r="C458"/>
      <c r="D458"/>
      <c r="E458"/>
      <c r="F458"/>
      <c r="G458"/>
    </row>
    <row r="459" spans="2:7" x14ac:dyDescent="0.25">
      <c r="B459"/>
      <c r="C459"/>
      <c r="D459"/>
      <c r="E459"/>
      <c r="F459"/>
      <c r="G459"/>
    </row>
    <row r="460" spans="2:7" x14ac:dyDescent="0.25">
      <c r="B460"/>
      <c r="C460"/>
      <c r="D460"/>
      <c r="E460"/>
      <c r="F460"/>
      <c r="G460"/>
    </row>
    <row r="461" spans="2:7" x14ac:dyDescent="0.25">
      <c r="B461"/>
      <c r="C461"/>
      <c r="D461"/>
      <c r="E461"/>
      <c r="F461"/>
      <c r="G461"/>
    </row>
    <row r="462" spans="2:7" x14ac:dyDescent="0.25">
      <c r="B462"/>
      <c r="C462"/>
      <c r="D462"/>
      <c r="E462"/>
      <c r="F462"/>
      <c r="G462"/>
    </row>
    <row r="463" spans="2:7" x14ac:dyDescent="0.25">
      <c r="B463"/>
      <c r="C463"/>
      <c r="D463"/>
      <c r="E463"/>
      <c r="F463"/>
      <c r="G463"/>
    </row>
    <row r="464" spans="2:7" x14ac:dyDescent="0.25">
      <c r="B464"/>
      <c r="C464"/>
      <c r="D464"/>
      <c r="E464"/>
      <c r="F464"/>
      <c r="G464"/>
    </row>
    <row r="465" spans="2:7" x14ac:dyDescent="0.25">
      <c r="B465"/>
      <c r="C465"/>
      <c r="D465"/>
      <c r="E465"/>
      <c r="F465"/>
      <c r="G465"/>
    </row>
    <row r="466" spans="2:7" x14ac:dyDescent="0.25">
      <c r="B466"/>
      <c r="C466"/>
      <c r="D466"/>
      <c r="E466"/>
      <c r="F466"/>
      <c r="G466"/>
    </row>
    <row r="467" spans="2:7" x14ac:dyDescent="0.25">
      <c r="B467"/>
      <c r="C467"/>
      <c r="D467"/>
      <c r="E467"/>
      <c r="F467"/>
      <c r="G467"/>
    </row>
    <row r="468" spans="2:7" x14ac:dyDescent="0.25">
      <c r="B468"/>
      <c r="C468"/>
      <c r="D468"/>
      <c r="E468"/>
      <c r="F468"/>
      <c r="G468"/>
    </row>
    <row r="469" spans="2:7" x14ac:dyDescent="0.25">
      <c r="B469"/>
      <c r="C469"/>
      <c r="D469"/>
      <c r="E469"/>
      <c r="F469"/>
      <c r="G469"/>
    </row>
    <row r="470" spans="2:7" x14ac:dyDescent="0.25">
      <c r="B470"/>
      <c r="C470"/>
      <c r="D470"/>
      <c r="E470"/>
      <c r="F470"/>
      <c r="G470"/>
    </row>
    <row r="471" spans="2:7" x14ac:dyDescent="0.25">
      <c r="B471"/>
      <c r="C471"/>
      <c r="D471"/>
      <c r="E471"/>
      <c r="F471"/>
      <c r="G471"/>
    </row>
    <row r="472" spans="2:7" x14ac:dyDescent="0.25">
      <c r="B472"/>
      <c r="C472"/>
      <c r="D472"/>
      <c r="E472"/>
      <c r="F472"/>
      <c r="G472"/>
    </row>
    <row r="473" spans="2:7" x14ac:dyDescent="0.25">
      <c r="B473"/>
      <c r="C473"/>
      <c r="D473"/>
      <c r="E473"/>
      <c r="F473"/>
      <c r="G473"/>
    </row>
    <row r="474" spans="2:7" x14ac:dyDescent="0.25">
      <c r="B474"/>
      <c r="C474"/>
      <c r="D474"/>
      <c r="E474"/>
      <c r="F474"/>
      <c r="G474"/>
    </row>
    <row r="475" spans="2:7" x14ac:dyDescent="0.25">
      <c r="B475"/>
      <c r="C475"/>
      <c r="D475"/>
      <c r="E475"/>
      <c r="F475"/>
      <c r="G475"/>
    </row>
    <row r="476" spans="2:7" x14ac:dyDescent="0.25">
      <c r="B476"/>
      <c r="C476"/>
      <c r="D476"/>
      <c r="E476"/>
      <c r="F476"/>
      <c r="G476"/>
    </row>
    <row r="477" spans="2:7" x14ac:dyDescent="0.25">
      <c r="B477"/>
      <c r="C477"/>
      <c r="D477"/>
      <c r="E477"/>
      <c r="F477"/>
      <c r="G477"/>
    </row>
    <row r="478" spans="2:7" x14ac:dyDescent="0.25">
      <c r="B478"/>
      <c r="C478"/>
      <c r="D478"/>
      <c r="E478"/>
      <c r="F478"/>
      <c r="G478"/>
    </row>
    <row r="479" spans="2:7" x14ac:dyDescent="0.25">
      <c r="B479"/>
      <c r="C479"/>
      <c r="D479"/>
      <c r="E479"/>
      <c r="F479"/>
      <c r="G479"/>
    </row>
    <row r="480" spans="2:7" x14ac:dyDescent="0.25">
      <c r="B480"/>
      <c r="C480"/>
      <c r="D480"/>
      <c r="E480"/>
      <c r="F480"/>
      <c r="G480"/>
    </row>
    <row r="481" spans="2:10" x14ac:dyDescent="0.25">
      <c r="B481"/>
      <c r="C481"/>
      <c r="D481"/>
      <c r="E481"/>
      <c r="F481"/>
      <c r="G481"/>
    </row>
    <row r="482" spans="2:10" x14ac:dyDescent="0.25">
      <c r="B482"/>
      <c r="C482"/>
      <c r="D482"/>
      <c r="E482"/>
      <c r="F482"/>
      <c r="G482"/>
    </row>
    <row r="483" spans="2:10" x14ac:dyDescent="0.25">
      <c r="B483"/>
      <c r="C483"/>
      <c r="D483"/>
      <c r="E483"/>
      <c r="F483"/>
      <c r="G483"/>
    </row>
    <row r="484" spans="2:10" x14ac:dyDescent="0.25">
      <c r="B484"/>
      <c r="C484"/>
      <c r="D484"/>
      <c r="E484"/>
      <c r="F484"/>
      <c r="G484"/>
    </row>
    <row r="485" spans="2:10" x14ac:dyDescent="0.25">
      <c r="B485"/>
      <c r="C485"/>
      <c r="D485"/>
      <c r="E485"/>
      <c r="F485"/>
      <c r="G485"/>
    </row>
    <row r="486" spans="2:10" x14ac:dyDescent="0.25">
      <c r="B486"/>
      <c r="C486"/>
      <c r="D486"/>
      <c r="E486"/>
      <c r="F486"/>
      <c r="G486"/>
    </row>
    <row r="487" spans="2:10" x14ac:dyDescent="0.25">
      <c r="B487"/>
      <c r="C487"/>
      <c r="D487"/>
      <c r="E487"/>
      <c r="F487"/>
      <c r="G487"/>
    </row>
    <row r="488" spans="2:10" x14ac:dyDescent="0.25">
      <c r="B488"/>
      <c r="C488"/>
      <c r="D488"/>
      <c r="E488"/>
      <c r="F488"/>
      <c r="G488"/>
    </row>
    <row r="489" spans="2:10" x14ac:dyDescent="0.25">
      <c r="B489"/>
      <c r="C489"/>
      <c r="D489"/>
      <c r="E489"/>
      <c r="F489"/>
      <c r="G489"/>
    </row>
    <row r="490" spans="2:10" x14ac:dyDescent="0.25">
      <c r="B490"/>
      <c r="C490"/>
      <c r="D490"/>
      <c r="E490"/>
      <c r="F490"/>
      <c r="G490"/>
      <c r="H490" t="s">
        <v>411</v>
      </c>
    </row>
    <row r="491" spans="2:10" x14ac:dyDescent="0.25">
      <c r="B491"/>
      <c r="C491"/>
      <c r="D491"/>
      <c r="E491"/>
      <c r="F491"/>
      <c r="G491"/>
    </row>
    <row r="492" spans="2:10" x14ac:dyDescent="0.25">
      <c r="B492"/>
      <c r="C492"/>
      <c r="D492"/>
      <c r="E492"/>
      <c r="F492"/>
      <c r="G492"/>
      <c r="H492" t="s">
        <v>419</v>
      </c>
      <c r="J492">
        <f>(78*66)/18078</f>
        <v>0.28476601393959511</v>
      </c>
    </row>
    <row r="493" spans="2:10" x14ac:dyDescent="0.25">
      <c r="B493"/>
      <c r="C493"/>
      <c r="D493"/>
      <c r="E493"/>
      <c r="F493"/>
      <c r="G493"/>
    </row>
    <row r="494" spans="2:10" x14ac:dyDescent="0.25">
      <c r="B494"/>
      <c r="C494"/>
      <c r="D494"/>
      <c r="E494"/>
      <c r="F494"/>
      <c r="G494"/>
    </row>
    <row r="495" spans="2:10" x14ac:dyDescent="0.25">
      <c r="B495"/>
      <c r="C495"/>
      <c r="D495"/>
      <c r="E495"/>
      <c r="F495"/>
      <c r="G495"/>
    </row>
    <row r="496" spans="2:10" x14ac:dyDescent="0.25">
      <c r="B496"/>
      <c r="C496"/>
      <c r="D496"/>
      <c r="E496"/>
      <c r="F496"/>
      <c r="G496"/>
    </row>
    <row r="497" spans="2:9" x14ac:dyDescent="0.25">
      <c r="B497"/>
      <c r="C497"/>
      <c r="D497"/>
      <c r="E497"/>
      <c r="F497"/>
      <c r="G497"/>
    </row>
    <row r="498" spans="2:9" x14ac:dyDescent="0.25">
      <c r="B498"/>
      <c r="C498"/>
      <c r="D498"/>
      <c r="E498"/>
      <c r="F498"/>
      <c r="G498"/>
    </row>
    <row r="499" spans="2:9" x14ac:dyDescent="0.25">
      <c r="B499"/>
      <c r="C499"/>
      <c r="D499"/>
      <c r="E499"/>
      <c r="F499"/>
      <c r="G499"/>
    </row>
    <row r="500" spans="2:9" x14ac:dyDescent="0.25">
      <c r="B500"/>
      <c r="C500"/>
      <c r="D500"/>
      <c r="E500"/>
      <c r="F500"/>
      <c r="G500"/>
      <c r="H500">
        <f>(1354-461)/14394</f>
        <v>6.2039738780047239E-2</v>
      </c>
    </row>
    <row r="501" spans="2:9" x14ac:dyDescent="0.25">
      <c r="B501"/>
      <c r="C501"/>
      <c r="D501"/>
      <c r="E501"/>
      <c r="F501"/>
      <c r="G501"/>
      <c r="H501" t="s">
        <v>426</v>
      </c>
    </row>
    <row r="502" spans="2:9" x14ac:dyDescent="0.25">
      <c r="B502"/>
      <c r="C502"/>
      <c r="D502"/>
      <c r="E502"/>
      <c r="F502"/>
      <c r="G502"/>
      <c r="H502" t="s">
        <v>414</v>
      </c>
      <c r="I502">
        <f>(112144-449-461)/4257914</f>
        <v>2.6124059809568723E-2</v>
      </c>
    </row>
    <row r="503" spans="2:9" x14ac:dyDescent="0.25">
      <c r="B503"/>
      <c r="C503"/>
      <c r="D503"/>
      <c r="E503"/>
      <c r="F503"/>
      <c r="G503"/>
    </row>
    <row r="504" spans="2:9" x14ac:dyDescent="0.25">
      <c r="B504"/>
      <c r="C504"/>
      <c r="D504"/>
      <c r="E504"/>
      <c r="F504"/>
      <c r="G504"/>
    </row>
    <row r="505" spans="2:9" x14ac:dyDescent="0.25">
      <c r="B505"/>
      <c r="C505"/>
      <c r="D505"/>
      <c r="E505"/>
      <c r="F505"/>
      <c r="G505"/>
    </row>
    <row r="506" spans="2:9" x14ac:dyDescent="0.25">
      <c r="B506"/>
      <c r="C506"/>
      <c r="D506"/>
      <c r="E506"/>
      <c r="F506"/>
      <c r="G506"/>
    </row>
    <row r="507" spans="2:9" x14ac:dyDescent="0.25">
      <c r="B507"/>
      <c r="C507"/>
      <c r="D507"/>
      <c r="E507"/>
      <c r="F507"/>
      <c r="G507"/>
    </row>
    <row r="508" spans="2:9" x14ac:dyDescent="0.25">
      <c r="B508"/>
      <c r="C508"/>
      <c r="D508"/>
      <c r="E508"/>
      <c r="F508"/>
      <c r="G508"/>
    </row>
    <row r="509" spans="2:9" x14ac:dyDescent="0.25">
      <c r="B509"/>
      <c r="C509"/>
      <c r="D509"/>
      <c r="E509"/>
      <c r="F509"/>
      <c r="G509"/>
    </row>
    <row r="510" spans="2:9" x14ac:dyDescent="0.25">
      <c r="B510"/>
      <c r="C510"/>
      <c r="D510"/>
      <c r="E510"/>
      <c r="F510"/>
      <c r="G510"/>
    </row>
    <row r="511" spans="2:9" x14ac:dyDescent="0.25">
      <c r="B511"/>
      <c r="C511"/>
      <c r="D511"/>
      <c r="E511"/>
      <c r="F511"/>
      <c r="G511"/>
    </row>
    <row r="512" spans="2:9" x14ac:dyDescent="0.25">
      <c r="B512"/>
      <c r="C512"/>
      <c r="D512"/>
      <c r="E512"/>
      <c r="F512"/>
      <c r="G512"/>
    </row>
    <row r="513" spans="2:11" x14ac:dyDescent="0.25">
      <c r="B513"/>
      <c r="C513"/>
      <c r="D513"/>
      <c r="E513"/>
      <c r="F513"/>
      <c r="G513"/>
    </row>
    <row r="514" spans="2:11" x14ac:dyDescent="0.25">
      <c r="B514"/>
      <c r="C514"/>
      <c r="D514"/>
      <c r="E514"/>
      <c r="F514"/>
      <c r="G514"/>
    </row>
    <row r="515" spans="2:11" x14ac:dyDescent="0.25">
      <c r="B515"/>
      <c r="C515"/>
      <c r="D515"/>
      <c r="E515"/>
      <c r="F515"/>
      <c r="G515"/>
    </row>
    <row r="516" spans="2:11" x14ac:dyDescent="0.25">
      <c r="B516"/>
      <c r="C516"/>
      <c r="D516"/>
      <c r="E516"/>
      <c r="F516"/>
      <c r="G516"/>
    </row>
    <row r="517" spans="2:11" x14ac:dyDescent="0.25">
      <c r="B517"/>
      <c r="C517"/>
      <c r="D517"/>
      <c r="E517"/>
      <c r="F517"/>
      <c r="G517"/>
    </row>
    <row r="518" spans="2:11" x14ac:dyDescent="0.25">
      <c r="B518"/>
      <c r="C518"/>
      <c r="D518"/>
      <c r="E518"/>
      <c r="F518"/>
      <c r="G518"/>
    </row>
    <row r="519" spans="2:11" x14ac:dyDescent="0.25">
      <c r="B519"/>
      <c r="C519"/>
      <c r="D519"/>
      <c r="E519"/>
      <c r="F519"/>
      <c r="G519"/>
    </row>
    <row r="520" spans="2:11" x14ac:dyDescent="0.25">
      <c r="B520"/>
      <c r="C520"/>
      <c r="D520"/>
      <c r="E520"/>
      <c r="F520"/>
      <c r="G520"/>
      <c r="I520" s="18">
        <f>B520-B645</f>
        <v>0</v>
      </c>
      <c r="J520" s="18">
        <f>C520-C645</f>
        <v>0</v>
      </c>
      <c r="K520" t="e">
        <f>J520/I520</f>
        <v>#DIV/0!</v>
      </c>
    </row>
    <row r="521" spans="2:11" x14ac:dyDescent="0.25">
      <c r="B521"/>
      <c r="C521"/>
      <c r="D521"/>
      <c r="E521"/>
      <c r="F521"/>
      <c r="G521"/>
    </row>
    <row r="522" spans="2:11" x14ac:dyDescent="0.25">
      <c r="B522"/>
      <c r="C522"/>
      <c r="D522"/>
      <c r="E522"/>
      <c r="F522"/>
      <c r="G522"/>
    </row>
    <row r="523" spans="2:11" x14ac:dyDescent="0.25">
      <c r="B523"/>
      <c r="C523"/>
      <c r="D523"/>
      <c r="E523"/>
      <c r="F523"/>
      <c r="G523"/>
    </row>
    <row r="524" spans="2:11" x14ac:dyDescent="0.25">
      <c r="B524"/>
      <c r="C524"/>
      <c r="D524"/>
      <c r="E524"/>
      <c r="F524"/>
      <c r="G524"/>
    </row>
    <row r="525" spans="2:11" x14ac:dyDescent="0.25">
      <c r="B525"/>
      <c r="C525"/>
      <c r="D525"/>
      <c r="E525"/>
      <c r="F525"/>
      <c r="G525"/>
    </row>
    <row r="526" spans="2:11" x14ac:dyDescent="0.25">
      <c r="B526"/>
      <c r="C526"/>
      <c r="D526"/>
      <c r="E526"/>
      <c r="F526"/>
      <c r="G526"/>
    </row>
    <row r="527" spans="2:11" x14ac:dyDescent="0.25">
      <c r="B527"/>
      <c r="C527"/>
      <c r="D527"/>
      <c r="E527"/>
      <c r="F527"/>
      <c r="G527"/>
    </row>
    <row r="528" spans="2:11" x14ac:dyDescent="0.25">
      <c r="B528"/>
      <c r="C528"/>
      <c r="D528"/>
      <c r="E528"/>
      <c r="F528"/>
      <c r="G528"/>
    </row>
    <row r="529" spans="2:7" x14ac:dyDescent="0.25">
      <c r="B529"/>
      <c r="C529"/>
      <c r="D529"/>
      <c r="E529"/>
      <c r="F529"/>
      <c r="G529"/>
    </row>
    <row r="530" spans="2:7" x14ac:dyDescent="0.25">
      <c r="B530"/>
      <c r="C530"/>
      <c r="D530"/>
      <c r="E530"/>
      <c r="F530"/>
      <c r="G530"/>
    </row>
    <row r="531" spans="2:7" x14ac:dyDescent="0.25">
      <c r="B531"/>
      <c r="C531"/>
      <c r="D531"/>
      <c r="E531"/>
      <c r="F531"/>
      <c r="G531"/>
    </row>
    <row r="532" spans="2:7" x14ac:dyDescent="0.25">
      <c r="B532"/>
      <c r="C532"/>
      <c r="D532"/>
      <c r="E532"/>
      <c r="F532"/>
      <c r="G532"/>
    </row>
    <row r="533" spans="2:7" x14ac:dyDescent="0.25">
      <c r="B533"/>
      <c r="C533"/>
      <c r="D533"/>
      <c r="E533"/>
      <c r="F533"/>
      <c r="G533"/>
    </row>
    <row r="534" spans="2:7" x14ac:dyDescent="0.25">
      <c r="B534"/>
      <c r="C534"/>
      <c r="D534"/>
      <c r="E534"/>
      <c r="F534"/>
      <c r="G534"/>
    </row>
    <row r="535" spans="2:7" x14ac:dyDescent="0.25">
      <c r="B535"/>
      <c r="C535"/>
      <c r="D535"/>
      <c r="E535"/>
      <c r="F535"/>
      <c r="G535"/>
    </row>
    <row r="536" spans="2:7" x14ac:dyDescent="0.25">
      <c r="B536"/>
      <c r="C536"/>
      <c r="D536"/>
      <c r="E536"/>
      <c r="F536"/>
      <c r="G536"/>
    </row>
    <row r="537" spans="2:7" x14ac:dyDescent="0.25">
      <c r="B537"/>
      <c r="C537"/>
      <c r="D537"/>
      <c r="E537"/>
      <c r="F537"/>
      <c r="G537"/>
    </row>
    <row r="538" spans="2:7" x14ac:dyDescent="0.25">
      <c r="B538"/>
      <c r="C538"/>
      <c r="D538"/>
      <c r="E538"/>
      <c r="F538"/>
      <c r="G538"/>
    </row>
    <row r="539" spans="2:7" x14ac:dyDescent="0.25">
      <c r="B539"/>
      <c r="C539"/>
      <c r="D539"/>
      <c r="E539"/>
      <c r="F539"/>
      <c r="G539"/>
    </row>
    <row r="540" spans="2:7" x14ac:dyDescent="0.25">
      <c r="B540"/>
      <c r="C540"/>
      <c r="D540"/>
      <c r="E540"/>
      <c r="F540"/>
      <c r="G540"/>
    </row>
    <row r="541" spans="2:7" x14ac:dyDescent="0.25">
      <c r="B541"/>
      <c r="C541"/>
      <c r="D541"/>
      <c r="E541"/>
      <c r="F541"/>
      <c r="G541"/>
    </row>
    <row r="542" spans="2:7" x14ac:dyDescent="0.25">
      <c r="B542"/>
      <c r="C542"/>
      <c r="D542"/>
      <c r="E542"/>
      <c r="F542"/>
      <c r="G542"/>
    </row>
    <row r="543" spans="2:7" x14ac:dyDescent="0.25">
      <c r="B543"/>
      <c r="C543"/>
      <c r="D543"/>
      <c r="E543"/>
      <c r="F543"/>
      <c r="G543"/>
    </row>
    <row r="544" spans="2:7" x14ac:dyDescent="0.25">
      <c r="B544"/>
      <c r="C544"/>
      <c r="D544"/>
      <c r="E544"/>
      <c r="F544"/>
      <c r="G544"/>
    </row>
    <row r="545" spans="2:7" x14ac:dyDescent="0.25">
      <c r="B545"/>
      <c r="C545"/>
      <c r="D545"/>
      <c r="E545"/>
      <c r="F545"/>
      <c r="G545"/>
    </row>
    <row r="546" spans="2:7" x14ac:dyDescent="0.25">
      <c r="B546"/>
      <c r="C546"/>
      <c r="D546"/>
      <c r="E546"/>
      <c r="F546"/>
      <c r="G546"/>
    </row>
    <row r="547" spans="2:7" x14ac:dyDescent="0.25">
      <c r="B547"/>
      <c r="C547"/>
      <c r="D547"/>
      <c r="E547"/>
      <c r="F547"/>
      <c r="G547"/>
    </row>
    <row r="548" spans="2:7" x14ac:dyDescent="0.25">
      <c r="B548"/>
      <c r="C548"/>
      <c r="D548"/>
      <c r="E548"/>
      <c r="F548"/>
      <c r="G548"/>
    </row>
    <row r="549" spans="2:7" x14ac:dyDescent="0.25">
      <c r="B549"/>
      <c r="C549"/>
      <c r="D549"/>
      <c r="E549"/>
      <c r="F549"/>
      <c r="G549"/>
    </row>
    <row r="550" spans="2:7" x14ac:dyDescent="0.25">
      <c r="B550"/>
      <c r="C550"/>
      <c r="D550"/>
      <c r="E550"/>
      <c r="F550"/>
      <c r="G550"/>
    </row>
    <row r="551" spans="2:7" x14ac:dyDescent="0.25">
      <c r="B551"/>
      <c r="C551"/>
      <c r="D551"/>
      <c r="E551"/>
      <c r="F551"/>
      <c r="G551"/>
    </row>
    <row r="552" spans="2:7" x14ac:dyDescent="0.25">
      <c r="B552"/>
      <c r="C552"/>
      <c r="D552"/>
      <c r="E552"/>
      <c r="F552"/>
      <c r="G552"/>
    </row>
    <row r="553" spans="2:7" x14ac:dyDescent="0.25">
      <c r="B553"/>
      <c r="C553"/>
      <c r="D553"/>
      <c r="E553"/>
      <c r="F553"/>
      <c r="G553"/>
    </row>
    <row r="554" spans="2:7" x14ac:dyDescent="0.25">
      <c r="B554"/>
      <c r="C554"/>
      <c r="D554"/>
      <c r="E554"/>
      <c r="F554"/>
      <c r="G554"/>
    </row>
    <row r="555" spans="2:7" x14ac:dyDescent="0.25">
      <c r="B555"/>
      <c r="C555"/>
      <c r="D555"/>
      <c r="E555"/>
      <c r="F555"/>
      <c r="G555"/>
    </row>
    <row r="556" spans="2:7" x14ac:dyDescent="0.25">
      <c r="B556"/>
      <c r="C556"/>
      <c r="D556"/>
      <c r="E556"/>
      <c r="F556"/>
      <c r="G556"/>
    </row>
    <row r="557" spans="2:7" x14ac:dyDescent="0.25">
      <c r="B557"/>
      <c r="C557"/>
      <c r="D557"/>
      <c r="E557"/>
      <c r="F557"/>
      <c r="G557"/>
    </row>
    <row r="558" spans="2:7" x14ac:dyDescent="0.25">
      <c r="B558"/>
      <c r="C558"/>
      <c r="D558"/>
      <c r="E558"/>
      <c r="F558"/>
      <c r="G558"/>
    </row>
    <row r="559" spans="2:7" x14ac:dyDescent="0.25">
      <c r="B559"/>
      <c r="C559"/>
      <c r="D559"/>
      <c r="E559"/>
      <c r="F559"/>
      <c r="G559"/>
    </row>
    <row r="560" spans="2:7" x14ac:dyDescent="0.25">
      <c r="B560"/>
      <c r="C560"/>
      <c r="D560"/>
      <c r="E560"/>
      <c r="F560"/>
      <c r="G560"/>
    </row>
    <row r="561" spans="2:7" x14ac:dyDescent="0.25">
      <c r="B561"/>
      <c r="C561"/>
      <c r="D561"/>
      <c r="E561"/>
      <c r="F561"/>
      <c r="G561"/>
    </row>
    <row r="562" spans="2:7" x14ac:dyDescent="0.25">
      <c r="B562"/>
      <c r="C562"/>
      <c r="D562"/>
      <c r="E562"/>
      <c r="F562"/>
      <c r="G562"/>
    </row>
    <row r="563" spans="2:7" x14ac:dyDescent="0.25">
      <c r="B563"/>
      <c r="C563"/>
      <c r="D563"/>
      <c r="E563"/>
      <c r="F563"/>
      <c r="G563"/>
    </row>
    <row r="564" spans="2:7" x14ac:dyDescent="0.25">
      <c r="B564"/>
      <c r="C564"/>
      <c r="D564"/>
      <c r="E564"/>
      <c r="F564"/>
      <c r="G564"/>
    </row>
    <row r="565" spans="2:7" x14ac:dyDescent="0.25">
      <c r="B565"/>
      <c r="C565"/>
      <c r="D565"/>
      <c r="E565"/>
      <c r="F565"/>
      <c r="G565"/>
    </row>
    <row r="566" spans="2:7" x14ac:dyDescent="0.25">
      <c r="B566"/>
      <c r="C566"/>
      <c r="D566"/>
      <c r="E566"/>
      <c r="F566"/>
      <c r="G566"/>
    </row>
    <row r="567" spans="2:7" x14ac:dyDescent="0.25">
      <c r="B567"/>
      <c r="C567"/>
      <c r="D567"/>
      <c r="E567"/>
      <c r="F567"/>
      <c r="G567"/>
    </row>
    <row r="568" spans="2:7" x14ac:dyDescent="0.25">
      <c r="B568"/>
      <c r="C568"/>
      <c r="D568"/>
      <c r="E568"/>
      <c r="F568"/>
      <c r="G568"/>
    </row>
    <row r="569" spans="2:7" x14ac:dyDescent="0.25">
      <c r="B569"/>
      <c r="C569"/>
      <c r="D569"/>
      <c r="E569"/>
      <c r="F569"/>
      <c r="G569"/>
    </row>
    <row r="570" spans="2:7" x14ac:dyDescent="0.25">
      <c r="B570"/>
      <c r="C570"/>
      <c r="D570"/>
      <c r="E570"/>
      <c r="F570"/>
      <c r="G570"/>
    </row>
    <row r="571" spans="2:7" x14ac:dyDescent="0.25">
      <c r="B571"/>
      <c r="C571"/>
      <c r="D571"/>
      <c r="E571"/>
      <c r="F571"/>
      <c r="G571"/>
    </row>
    <row r="572" spans="2:7" x14ac:dyDescent="0.25">
      <c r="B572"/>
      <c r="C572"/>
      <c r="D572"/>
      <c r="E572"/>
      <c r="F572"/>
      <c r="G572"/>
    </row>
    <row r="573" spans="2:7" x14ac:dyDescent="0.25">
      <c r="B573"/>
      <c r="C573"/>
      <c r="D573"/>
      <c r="E573"/>
      <c r="F573"/>
      <c r="G573"/>
    </row>
    <row r="574" spans="2:7" x14ac:dyDescent="0.25">
      <c r="B574"/>
      <c r="C574"/>
      <c r="D574"/>
      <c r="E574"/>
      <c r="F574"/>
      <c r="G574"/>
    </row>
    <row r="575" spans="2:7" x14ac:dyDescent="0.25">
      <c r="B575"/>
      <c r="C575"/>
      <c r="D575"/>
      <c r="E575"/>
      <c r="F575"/>
      <c r="G575"/>
    </row>
    <row r="576" spans="2:7" x14ac:dyDescent="0.25">
      <c r="B576"/>
      <c r="C576"/>
      <c r="D576"/>
      <c r="E576"/>
      <c r="F576"/>
      <c r="G576"/>
    </row>
    <row r="577" spans="2:7" x14ac:dyDescent="0.25">
      <c r="B577"/>
      <c r="C577"/>
      <c r="D577"/>
      <c r="E577"/>
      <c r="F577"/>
      <c r="G577"/>
    </row>
    <row r="578" spans="2:7" x14ac:dyDescent="0.25">
      <c r="B578"/>
      <c r="C578"/>
      <c r="D578"/>
      <c r="E578"/>
      <c r="F578"/>
      <c r="G578"/>
    </row>
    <row r="579" spans="2:7" x14ac:dyDescent="0.25">
      <c r="B579"/>
      <c r="C579"/>
      <c r="D579"/>
      <c r="E579"/>
      <c r="F579"/>
      <c r="G579"/>
    </row>
    <row r="580" spans="2:7" x14ac:dyDescent="0.25">
      <c r="B580"/>
      <c r="C580"/>
      <c r="D580"/>
      <c r="E580"/>
      <c r="F580"/>
      <c r="G580"/>
    </row>
    <row r="581" spans="2:7" x14ac:dyDescent="0.25">
      <c r="B581"/>
      <c r="C581"/>
      <c r="D581"/>
      <c r="E581"/>
      <c r="F581"/>
      <c r="G581"/>
    </row>
    <row r="582" spans="2:7" x14ac:dyDescent="0.25">
      <c r="B582"/>
      <c r="C582"/>
      <c r="D582"/>
      <c r="E582"/>
      <c r="F582"/>
      <c r="G582"/>
    </row>
    <row r="583" spans="2:7" x14ac:dyDescent="0.25">
      <c r="B583"/>
      <c r="C583"/>
      <c r="D583"/>
      <c r="E583"/>
      <c r="F583"/>
      <c r="G583"/>
    </row>
    <row r="584" spans="2:7" x14ac:dyDescent="0.25">
      <c r="B584"/>
      <c r="C584"/>
      <c r="D584"/>
      <c r="E584"/>
      <c r="F584"/>
      <c r="G584"/>
    </row>
    <row r="585" spans="2:7" x14ac:dyDescent="0.25">
      <c r="B585"/>
      <c r="C585"/>
      <c r="D585"/>
      <c r="E585"/>
      <c r="F585"/>
      <c r="G585"/>
    </row>
    <row r="586" spans="2:7" x14ac:dyDescent="0.25">
      <c r="B586"/>
      <c r="C586"/>
      <c r="D586"/>
      <c r="E586"/>
      <c r="F586"/>
      <c r="G586"/>
    </row>
    <row r="587" spans="2:7" x14ac:dyDescent="0.25">
      <c r="B587"/>
      <c r="C587"/>
      <c r="D587"/>
      <c r="E587"/>
      <c r="F587"/>
      <c r="G587"/>
    </row>
    <row r="588" spans="2:7" x14ac:dyDescent="0.25">
      <c r="B588"/>
      <c r="C588"/>
      <c r="D588"/>
      <c r="E588"/>
      <c r="F588"/>
      <c r="G588"/>
    </row>
    <row r="589" spans="2:7" x14ac:dyDescent="0.25">
      <c r="B589"/>
      <c r="C589"/>
      <c r="D589"/>
      <c r="E589"/>
      <c r="F589"/>
      <c r="G589"/>
    </row>
    <row r="590" spans="2:7" x14ac:dyDescent="0.25">
      <c r="B590"/>
      <c r="C590"/>
      <c r="D590"/>
      <c r="E590"/>
      <c r="F590"/>
      <c r="G590"/>
    </row>
    <row r="591" spans="2:7" x14ac:dyDescent="0.25">
      <c r="B591"/>
      <c r="C591"/>
      <c r="D591"/>
      <c r="E591"/>
      <c r="F591"/>
      <c r="G591"/>
    </row>
    <row r="592" spans="2:7" x14ac:dyDescent="0.25">
      <c r="B592"/>
      <c r="C592"/>
      <c r="D592"/>
      <c r="E592"/>
      <c r="F592"/>
      <c r="G592"/>
    </row>
    <row r="593" spans="2:7" x14ac:dyDescent="0.25">
      <c r="B593"/>
      <c r="C593"/>
      <c r="D593"/>
      <c r="E593"/>
      <c r="F593"/>
      <c r="G593"/>
    </row>
    <row r="594" spans="2:7" x14ac:dyDescent="0.25">
      <c r="B594"/>
      <c r="C594"/>
      <c r="D594"/>
      <c r="E594"/>
      <c r="F594"/>
      <c r="G594"/>
    </row>
    <row r="595" spans="2:7" x14ac:dyDescent="0.25">
      <c r="B595"/>
      <c r="C595"/>
      <c r="D595"/>
      <c r="E595"/>
      <c r="F595"/>
      <c r="G595"/>
    </row>
    <row r="596" spans="2:7" x14ac:dyDescent="0.25">
      <c r="B596"/>
      <c r="C596"/>
      <c r="D596"/>
      <c r="E596"/>
      <c r="F596"/>
      <c r="G596"/>
    </row>
    <row r="597" spans="2:7" x14ac:dyDescent="0.25">
      <c r="B597"/>
      <c r="C597"/>
      <c r="D597"/>
      <c r="E597"/>
      <c r="F597"/>
      <c r="G597"/>
    </row>
    <row r="598" spans="2:7" x14ac:dyDescent="0.25">
      <c r="B598"/>
      <c r="C598"/>
      <c r="D598"/>
      <c r="E598"/>
      <c r="F598"/>
      <c r="G598"/>
    </row>
    <row r="599" spans="2:7" x14ac:dyDescent="0.25">
      <c r="B599"/>
      <c r="C599"/>
      <c r="D599"/>
      <c r="E599"/>
      <c r="F599"/>
      <c r="G599"/>
    </row>
    <row r="600" spans="2:7" x14ac:dyDescent="0.25">
      <c r="B600"/>
      <c r="C600"/>
      <c r="D600"/>
      <c r="E600"/>
      <c r="F600"/>
      <c r="G600"/>
    </row>
    <row r="601" spans="2:7" x14ac:dyDescent="0.25">
      <c r="B601"/>
      <c r="C601"/>
      <c r="D601"/>
      <c r="E601"/>
      <c r="F601"/>
      <c r="G601"/>
    </row>
    <row r="602" spans="2:7" x14ac:dyDescent="0.25">
      <c r="B602"/>
      <c r="C602"/>
      <c r="D602"/>
      <c r="E602"/>
      <c r="F602"/>
      <c r="G602"/>
    </row>
    <row r="603" spans="2:7" x14ac:dyDescent="0.25">
      <c r="B603"/>
      <c r="C603"/>
      <c r="D603"/>
      <c r="E603"/>
      <c r="F603"/>
      <c r="G603"/>
    </row>
    <row r="604" spans="2:7" x14ac:dyDescent="0.25">
      <c r="B604"/>
      <c r="C604"/>
      <c r="D604"/>
      <c r="E604"/>
      <c r="F604"/>
      <c r="G604"/>
    </row>
    <row r="605" spans="2:7" x14ac:dyDescent="0.25">
      <c r="B605"/>
      <c r="C605"/>
      <c r="D605"/>
      <c r="E605"/>
      <c r="F605"/>
      <c r="G605"/>
    </row>
    <row r="606" spans="2:7" x14ac:dyDescent="0.25">
      <c r="B606"/>
      <c r="C606"/>
      <c r="D606"/>
      <c r="E606"/>
      <c r="F606"/>
      <c r="G606"/>
    </row>
    <row r="607" spans="2:7" x14ac:dyDescent="0.25">
      <c r="B607"/>
      <c r="C607"/>
      <c r="D607"/>
      <c r="E607"/>
      <c r="F607"/>
      <c r="G607"/>
    </row>
    <row r="608" spans="2:7" x14ac:dyDescent="0.25">
      <c r="B608"/>
      <c r="C608"/>
      <c r="D608"/>
      <c r="E608"/>
      <c r="F608"/>
      <c r="G608"/>
    </row>
    <row r="609" spans="2:7" x14ac:dyDescent="0.25">
      <c r="B609"/>
      <c r="C609"/>
      <c r="D609"/>
      <c r="E609"/>
      <c r="F609"/>
      <c r="G609"/>
    </row>
    <row r="610" spans="2:7" x14ac:dyDescent="0.25">
      <c r="B610"/>
      <c r="C610"/>
      <c r="D610"/>
      <c r="E610"/>
      <c r="F610"/>
      <c r="G610"/>
    </row>
    <row r="611" spans="2:7" x14ac:dyDescent="0.25">
      <c r="B611"/>
      <c r="C611"/>
      <c r="D611"/>
      <c r="E611"/>
      <c r="F611"/>
      <c r="G611"/>
    </row>
    <row r="612" spans="2:7" x14ac:dyDescent="0.25">
      <c r="B612"/>
      <c r="C612"/>
      <c r="D612"/>
      <c r="E612"/>
      <c r="F612"/>
      <c r="G612"/>
    </row>
    <row r="613" spans="2:7" x14ac:dyDescent="0.25">
      <c r="B613"/>
      <c r="C613"/>
      <c r="D613"/>
      <c r="E613"/>
      <c r="F613"/>
      <c r="G613"/>
    </row>
    <row r="614" spans="2:7" x14ac:dyDescent="0.25">
      <c r="B614"/>
      <c r="C614"/>
      <c r="D614"/>
      <c r="E614"/>
      <c r="F614"/>
      <c r="G614"/>
    </row>
    <row r="615" spans="2:7" x14ac:dyDescent="0.25">
      <c r="B615"/>
      <c r="C615"/>
      <c r="D615"/>
      <c r="E615"/>
      <c r="F615"/>
      <c r="G615"/>
    </row>
    <row r="616" spans="2:7" x14ac:dyDescent="0.25">
      <c r="B616"/>
      <c r="C616"/>
      <c r="D616"/>
      <c r="E616"/>
      <c r="F616"/>
      <c r="G616"/>
    </row>
    <row r="617" spans="2:7" x14ac:dyDescent="0.25">
      <c r="B617"/>
      <c r="C617"/>
      <c r="D617"/>
      <c r="E617"/>
      <c r="F617"/>
      <c r="G617"/>
    </row>
    <row r="618" spans="2:7" x14ac:dyDescent="0.25">
      <c r="B618"/>
      <c r="C618"/>
      <c r="D618"/>
      <c r="E618"/>
      <c r="F618"/>
      <c r="G618"/>
    </row>
    <row r="619" spans="2:7" x14ac:dyDescent="0.25">
      <c r="B619"/>
      <c r="C619"/>
      <c r="D619"/>
      <c r="E619"/>
      <c r="F619"/>
      <c r="G619"/>
    </row>
    <row r="620" spans="2:7" x14ac:dyDescent="0.25">
      <c r="B620"/>
      <c r="C620"/>
      <c r="D620"/>
      <c r="E620"/>
      <c r="F620"/>
      <c r="G620"/>
    </row>
    <row r="621" spans="2:7" x14ac:dyDescent="0.25">
      <c r="B621"/>
      <c r="C621"/>
      <c r="D621"/>
      <c r="E621"/>
      <c r="F621"/>
      <c r="G621"/>
    </row>
    <row r="622" spans="2:7" x14ac:dyDescent="0.25">
      <c r="B622"/>
      <c r="C622"/>
      <c r="D622"/>
      <c r="E622"/>
      <c r="F622"/>
      <c r="G622"/>
    </row>
    <row r="623" spans="2:7" x14ac:dyDescent="0.25">
      <c r="B623"/>
      <c r="C623"/>
      <c r="D623"/>
      <c r="E623"/>
      <c r="F623"/>
      <c r="G623"/>
    </row>
    <row r="624" spans="2:7" x14ac:dyDescent="0.25">
      <c r="B624"/>
      <c r="C624"/>
      <c r="D624"/>
      <c r="E624"/>
      <c r="F624"/>
      <c r="G624"/>
    </row>
    <row r="625" spans="2:7 16384:16384" x14ac:dyDescent="0.25">
      <c r="B625"/>
      <c r="C625"/>
      <c r="D625"/>
      <c r="E625"/>
      <c r="F625"/>
      <c r="G625"/>
    </row>
    <row r="626" spans="2:7 16384:16384" x14ac:dyDescent="0.25">
      <c r="B626"/>
      <c r="C626"/>
      <c r="D626"/>
      <c r="E626"/>
      <c r="F626"/>
      <c r="G626"/>
    </row>
    <row r="627" spans="2:7 16384:16384" x14ac:dyDescent="0.25">
      <c r="B627"/>
      <c r="C627"/>
      <c r="D627"/>
      <c r="E627"/>
      <c r="F627"/>
      <c r="G627"/>
    </row>
    <row r="628" spans="2:7 16384:16384" x14ac:dyDescent="0.25">
      <c r="B628"/>
      <c r="C628"/>
      <c r="D628"/>
      <c r="E628"/>
      <c r="F628"/>
      <c r="G628"/>
    </row>
    <row r="629" spans="2:7 16384:16384" x14ac:dyDescent="0.25">
      <c r="B629"/>
      <c r="C629"/>
      <c r="D629"/>
      <c r="E629"/>
      <c r="F629"/>
      <c r="G629"/>
    </row>
    <row r="630" spans="2:7 16384:16384" x14ac:dyDescent="0.25">
      <c r="B630"/>
      <c r="C630"/>
      <c r="D630"/>
      <c r="E630"/>
      <c r="F630"/>
      <c r="G630"/>
    </row>
    <row r="631" spans="2:7 16384:16384" x14ac:dyDescent="0.25">
      <c r="B631"/>
      <c r="C631"/>
      <c r="D631"/>
      <c r="E631"/>
      <c r="F631"/>
      <c r="G631"/>
    </row>
    <row r="632" spans="2:7 16384:16384" x14ac:dyDescent="0.25">
      <c r="B632"/>
      <c r="C632"/>
      <c r="D632"/>
      <c r="E632"/>
      <c r="F632"/>
      <c r="G632"/>
    </row>
    <row r="633" spans="2:7 16384:16384" x14ac:dyDescent="0.25">
      <c r="B633"/>
      <c r="C633"/>
      <c r="D633"/>
      <c r="E633"/>
      <c r="F633"/>
      <c r="G633"/>
    </row>
    <row r="634" spans="2:7 16384:16384" x14ac:dyDescent="0.25">
      <c r="B634"/>
      <c r="C634"/>
      <c r="D634"/>
      <c r="E634"/>
      <c r="F634"/>
      <c r="G634"/>
    </row>
    <row r="635" spans="2:7 16384:16384" x14ac:dyDescent="0.25">
      <c r="B635"/>
      <c r="C635"/>
      <c r="D635"/>
      <c r="E635"/>
      <c r="F635"/>
      <c r="G635"/>
    </row>
    <row r="636" spans="2:7 16384:16384" x14ac:dyDescent="0.25">
      <c r="B636"/>
      <c r="C636"/>
      <c r="D636"/>
      <c r="E636"/>
      <c r="F636"/>
      <c r="G636"/>
      <c r="XFD636" s="18"/>
    </row>
    <row r="637" spans="2:7 16384:16384" x14ac:dyDescent="0.25">
      <c r="B637"/>
      <c r="C637"/>
      <c r="D637"/>
      <c r="E637"/>
      <c r="F637"/>
      <c r="G637"/>
    </row>
    <row r="638" spans="2:7 16384:16384" x14ac:dyDescent="0.25">
      <c r="B638"/>
      <c r="C638"/>
      <c r="D638"/>
      <c r="E638"/>
      <c r="F638"/>
      <c r="G638"/>
    </row>
    <row r="639" spans="2:7 16384:16384" x14ac:dyDescent="0.25">
      <c r="B639"/>
      <c r="C639"/>
      <c r="D639"/>
      <c r="E639"/>
      <c r="F639"/>
      <c r="G639"/>
    </row>
    <row r="640" spans="2:7 16384:16384" x14ac:dyDescent="0.25">
      <c r="B640"/>
      <c r="C640"/>
      <c r="D640"/>
      <c r="E640"/>
      <c r="F640"/>
      <c r="G640"/>
    </row>
    <row r="641" spans="2:7" x14ac:dyDescent="0.25">
      <c r="B641"/>
      <c r="C641"/>
      <c r="D641"/>
      <c r="E641"/>
      <c r="F641"/>
      <c r="G641"/>
    </row>
    <row r="642" spans="2:7" x14ac:dyDescent="0.25">
      <c r="B642"/>
      <c r="C642"/>
      <c r="D642"/>
      <c r="E642"/>
      <c r="F642"/>
      <c r="G642"/>
    </row>
    <row r="643" spans="2:7" x14ac:dyDescent="0.25">
      <c r="B643"/>
      <c r="C643"/>
      <c r="D643"/>
      <c r="E643"/>
      <c r="F643"/>
      <c r="G643"/>
    </row>
    <row r="644" spans="2:7" x14ac:dyDescent="0.25">
      <c r="B644"/>
      <c r="C644"/>
      <c r="D644"/>
      <c r="E644"/>
      <c r="F644"/>
      <c r="G644"/>
    </row>
    <row r="645" spans="2:7" x14ac:dyDescent="0.25">
      <c r="B645"/>
      <c r="C645"/>
      <c r="D645"/>
      <c r="E645"/>
      <c r="F645"/>
      <c r="G645"/>
    </row>
    <row r="646" spans="2:7" x14ac:dyDescent="0.25">
      <c r="B646"/>
      <c r="C646"/>
      <c r="D646"/>
      <c r="E646"/>
      <c r="F646"/>
      <c r="G646"/>
    </row>
    <row r="647" spans="2:7" x14ac:dyDescent="0.25">
      <c r="B647"/>
      <c r="C647"/>
      <c r="D647"/>
      <c r="E647"/>
      <c r="F647"/>
      <c r="G647"/>
    </row>
    <row r="648" spans="2:7" x14ac:dyDescent="0.25">
      <c r="B648"/>
      <c r="C648"/>
      <c r="D648"/>
      <c r="E648"/>
      <c r="F648"/>
      <c r="G648"/>
    </row>
    <row r="649" spans="2:7" x14ac:dyDescent="0.25">
      <c r="B649"/>
      <c r="C649"/>
      <c r="D649"/>
      <c r="E649"/>
      <c r="F649"/>
      <c r="G649"/>
    </row>
    <row r="650" spans="2:7" x14ac:dyDescent="0.25">
      <c r="B650"/>
      <c r="C650"/>
      <c r="D650"/>
      <c r="E650"/>
      <c r="F650"/>
      <c r="G650"/>
    </row>
    <row r="651" spans="2:7" x14ac:dyDescent="0.25">
      <c r="B651"/>
      <c r="C651"/>
      <c r="D651"/>
      <c r="E651"/>
      <c r="F651"/>
      <c r="G651"/>
    </row>
    <row r="652" spans="2:7" x14ac:dyDescent="0.25">
      <c r="B652"/>
      <c r="C652"/>
      <c r="D652"/>
      <c r="E652"/>
      <c r="F652"/>
      <c r="G652"/>
    </row>
    <row r="653" spans="2:7" x14ac:dyDescent="0.25">
      <c r="B653"/>
      <c r="C653"/>
      <c r="D653"/>
      <c r="E653"/>
      <c r="F653"/>
      <c r="G653"/>
    </row>
    <row r="654" spans="2:7" x14ac:dyDescent="0.25">
      <c r="B654"/>
      <c r="C654"/>
      <c r="D654"/>
      <c r="E654"/>
      <c r="F654"/>
      <c r="G654"/>
    </row>
    <row r="655" spans="2:7" x14ac:dyDescent="0.25">
      <c r="B655"/>
      <c r="C655"/>
      <c r="D655"/>
      <c r="E655"/>
      <c r="F655"/>
      <c r="G655"/>
    </row>
    <row r="656" spans="2:7" x14ac:dyDescent="0.25">
      <c r="B656"/>
      <c r="C656"/>
      <c r="D656"/>
      <c r="E656"/>
      <c r="F656"/>
      <c r="G656"/>
    </row>
    <row r="657" spans="2:7" x14ac:dyDescent="0.25">
      <c r="B657"/>
      <c r="C657"/>
      <c r="D657"/>
      <c r="E657"/>
      <c r="F657"/>
      <c r="G657"/>
    </row>
    <row r="658" spans="2:7" x14ac:dyDescent="0.25">
      <c r="B658"/>
      <c r="C658"/>
      <c r="D658"/>
      <c r="E658"/>
      <c r="F658"/>
      <c r="G658"/>
    </row>
    <row r="659" spans="2:7" x14ac:dyDescent="0.25">
      <c r="B659"/>
      <c r="C659"/>
      <c r="D659"/>
      <c r="E659"/>
      <c r="F659"/>
      <c r="G659"/>
    </row>
    <row r="660" spans="2:7" x14ac:dyDescent="0.25">
      <c r="B660"/>
      <c r="C660"/>
      <c r="D660"/>
      <c r="E660"/>
      <c r="F660"/>
      <c r="G660"/>
    </row>
    <row r="661" spans="2:7" x14ac:dyDescent="0.25">
      <c r="B661"/>
      <c r="C661"/>
      <c r="D661"/>
      <c r="E661"/>
      <c r="F661"/>
      <c r="G661"/>
    </row>
    <row r="662" spans="2:7" x14ac:dyDescent="0.25">
      <c r="B662"/>
      <c r="C662"/>
      <c r="D662"/>
      <c r="E662"/>
      <c r="F662"/>
      <c r="G662"/>
    </row>
    <row r="663" spans="2:7" x14ac:dyDescent="0.25">
      <c r="B663"/>
      <c r="C663"/>
      <c r="D663"/>
      <c r="E663"/>
      <c r="F663"/>
      <c r="G663"/>
    </row>
    <row r="664" spans="2:7" x14ac:dyDescent="0.25">
      <c r="B664"/>
      <c r="C664"/>
      <c r="D664"/>
      <c r="E664"/>
      <c r="F664"/>
      <c r="G664"/>
    </row>
    <row r="665" spans="2:7" x14ac:dyDescent="0.25">
      <c r="B665"/>
      <c r="C665"/>
      <c r="D665"/>
      <c r="E665"/>
      <c r="F665"/>
      <c r="G665"/>
    </row>
    <row r="666" spans="2:7" x14ac:dyDescent="0.25">
      <c r="B666"/>
      <c r="C666"/>
      <c r="D666"/>
      <c r="E666"/>
      <c r="F666"/>
      <c r="G666"/>
    </row>
    <row r="667" spans="2:7" x14ac:dyDescent="0.25">
      <c r="B667"/>
      <c r="C667"/>
      <c r="D667"/>
      <c r="E667"/>
      <c r="F667"/>
      <c r="G667"/>
    </row>
    <row r="668" spans="2:7" x14ac:dyDescent="0.25">
      <c r="B668"/>
      <c r="C668"/>
      <c r="D668"/>
      <c r="E668"/>
      <c r="F668"/>
      <c r="G668"/>
    </row>
    <row r="669" spans="2:7" x14ac:dyDescent="0.25">
      <c r="B669"/>
      <c r="C669"/>
      <c r="D669"/>
      <c r="E669"/>
      <c r="F669"/>
      <c r="G669"/>
    </row>
    <row r="670" spans="2:7" x14ac:dyDescent="0.25">
      <c r="B670"/>
      <c r="C670"/>
      <c r="D670"/>
      <c r="E670"/>
      <c r="F670"/>
      <c r="G670"/>
    </row>
    <row r="671" spans="2:7" x14ac:dyDescent="0.25">
      <c r="B671"/>
      <c r="C671"/>
      <c r="D671"/>
      <c r="E671"/>
      <c r="F671"/>
      <c r="G671"/>
    </row>
    <row r="672" spans="2:7" x14ac:dyDescent="0.25">
      <c r="B672"/>
      <c r="C672"/>
      <c r="D672"/>
      <c r="E672"/>
      <c r="F672"/>
      <c r="G672"/>
    </row>
    <row r="673" spans="2:7" x14ac:dyDescent="0.25">
      <c r="B673"/>
      <c r="C673"/>
      <c r="D673"/>
      <c r="E673"/>
      <c r="F673"/>
      <c r="G673"/>
    </row>
    <row r="674" spans="2:7" x14ac:dyDescent="0.25">
      <c r="B674"/>
      <c r="C674"/>
      <c r="D674"/>
      <c r="E674"/>
      <c r="F674"/>
      <c r="G674"/>
    </row>
    <row r="675" spans="2:7" x14ac:dyDescent="0.25">
      <c r="B675"/>
      <c r="C675"/>
      <c r="D675"/>
      <c r="E675"/>
      <c r="F675"/>
      <c r="G675"/>
    </row>
    <row r="676" spans="2:7" x14ac:dyDescent="0.25">
      <c r="B676"/>
      <c r="C676"/>
      <c r="D676"/>
      <c r="E676"/>
      <c r="F676"/>
      <c r="G676"/>
    </row>
    <row r="677" spans="2:7" x14ac:dyDescent="0.25">
      <c r="B677"/>
      <c r="C677"/>
      <c r="D677"/>
      <c r="E677"/>
      <c r="F677"/>
      <c r="G677"/>
    </row>
    <row r="678" spans="2:7" x14ac:dyDescent="0.25">
      <c r="B678"/>
      <c r="C678"/>
      <c r="D678"/>
      <c r="E678"/>
      <c r="F678"/>
      <c r="G678"/>
    </row>
    <row r="679" spans="2:7" x14ac:dyDescent="0.25">
      <c r="B679"/>
      <c r="C679"/>
      <c r="D679"/>
      <c r="E679"/>
      <c r="F679"/>
      <c r="G679"/>
    </row>
    <row r="680" spans="2:7" x14ac:dyDescent="0.25">
      <c r="B680"/>
      <c r="C680"/>
      <c r="D680"/>
      <c r="E680"/>
      <c r="F680"/>
      <c r="G680"/>
    </row>
    <row r="681" spans="2:7" x14ac:dyDescent="0.25">
      <c r="B681"/>
      <c r="C681"/>
      <c r="D681"/>
      <c r="E681"/>
      <c r="F681"/>
      <c r="G681"/>
    </row>
    <row r="682" spans="2:7" x14ac:dyDescent="0.25">
      <c r="B682"/>
      <c r="C682"/>
      <c r="D682"/>
      <c r="E682"/>
      <c r="F682"/>
      <c r="G682"/>
    </row>
    <row r="683" spans="2:7" x14ac:dyDescent="0.25">
      <c r="B683"/>
      <c r="C683"/>
      <c r="D683"/>
      <c r="E683"/>
      <c r="F683"/>
      <c r="G683"/>
    </row>
    <row r="684" spans="2:7" x14ac:dyDescent="0.25">
      <c r="B684"/>
      <c r="C684"/>
      <c r="D684"/>
      <c r="E684"/>
      <c r="F684"/>
      <c r="G684"/>
    </row>
    <row r="685" spans="2:7" x14ac:dyDescent="0.25">
      <c r="B685"/>
      <c r="C685"/>
      <c r="D685"/>
      <c r="E685"/>
      <c r="F685"/>
      <c r="G685"/>
    </row>
    <row r="686" spans="2:7" x14ac:dyDescent="0.25">
      <c r="B686"/>
      <c r="C686"/>
      <c r="D686"/>
      <c r="E686"/>
      <c r="F686"/>
      <c r="G686"/>
    </row>
    <row r="687" spans="2:7" x14ac:dyDescent="0.25">
      <c r="B687"/>
      <c r="C687"/>
      <c r="D687"/>
      <c r="E687"/>
      <c r="F687"/>
      <c r="G687"/>
    </row>
    <row r="688" spans="2:7" x14ac:dyDescent="0.25">
      <c r="B688"/>
      <c r="C688"/>
      <c r="D688"/>
      <c r="E688"/>
      <c r="F688"/>
      <c r="G688"/>
    </row>
    <row r="689" spans="2:7" x14ac:dyDescent="0.25">
      <c r="B689"/>
      <c r="C689"/>
      <c r="D689"/>
      <c r="E689"/>
      <c r="F689"/>
      <c r="G689"/>
    </row>
    <row r="690" spans="2:7" x14ac:dyDescent="0.25">
      <c r="B690"/>
      <c r="C690"/>
      <c r="D690"/>
      <c r="E690"/>
      <c r="F690"/>
      <c r="G690"/>
    </row>
    <row r="691" spans="2:7" x14ac:dyDescent="0.25">
      <c r="B691"/>
      <c r="C691"/>
      <c r="D691"/>
      <c r="E691"/>
      <c r="F691"/>
      <c r="G691"/>
    </row>
    <row r="692" spans="2:7" x14ac:dyDescent="0.25">
      <c r="B692"/>
      <c r="C692"/>
      <c r="D692"/>
      <c r="E692"/>
      <c r="F692"/>
      <c r="G692"/>
    </row>
    <row r="693" spans="2:7" x14ac:dyDescent="0.25">
      <c r="B693"/>
      <c r="C693"/>
      <c r="D693"/>
      <c r="E693"/>
      <c r="F693"/>
      <c r="G693"/>
    </row>
    <row r="694" spans="2:7" x14ac:dyDescent="0.25">
      <c r="B694"/>
      <c r="C694"/>
      <c r="D694"/>
      <c r="E694"/>
      <c r="F694"/>
      <c r="G694"/>
    </row>
    <row r="695" spans="2:7" x14ac:dyDescent="0.25">
      <c r="B695"/>
      <c r="C695"/>
      <c r="D695"/>
      <c r="E695"/>
      <c r="F695"/>
      <c r="G695"/>
    </row>
    <row r="696" spans="2:7" x14ac:dyDescent="0.25">
      <c r="B696"/>
      <c r="C696"/>
      <c r="D696"/>
      <c r="E696"/>
      <c r="F696"/>
      <c r="G696"/>
    </row>
    <row r="697" spans="2:7" x14ac:dyDescent="0.25">
      <c r="B697"/>
      <c r="C697"/>
      <c r="D697"/>
      <c r="E697"/>
      <c r="F697"/>
      <c r="G697"/>
    </row>
    <row r="698" spans="2:7" x14ac:dyDescent="0.25">
      <c r="B698"/>
      <c r="C698"/>
      <c r="D698"/>
      <c r="E698"/>
      <c r="F698"/>
      <c r="G698"/>
    </row>
    <row r="699" spans="2:7" x14ac:dyDescent="0.25">
      <c r="B699"/>
      <c r="C699"/>
      <c r="D699"/>
      <c r="E699"/>
      <c r="F699"/>
      <c r="G699"/>
    </row>
    <row r="700" spans="2:7" x14ac:dyDescent="0.25">
      <c r="B700"/>
      <c r="C700"/>
      <c r="D700"/>
      <c r="E700"/>
      <c r="F700"/>
      <c r="G700"/>
    </row>
    <row r="701" spans="2:7" x14ac:dyDescent="0.25">
      <c r="B701"/>
      <c r="C701"/>
      <c r="D701"/>
      <c r="E701"/>
      <c r="F701"/>
      <c r="G701"/>
    </row>
    <row r="702" spans="2:7" x14ac:dyDescent="0.25">
      <c r="B702"/>
      <c r="C702"/>
      <c r="D702"/>
      <c r="E702"/>
      <c r="F702"/>
      <c r="G702"/>
    </row>
    <row r="703" spans="2:7" x14ac:dyDescent="0.25">
      <c r="B703"/>
      <c r="C703"/>
      <c r="D703"/>
      <c r="E703"/>
      <c r="F703"/>
      <c r="G703"/>
    </row>
    <row r="704" spans="2:7" x14ac:dyDescent="0.25">
      <c r="B704"/>
      <c r="C704"/>
      <c r="D704"/>
      <c r="E704"/>
      <c r="F704"/>
      <c r="G704"/>
    </row>
    <row r="705" spans="2:7" x14ac:dyDescent="0.25">
      <c r="B705"/>
      <c r="C705"/>
      <c r="D705"/>
      <c r="E705"/>
      <c r="F705"/>
      <c r="G705"/>
    </row>
    <row r="706" spans="2:7" x14ac:dyDescent="0.25">
      <c r="B706"/>
      <c r="C706"/>
      <c r="D706"/>
      <c r="E706"/>
      <c r="F706"/>
      <c r="G706"/>
    </row>
    <row r="707" spans="2:7" x14ac:dyDescent="0.25">
      <c r="B707"/>
      <c r="C707"/>
      <c r="D707"/>
      <c r="E707"/>
      <c r="F707"/>
      <c r="G707"/>
    </row>
    <row r="708" spans="2:7" x14ac:dyDescent="0.25">
      <c r="B708"/>
      <c r="C708"/>
      <c r="D708"/>
      <c r="E708"/>
      <c r="F708"/>
      <c r="G708"/>
    </row>
    <row r="709" spans="2:7" x14ac:dyDescent="0.25">
      <c r="B709"/>
      <c r="C709"/>
      <c r="D709"/>
      <c r="E709"/>
      <c r="F709"/>
      <c r="G709"/>
    </row>
    <row r="710" spans="2:7" x14ac:dyDescent="0.25">
      <c r="B710"/>
      <c r="C710"/>
      <c r="D710"/>
      <c r="E710"/>
      <c r="F710"/>
      <c r="G710"/>
    </row>
    <row r="711" spans="2:7" x14ac:dyDescent="0.25">
      <c r="B711"/>
      <c r="C711"/>
      <c r="D711"/>
      <c r="E711"/>
      <c r="F711"/>
      <c r="G711"/>
    </row>
    <row r="712" spans="2:7" x14ac:dyDescent="0.25">
      <c r="B712"/>
      <c r="C712"/>
      <c r="D712"/>
      <c r="E712"/>
      <c r="F712"/>
      <c r="G712"/>
    </row>
    <row r="713" spans="2:7" x14ac:dyDescent="0.25">
      <c r="B713"/>
      <c r="C713"/>
      <c r="D713"/>
      <c r="E713"/>
      <c r="F713"/>
      <c r="G713"/>
    </row>
    <row r="714" spans="2:7" x14ac:dyDescent="0.25">
      <c r="B714"/>
      <c r="C714"/>
      <c r="D714"/>
      <c r="E714"/>
      <c r="F714"/>
      <c r="G714"/>
    </row>
    <row r="715" spans="2:7" x14ac:dyDescent="0.25">
      <c r="B715"/>
      <c r="C715"/>
      <c r="D715"/>
      <c r="E715"/>
      <c r="F715"/>
      <c r="G715"/>
    </row>
    <row r="716" spans="2:7" x14ac:dyDescent="0.25">
      <c r="B716"/>
      <c r="C716"/>
      <c r="D716"/>
      <c r="E716"/>
      <c r="F716"/>
      <c r="G716"/>
    </row>
    <row r="717" spans="2:7" x14ac:dyDescent="0.25">
      <c r="B717"/>
      <c r="C717"/>
      <c r="D717"/>
      <c r="E717"/>
      <c r="F717"/>
      <c r="G717"/>
    </row>
    <row r="718" spans="2:7" x14ac:dyDescent="0.25">
      <c r="B718"/>
      <c r="C718"/>
      <c r="D718"/>
      <c r="E718"/>
      <c r="F718"/>
      <c r="G718"/>
    </row>
    <row r="719" spans="2:7" x14ac:dyDescent="0.25">
      <c r="B719"/>
      <c r="C719"/>
      <c r="D719"/>
      <c r="E719"/>
      <c r="F719"/>
      <c r="G719"/>
    </row>
    <row r="720" spans="2:7" x14ac:dyDescent="0.25">
      <c r="B720"/>
      <c r="C720"/>
      <c r="D720"/>
      <c r="E720"/>
      <c r="F720"/>
      <c r="G720"/>
    </row>
    <row r="721" spans="2:7" x14ac:dyDescent="0.25">
      <c r="B721"/>
      <c r="C721"/>
      <c r="D721"/>
      <c r="E721"/>
      <c r="F721"/>
      <c r="G721"/>
    </row>
    <row r="722" spans="2:7" x14ac:dyDescent="0.25">
      <c r="B722"/>
      <c r="C722"/>
      <c r="D722"/>
      <c r="E722"/>
      <c r="F722"/>
      <c r="G722"/>
    </row>
    <row r="723" spans="2:7" x14ac:dyDescent="0.25">
      <c r="B723"/>
      <c r="C723"/>
      <c r="D723"/>
      <c r="E723"/>
      <c r="F723"/>
      <c r="G723"/>
    </row>
    <row r="724" spans="2:7" x14ac:dyDescent="0.25">
      <c r="B724"/>
      <c r="C724"/>
      <c r="D724"/>
      <c r="E724"/>
      <c r="F724"/>
      <c r="G724"/>
    </row>
    <row r="725" spans="2:7" x14ac:dyDescent="0.25">
      <c r="B725"/>
      <c r="C725"/>
      <c r="D725"/>
      <c r="E725"/>
      <c r="F725"/>
      <c r="G725"/>
    </row>
    <row r="726" spans="2:7" x14ac:dyDescent="0.25">
      <c r="B726"/>
      <c r="C726"/>
      <c r="D726"/>
      <c r="E726"/>
      <c r="F726"/>
      <c r="G726"/>
    </row>
    <row r="727" spans="2:7" x14ac:dyDescent="0.25">
      <c r="B727"/>
      <c r="C727"/>
      <c r="D727"/>
      <c r="E727"/>
      <c r="F727"/>
      <c r="G727"/>
    </row>
    <row r="728" spans="2:7" x14ac:dyDescent="0.25">
      <c r="B728"/>
      <c r="C728"/>
      <c r="D728"/>
      <c r="E728"/>
      <c r="F728"/>
      <c r="G728"/>
    </row>
    <row r="729" spans="2:7" x14ac:dyDescent="0.25">
      <c r="B729"/>
      <c r="C729"/>
      <c r="D729"/>
      <c r="E729"/>
      <c r="F729"/>
      <c r="G729"/>
    </row>
    <row r="730" spans="2:7" x14ac:dyDescent="0.25">
      <c r="B730"/>
      <c r="C730"/>
      <c r="D730"/>
      <c r="E730"/>
      <c r="F730"/>
      <c r="G730"/>
    </row>
    <row r="731" spans="2:7" x14ac:dyDescent="0.25">
      <c r="B731"/>
      <c r="C731"/>
      <c r="D731"/>
      <c r="E731"/>
      <c r="F731"/>
      <c r="G731"/>
    </row>
    <row r="732" spans="2:7" x14ac:dyDescent="0.25">
      <c r="B732"/>
      <c r="C732"/>
      <c r="D732"/>
      <c r="E732"/>
      <c r="F732"/>
      <c r="G732"/>
    </row>
    <row r="733" spans="2:7" x14ac:dyDescent="0.25">
      <c r="B733"/>
      <c r="C733"/>
      <c r="D733"/>
      <c r="E733"/>
      <c r="F733"/>
      <c r="G733"/>
    </row>
    <row r="734" spans="2:7" x14ac:dyDescent="0.25">
      <c r="B734"/>
      <c r="C734"/>
      <c r="D734"/>
      <c r="E734"/>
      <c r="F734"/>
      <c r="G734"/>
    </row>
    <row r="735" spans="2:7" x14ac:dyDescent="0.25">
      <c r="B735"/>
      <c r="C735"/>
      <c r="D735"/>
      <c r="E735"/>
      <c r="F735"/>
      <c r="G735"/>
    </row>
    <row r="736" spans="2:7" x14ac:dyDescent="0.25">
      <c r="B736"/>
      <c r="C736"/>
      <c r="D736"/>
      <c r="E736"/>
      <c r="F736"/>
      <c r="G736"/>
    </row>
    <row r="737" spans="2:7" x14ac:dyDescent="0.25">
      <c r="B737"/>
      <c r="C737"/>
      <c r="D737"/>
      <c r="E737"/>
      <c r="F737"/>
      <c r="G737"/>
    </row>
    <row r="738" spans="2:7" x14ac:dyDescent="0.25">
      <c r="B738"/>
      <c r="C738"/>
      <c r="D738"/>
      <c r="E738"/>
      <c r="F738"/>
      <c r="G738"/>
    </row>
    <row r="739" spans="2:7" x14ac:dyDescent="0.25">
      <c r="B739"/>
      <c r="C739"/>
      <c r="D739"/>
      <c r="E739"/>
      <c r="F739"/>
      <c r="G739"/>
    </row>
    <row r="740" spans="2:7" x14ac:dyDescent="0.25">
      <c r="B740"/>
      <c r="C740"/>
      <c r="D740"/>
      <c r="E740"/>
      <c r="F740"/>
      <c r="G740"/>
    </row>
    <row r="741" spans="2:7" x14ac:dyDescent="0.25">
      <c r="B741"/>
      <c r="C741"/>
      <c r="D741"/>
      <c r="E741"/>
      <c r="F741"/>
      <c r="G741"/>
    </row>
    <row r="742" spans="2:7" x14ac:dyDescent="0.25">
      <c r="B742"/>
      <c r="C742"/>
      <c r="D742"/>
      <c r="E742"/>
      <c r="F742"/>
      <c r="G742"/>
    </row>
    <row r="743" spans="2:7" x14ac:dyDescent="0.25">
      <c r="B743"/>
      <c r="C743"/>
      <c r="D743"/>
      <c r="E743"/>
      <c r="F743"/>
      <c r="G743"/>
    </row>
    <row r="744" spans="2:7" x14ac:dyDescent="0.25">
      <c r="B744"/>
      <c r="C744"/>
      <c r="D744"/>
      <c r="E744"/>
      <c r="F744"/>
      <c r="G744"/>
    </row>
    <row r="745" spans="2:7" x14ac:dyDescent="0.25">
      <c r="B745"/>
      <c r="C745"/>
      <c r="D745"/>
      <c r="E745"/>
      <c r="F745"/>
      <c r="G745"/>
    </row>
    <row r="746" spans="2:7" x14ac:dyDescent="0.25">
      <c r="B746"/>
      <c r="C746"/>
      <c r="D746"/>
      <c r="E746"/>
      <c r="F746"/>
      <c r="G746"/>
    </row>
    <row r="747" spans="2:7" x14ac:dyDescent="0.25">
      <c r="B747"/>
      <c r="C747"/>
      <c r="D747"/>
      <c r="E747"/>
      <c r="F747"/>
      <c r="G747"/>
    </row>
    <row r="748" spans="2:7" x14ac:dyDescent="0.25">
      <c r="B748"/>
      <c r="C748"/>
      <c r="D748"/>
      <c r="E748"/>
      <c r="F748"/>
      <c r="G748"/>
    </row>
    <row r="749" spans="2:7" x14ac:dyDescent="0.25">
      <c r="B749"/>
      <c r="C749"/>
      <c r="D749"/>
      <c r="E749"/>
      <c r="F749"/>
      <c r="G749"/>
    </row>
    <row r="750" spans="2:7" x14ac:dyDescent="0.25">
      <c r="B750"/>
      <c r="C750"/>
      <c r="D750"/>
      <c r="E750"/>
      <c r="F750"/>
      <c r="G750"/>
    </row>
    <row r="751" spans="2:7" x14ac:dyDescent="0.25">
      <c r="B751"/>
      <c r="C751"/>
      <c r="D751"/>
      <c r="E751"/>
      <c r="F751"/>
      <c r="G751"/>
    </row>
    <row r="752" spans="2:7" x14ac:dyDescent="0.25">
      <c r="B752"/>
      <c r="C752"/>
      <c r="D752"/>
      <c r="E752"/>
      <c r="F752"/>
      <c r="G752"/>
    </row>
    <row r="753" spans="2:7" x14ac:dyDescent="0.25">
      <c r="B753"/>
      <c r="C753"/>
      <c r="D753"/>
      <c r="E753"/>
      <c r="F753"/>
      <c r="G753"/>
    </row>
    <row r="754" spans="2:7" x14ac:dyDescent="0.25">
      <c r="B754"/>
      <c r="C754"/>
      <c r="D754"/>
      <c r="E754"/>
      <c r="F754"/>
      <c r="G754"/>
    </row>
    <row r="755" spans="2:7" x14ac:dyDescent="0.25">
      <c r="B755"/>
      <c r="C755"/>
      <c r="D755"/>
      <c r="E755"/>
      <c r="F755"/>
      <c r="G755"/>
    </row>
    <row r="756" spans="2:7" x14ac:dyDescent="0.25">
      <c r="B756"/>
      <c r="C756"/>
      <c r="D756"/>
      <c r="E756"/>
      <c r="F756"/>
      <c r="G756"/>
    </row>
    <row r="757" spans="2:7" x14ac:dyDescent="0.25">
      <c r="B757"/>
      <c r="C757"/>
      <c r="D757"/>
      <c r="E757"/>
      <c r="F757"/>
      <c r="G757"/>
    </row>
    <row r="758" spans="2:7" x14ac:dyDescent="0.25">
      <c r="B758"/>
      <c r="C758"/>
      <c r="D758"/>
      <c r="E758"/>
      <c r="F758"/>
      <c r="G758"/>
    </row>
    <row r="759" spans="2:7" x14ac:dyDescent="0.25">
      <c r="B759"/>
      <c r="C759"/>
      <c r="D759"/>
      <c r="E759"/>
      <c r="F759"/>
      <c r="G759"/>
    </row>
    <row r="760" spans="2:7" x14ac:dyDescent="0.25">
      <c r="B760"/>
      <c r="C760"/>
      <c r="D760"/>
      <c r="E760"/>
      <c r="F760"/>
      <c r="G760"/>
    </row>
    <row r="761" spans="2:7" x14ac:dyDescent="0.25">
      <c r="B761"/>
      <c r="C761"/>
      <c r="D761"/>
      <c r="E761"/>
      <c r="F761"/>
      <c r="G761"/>
    </row>
    <row r="762" spans="2:7" x14ac:dyDescent="0.25">
      <c r="B762"/>
      <c r="C762"/>
      <c r="D762"/>
      <c r="E762"/>
      <c r="F762"/>
      <c r="G762"/>
    </row>
    <row r="763" spans="2:7" x14ac:dyDescent="0.25">
      <c r="B763"/>
      <c r="C763"/>
      <c r="D763"/>
      <c r="E763"/>
      <c r="F763"/>
      <c r="G763"/>
    </row>
    <row r="764" spans="2:7" x14ac:dyDescent="0.25">
      <c r="B764"/>
      <c r="C764"/>
      <c r="D764"/>
      <c r="E764"/>
      <c r="F764"/>
      <c r="G764"/>
    </row>
    <row r="765" spans="2:7" x14ac:dyDescent="0.25">
      <c r="B765"/>
      <c r="C765"/>
      <c r="D765"/>
      <c r="E765"/>
      <c r="F765"/>
      <c r="G765"/>
    </row>
    <row r="766" spans="2:7" x14ac:dyDescent="0.25">
      <c r="B766"/>
      <c r="C766"/>
      <c r="D766"/>
      <c r="E766"/>
      <c r="F766"/>
      <c r="G766"/>
    </row>
    <row r="767" spans="2:7" x14ac:dyDescent="0.25">
      <c r="B767"/>
      <c r="C767"/>
      <c r="D767"/>
      <c r="E767"/>
      <c r="F767"/>
      <c r="G767"/>
    </row>
    <row r="768" spans="2:7" x14ac:dyDescent="0.25">
      <c r="B768"/>
      <c r="C768"/>
      <c r="D768"/>
      <c r="E768"/>
      <c r="F768"/>
      <c r="G768"/>
    </row>
    <row r="769" spans="2:7" x14ac:dyDescent="0.25">
      <c r="B769"/>
      <c r="C769"/>
      <c r="D769"/>
      <c r="E769"/>
      <c r="F769"/>
      <c r="G769"/>
    </row>
    <row r="770" spans="2:7" x14ac:dyDescent="0.25">
      <c r="B770"/>
      <c r="C770"/>
      <c r="D770"/>
      <c r="E770"/>
      <c r="F770"/>
      <c r="G770"/>
    </row>
    <row r="771" spans="2:7" x14ac:dyDescent="0.25">
      <c r="B771"/>
      <c r="C771"/>
      <c r="D771"/>
      <c r="E771"/>
      <c r="F771"/>
      <c r="G771"/>
    </row>
    <row r="772" spans="2:7" x14ac:dyDescent="0.25">
      <c r="B772"/>
      <c r="C772"/>
      <c r="D772"/>
      <c r="E772"/>
      <c r="F772"/>
      <c r="G772"/>
    </row>
    <row r="773" spans="2:7" x14ac:dyDescent="0.25">
      <c r="B773"/>
      <c r="C773"/>
      <c r="D773"/>
      <c r="E773"/>
      <c r="F773"/>
      <c r="G773"/>
    </row>
    <row r="774" spans="2:7" x14ac:dyDescent="0.25">
      <c r="B774"/>
      <c r="C774"/>
      <c r="D774"/>
      <c r="E774"/>
      <c r="F774"/>
      <c r="G774"/>
    </row>
    <row r="775" spans="2:7" x14ac:dyDescent="0.25">
      <c r="B775"/>
      <c r="C775"/>
      <c r="D775"/>
      <c r="E775"/>
      <c r="F775"/>
      <c r="G775"/>
    </row>
    <row r="776" spans="2:7" x14ac:dyDescent="0.25">
      <c r="B776"/>
      <c r="C776"/>
      <c r="D776"/>
      <c r="E776"/>
      <c r="F776"/>
      <c r="G776"/>
    </row>
    <row r="777" spans="2:7" x14ac:dyDescent="0.25">
      <c r="B777"/>
      <c r="C777"/>
      <c r="D777"/>
      <c r="E777"/>
      <c r="F777"/>
      <c r="G777"/>
    </row>
    <row r="778" spans="2:7" x14ac:dyDescent="0.25">
      <c r="B778"/>
      <c r="C778"/>
      <c r="D778"/>
      <c r="E778"/>
      <c r="F778"/>
      <c r="G778"/>
    </row>
    <row r="779" spans="2:7" x14ac:dyDescent="0.25">
      <c r="B779"/>
      <c r="C779"/>
      <c r="D779"/>
      <c r="E779"/>
      <c r="F779"/>
      <c r="G779"/>
    </row>
    <row r="780" spans="2:7" x14ac:dyDescent="0.25">
      <c r="B780"/>
      <c r="C780"/>
      <c r="D780"/>
      <c r="E780"/>
      <c r="F780"/>
      <c r="G780"/>
    </row>
    <row r="781" spans="2:7" x14ac:dyDescent="0.25">
      <c r="B781"/>
      <c r="C781"/>
      <c r="D781"/>
      <c r="E781"/>
      <c r="F781"/>
      <c r="G781"/>
    </row>
    <row r="782" spans="2:7" x14ac:dyDescent="0.25">
      <c r="B782"/>
      <c r="C782"/>
      <c r="D782"/>
      <c r="E782"/>
      <c r="F782"/>
      <c r="G782"/>
    </row>
    <row r="783" spans="2:7" x14ac:dyDescent="0.25">
      <c r="B783"/>
      <c r="C783"/>
      <c r="D783"/>
      <c r="E783"/>
      <c r="F783"/>
      <c r="G783"/>
    </row>
    <row r="784" spans="2:7" x14ac:dyDescent="0.25">
      <c r="B784"/>
      <c r="C784"/>
      <c r="D784"/>
      <c r="E784"/>
      <c r="F784"/>
      <c r="G784"/>
    </row>
    <row r="785" spans="2:11" x14ac:dyDescent="0.25">
      <c r="B785"/>
      <c r="C785"/>
      <c r="D785"/>
      <c r="E785"/>
      <c r="F785"/>
      <c r="G785"/>
    </row>
    <row r="786" spans="2:11" x14ac:dyDescent="0.25">
      <c r="B786"/>
      <c r="C786"/>
      <c r="D786"/>
      <c r="E786"/>
      <c r="F786"/>
      <c r="G786"/>
    </row>
    <row r="787" spans="2:11" x14ac:dyDescent="0.25">
      <c r="B787"/>
      <c r="C787"/>
      <c r="D787"/>
      <c r="E787"/>
      <c r="F787"/>
      <c r="G787"/>
    </row>
    <row r="788" spans="2:11" x14ac:dyDescent="0.25">
      <c r="B788"/>
      <c r="C788"/>
      <c r="D788"/>
      <c r="E788"/>
      <c r="F788"/>
      <c r="G788"/>
    </row>
    <row r="789" spans="2:11" x14ac:dyDescent="0.25">
      <c r="B789"/>
      <c r="C789"/>
      <c r="D789"/>
      <c r="E789"/>
      <c r="F789"/>
      <c r="G789"/>
    </row>
    <row r="790" spans="2:11" x14ac:dyDescent="0.25">
      <c r="B790"/>
      <c r="C790"/>
      <c r="D790"/>
      <c r="E790"/>
      <c r="F790"/>
      <c r="G790"/>
    </row>
    <row r="791" spans="2:11" x14ac:dyDescent="0.25">
      <c r="B791"/>
      <c r="C791"/>
      <c r="D791"/>
      <c r="E791"/>
      <c r="F791"/>
      <c r="G791"/>
    </row>
    <row r="792" spans="2:11" x14ac:dyDescent="0.25">
      <c r="B792"/>
      <c r="C792"/>
      <c r="D792"/>
      <c r="E792"/>
      <c r="F792"/>
      <c r="G792"/>
    </row>
    <row r="793" spans="2:11" x14ac:dyDescent="0.25">
      <c r="B793"/>
      <c r="C793"/>
      <c r="D793"/>
      <c r="E793"/>
      <c r="F793"/>
      <c r="G793"/>
      <c r="I793" s="18">
        <f>B793-B904</f>
        <v>0</v>
      </c>
      <c r="J793" s="18">
        <f>C793-C904</f>
        <v>0</v>
      </c>
      <c r="K793" t="e">
        <f>J793/I793</f>
        <v>#DIV/0!</v>
      </c>
    </row>
    <row r="794" spans="2:11" x14ac:dyDescent="0.25">
      <c r="B794"/>
      <c r="C794"/>
      <c r="D794"/>
      <c r="E794"/>
      <c r="F794"/>
      <c r="G794"/>
    </row>
    <row r="795" spans="2:11" x14ac:dyDescent="0.25">
      <c r="B795"/>
      <c r="C795"/>
      <c r="D795"/>
      <c r="E795"/>
      <c r="F795"/>
      <c r="G795"/>
    </row>
    <row r="796" spans="2:11" x14ac:dyDescent="0.25">
      <c r="B796"/>
      <c r="C796"/>
      <c r="D796"/>
      <c r="E796"/>
      <c r="F796"/>
      <c r="G796"/>
    </row>
    <row r="797" spans="2:11" x14ac:dyDescent="0.25">
      <c r="B797"/>
      <c r="C797"/>
      <c r="D797"/>
      <c r="E797"/>
      <c r="F797"/>
      <c r="G797"/>
    </row>
    <row r="798" spans="2:11" x14ac:dyDescent="0.25">
      <c r="B798"/>
      <c r="C798"/>
      <c r="D798"/>
      <c r="E798"/>
      <c r="F798"/>
      <c r="G798"/>
    </row>
    <row r="799" spans="2:11" x14ac:dyDescent="0.25">
      <c r="B799"/>
      <c r="C799"/>
      <c r="D799"/>
      <c r="E799"/>
      <c r="F799"/>
      <c r="G799"/>
    </row>
    <row r="800" spans="2:11" x14ac:dyDescent="0.25">
      <c r="B800"/>
      <c r="C800"/>
      <c r="D800"/>
      <c r="E800"/>
      <c r="F800"/>
      <c r="G800"/>
    </row>
    <row r="801" spans="2:7" x14ac:dyDescent="0.25">
      <c r="B801"/>
      <c r="C801"/>
      <c r="D801"/>
      <c r="E801"/>
      <c r="F801"/>
      <c r="G801"/>
    </row>
    <row r="802" spans="2:7" x14ac:dyDescent="0.25">
      <c r="B802"/>
      <c r="C802"/>
      <c r="D802"/>
      <c r="E802"/>
      <c r="F802"/>
      <c r="G802"/>
    </row>
    <row r="803" spans="2:7" x14ac:dyDescent="0.25">
      <c r="B803"/>
      <c r="C803"/>
      <c r="D803"/>
      <c r="E803"/>
      <c r="F803"/>
      <c r="G803"/>
    </row>
    <row r="804" spans="2:7" x14ac:dyDescent="0.25">
      <c r="B804"/>
      <c r="C804"/>
      <c r="D804"/>
      <c r="E804"/>
      <c r="F804"/>
      <c r="G804"/>
    </row>
    <row r="805" spans="2:7" x14ac:dyDescent="0.25">
      <c r="B805"/>
      <c r="C805"/>
      <c r="D805"/>
      <c r="E805"/>
      <c r="F805"/>
      <c r="G805"/>
    </row>
    <row r="806" spans="2:7" x14ac:dyDescent="0.25">
      <c r="B806"/>
      <c r="C806"/>
      <c r="D806"/>
      <c r="E806"/>
      <c r="F806"/>
      <c r="G806"/>
    </row>
    <row r="807" spans="2:7" x14ac:dyDescent="0.25">
      <c r="B807"/>
      <c r="C807"/>
      <c r="D807"/>
      <c r="E807"/>
      <c r="F807"/>
      <c r="G807"/>
    </row>
    <row r="808" spans="2:7" x14ac:dyDescent="0.25">
      <c r="B808"/>
      <c r="C808"/>
      <c r="D808"/>
      <c r="E808"/>
      <c r="F808"/>
      <c r="G808"/>
    </row>
    <row r="809" spans="2:7" x14ac:dyDescent="0.25">
      <c r="B809"/>
      <c r="C809"/>
      <c r="D809"/>
      <c r="E809"/>
      <c r="F809"/>
      <c r="G809"/>
    </row>
    <row r="810" spans="2:7" x14ac:dyDescent="0.25">
      <c r="B810"/>
      <c r="C810"/>
      <c r="D810"/>
      <c r="E810"/>
      <c r="F810"/>
      <c r="G810"/>
    </row>
    <row r="811" spans="2:7" x14ac:dyDescent="0.25">
      <c r="B811"/>
      <c r="C811"/>
      <c r="D811"/>
      <c r="E811"/>
      <c r="F811"/>
      <c r="G811"/>
    </row>
    <row r="812" spans="2:7" x14ac:dyDescent="0.25">
      <c r="B812"/>
      <c r="C812"/>
      <c r="D812"/>
      <c r="E812"/>
      <c r="F812"/>
      <c r="G812"/>
    </row>
    <row r="813" spans="2:7" x14ac:dyDescent="0.25">
      <c r="B813"/>
      <c r="C813"/>
      <c r="D813"/>
      <c r="E813"/>
      <c r="F813"/>
      <c r="G813"/>
    </row>
    <row r="814" spans="2:7" x14ac:dyDescent="0.25">
      <c r="B814"/>
      <c r="C814"/>
      <c r="D814"/>
      <c r="E814"/>
      <c r="F814"/>
      <c r="G814"/>
    </row>
    <row r="815" spans="2:7" x14ac:dyDescent="0.25">
      <c r="B815"/>
      <c r="C815"/>
      <c r="D815"/>
      <c r="E815"/>
      <c r="F815"/>
      <c r="G815"/>
    </row>
    <row r="816" spans="2:7" x14ac:dyDescent="0.25">
      <c r="B816"/>
      <c r="C816"/>
      <c r="D816"/>
      <c r="E816"/>
      <c r="F816"/>
      <c r="G816"/>
    </row>
    <row r="817" spans="2:7" x14ac:dyDescent="0.25">
      <c r="B817"/>
      <c r="C817"/>
      <c r="D817"/>
      <c r="E817"/>
      <c r="F817"/>
      <c r="G817"/>
    </row>
    <row r="818" spans="2:7" x14ac:dyDescent="0.25">
      <c r="B818"/>
      <c r="C818"/>
      <c r="D818"/>
      <c r="E818"/>
      <c r="F818"/>
      <c r="G818"/>
    </row>
    <row r="819" spans="2:7" x14ac:dyDescent="0.25">
      <c r="B819"/>
      <c r="C819"/>
      <c r="D819"/>
      <c r="E819"/>
      <c r="F819"/>
      <c r="G819"/>
    </row>
    <row r="820" spans="2:7" x14ac:dyDescent="0.25">
      <c r="B820"/>
      <c r="C820"/>
      <c r="D820"/>
      <c r="E820"/>
      <c r="F820"/>
      <c r="G820"/>
    </row>
    <row r="821" spans="2:7" x14ac:dyDescent="0.25">
      <c r="B821"/>
      <c r="C821"/>
      <c r="D821"/>
      <c r="E821"/>
      <c r="F821"/>
      <c r="G821"/>
    </row>
    <row r="822" spans="2:7" x14ac:dyDescent="0.25">
      <c r="B822"/>
      <c r="C822"/>
      <c r="D822"/>
      <c r="E822"/>
      <c r="F822"/>
      <c r="G822"/>
    </row>
    <row r="823" spans="2:7" x14ac:dyDescent="0.25">
      <c r="B823"/>
      <c r="C823"/>
      <c r="D823"/>
      <c r="E823"/>
      <c r="F823"/>
      <c r="G823"/>
    </row>
    <row r="824" spans="2:7" x14ac:dyDescent="0.25">
      <c r="B824"/>
      <c r="C824"/>
      <c r="D824"/>
      <c r="E824"/>
      <c r="F824"/>
      <c r="G824"/>
    </row>
    <row r="825" spans="2:7" x14ac:dyDescent="0.25">
      <c r="B825"/>
      <c r="C825"/>
      <c r="D825"/>
      <c r="E825"/>
      <c r="F825"/>
      <c r="G825"/>
    </row>
    <row r="826" spans="2:7" x14ac:dyDescent="0.25">
      <c r="B826"/>
      <c r="C826"/>
      <c r="D826"/>
      <c r="E826"/>
      <c r="F826"/>
      <c r="G826"/>
    </row>
    <row r="827" spans="2:7" x14ac:dyDescent="0.25">
      <c r="B827"/>
      <c r="C827"/>
      <c r="D827"/>
      <c r="E827"/>
      <c r="F827"/>
      <c r="G827"/>
    </row>
    <row r="828" spans="2:7" x14ac:dyDescent="0.25">
      <c r="B828"/>
      <c r="C828"/>
      <c r="D828"/>
      <c r="E828"/>
      <c r="F828"/>
      <c r="G828"/>
    </row>
    <row r="829" spans="2:7" x14ac:dyDescent="0.25">
      <c r="B829"/>
      <c r="C829"/>
      <c r="D829"/>
      <c r="E829"/>
      <c r="F829"/>
      <c r="G829"/>
    </row>
    <row r="830" spans="2:7" x14ac:dyDescent="0.25">
      <c r="B830"/>
      <c r="C830"/>
      <c r="D830"/>
      <c r="E830"/>
      <c r="F830"/>
      <c r="G830"/>
    </row>
    <row r="831" spans="2:7" x14ac:dyDescent="0.25">
      <c r="B831"/>
      <c r="C831"/>
      <c r="D831"/>
      <c r="E831"/>
      <c r="F831"/>
      <c r="G831"/>
    </row>
    <row r="832" spans="2:7" x14ac:dyDescent="0.25">
      <c r="B832"/>
      <c r="C832"/>
      <c r="D832"/>
      <c r="E832"/>
      <c r="F832"/>
      <c r="G832"/>
    </row>
    <row r="833" spans="2:7" x14ac:dyDescent="0.25">
      <c r="B833"/>
      <c r="C833"/>
      <c r="D833"/>
      <c r="E833"/>
      <c r="F833"/>
      <c r="G833"/>
    </row>
    <row r="834" spans="2:7" x14ac:dyDescent="0.25">
      <c r="B834"/>
      <c r="C834"/>
      <c r="D834"/>
      <c r="E834"/>
      <c r="F834"/>
      <c r="G834"/>
    </row>
    <row r="835" spans="2:7" x14ac:dyDescent="0.25">
      <c r="B835"/>
      <c r="C835"/>
      <c r="D835"/>
      <c r="E835"/>
      <c r="F835"/>
      <c r="G835"/>
    </row>
    <row r="836" spans="2:7" x14ac:dyDescent="0.25">
      <c r="B836"/>
      <c r="C836"/>
      <c r="D836"/>
      <c r="E836"/>
      <c r="F836"/>
      <c r="G836"/>
    </row>
    <row r="837" spans="2:7" x14ac:dyDescent="0.25">
      <c r="B837"/>
      <c r="C837"/>
      <c r="D837"/>
      <c r="E837"/>
      <c r="F837"/>
      <c r="G837"/>
    </row>
    <row r="838" spans="2:7" x14ac:dyDescent="0.25">
      <c r="B838"/>
      <c r="C838"/>
      <c r="D838"/>
      <c r="E838"/>
      <c r="F838"/>
      <c r="G838"/>
    </row>
    <row r="839" spans="2:7" x14ac:dyDescent="0.25">
      <c r="B839"/>
      <c r="C839"/>
      <c r="D839"/>
      <c r="E839"/>
      <c r="F839"/>
      <c r="G839"/>
    </row>
    <row r="840" spans="2:7" x14ac:dyDescent="0.25">
      <c r="B840"/>
      <c r="C840"/>
      <c r="D840"/>
      <c r="E840"/>
      <c r="F840"/>
      <c r="G840"/>
    </row>
    <row r="841" spans="2:7" x14ac:dyDescent="0.25">
      <c r="B841"/>
      <c r="C841"/>
      <c r="D841"/>
      <c r="E841"/>
      <c r="F841"/>
      <c r="G841"/>
    </row>
    <row r="842" spans="2:7" x14ac:dyDescent="0.25">
      <c r="B842"/>
      <c r="C842"/>
      <c r="D842"/>
      <c r="E842"/>
      <c r="F842"/>
      <c r="G842"/>
    </row>
    <row r="843" spans="2:7" x14ac:dyDescent="0.25">
      <c r="B843"/>
      <c r="C843"/>
      <c r="D843"/>
      <c r="E843"/>
      <c r="F843"/>
      <c r="G843"/>
    </row>
    <row r="844" spans="2:7" x14ac:dyDescent="0.25">
      <c r="B844"/>
      <c r="C844"/>
      <c r="D844"/>
      <c r="E844"/>
      <c r="F844"/>
      <c r="G844"/>
    </row>
    <row r="845" spans="2:7" x14ac:dyDescent="0.25">
      <c r="B845"/>
      <c r="C845"/>
      <c r="D845"/>
      <c r="E845"/>
      <c r="F845"/>
      <c r="G845"/>
    </row>
    <row r="846" spans="2:7" x14ac:dyDescent="0.25">
      <c r="B846"/>
      <c r="C846"/>
      <c r="D846"/>
      <c r="E846"/>
      <c r="F846"/>
      <c r="G846"/>
    </row>
    <row r="847" spans="2:7" x14ac:dyDescent="0.25">
      <c r="B847"/>
      <c r="C847"/>
      <c r="D847"/>
      <c r="E847"/>
      <c r="F847"/>
      <c r="G847"/>
    </row>
    <row r="848" spans="2:7" x14ac:dyDescent="0.25">
      <c r="B848"/>
      <c r="C848"/>
      <c r="D848"/>
      <c r="E848"/>
      <c r="F848"/>
      <c r="G848"/>
    </row>
    <row r="849" spans="2:7" x14ac:dyDescent="0.25">
      <c r="B849"/>
      <c r="C849"/>
      <c r="D849"/>
      <c r="E849"/>
      <c r="F849"/>
      <c r="G849"/>
    </row>
    <row r="850" spans="2:7" x14ac:dyDescent="0.25">
      <c r="B850"/>
      <c r="C850"/>
      <c r="D850"/>
      <c r="E850"/>
      <c r="F850"/>
      <c r="G850"/>
    </row>
    <row r="851" spans="2:7" x14ac:dyDescent="0.25">
      <c r="B851"/>
      <c r="C851"/>
      <c r="D851"/>
      <c r="E851"/>
      <c r="F851"/>
      <c r="G851"/>
    </row>
    <row r="852" spans="2:7" x14ac:dyDescent="0.25">
      <c r="B852"/>
      <c r="C852"/>
      <c r="D852"/>
      <c r="E852"/>
      <c r="F852"/>
      <c r="G852"/>
    </row>
    <row r="853" spans="2:7" x14ac:dyDescent="0.25">
      <c r="B853"/>
      <c r="C853"/>
      <c r="D853"/>
      <c r="E853"/>
      <c r="F853"/>
      <c r="G853"/>
    </row>
    <row r="854" spans="2:7" x14ac:dyDescent="0.25">
      <c r="B854"/>
      <c r="C854"/>
      <c r="D854"/>
      <c r="E854"/>
      <c r="F854"/>
      <c r="G854"/>
    </row>
    <row r="855" spans="2:7" x14ac:dyDescent="0.25">
      <c r="B855"/>
      <c r="C855"/>
      <c r="D855"/>
      <c r="E855"/>
      <c r="F855"/>
      <c r="G855"/>
    </row>
    <row r="856" spans="2:7" x14ac:dyDescent="0.25">
      <c r="B856"/>
      <c r="C856"/>
      <c r="D856"/>
      <c r="E856"/>
      <c r="F856"/>
      <c r="G856"/>
    </row>
    <row r="857" spans="2:7" x14ac:dyDescent="0.25">
      <c r="B857"/>
      <c r="C857"/>
      <c r="D857"/>
      <c r="E857"/>
      <c r="F857"/>
      <c r="G857"/>
    </row>
    <row r="858" spans="2:7" x14ac:dyDescent="0.25">
      <c r="B858"/>
      <c r="C858"/>
      <c r="D858"/>
      <c r="E858"/>
      <c r="F858"/>
      <c r="G858"/>
    </row>
    <row r="859" spans="2:7" x14ac:dyDescent="0.25">
      <c r="B859"/>
      <c r="C859"/>
      <c r="D859"/>
      <c r="E859"/>
      <c r="F859"/>
      <c r="G859"/>
    </row>
    <row r="860" spans="2:7" x14ac:dyDescent="0.25">
      <c r="B860"/>
      <c r="C860"/>
      <c r="D860"/>
      <c r="E860"/>
      <c r="F860"/>
      <c r="G860"/>
    </row>
    <row r="861" spans="2:7" x14ac:dyDescent="0.25">
      <c r="B861"/>
      <c r="C861"/>
      <c r="D861"/>
      <c r="E861"/>
      <c r="F861"/>
      <c r="G861"/>
    </row>
    <row r="862" spans="2:7" x14ac:dyDescent="0.25">
      <c r="B862"/>
      <c r="C862"/>
      <c r="D862"/>
      <c r="E862"/>
      <c r="F862"/>
      <c r="G862"/>
    </row>
    <row r="863" spans="2:7" x14ac:dyDescent="0.25">
      <c r="B863"/>
      <c r="C863"/>
      <c r="D863"/>
      <c r="E863"/>
      <c r="F863"/>
      <c r="G863"/>
    </row>
    <row r="864" spans="2:7" x14ac:dyDescent="0.25">
      <c r="B864"/>
      <c r="C864"/>
      <c r="D864"/>
      <c r="E864"/>
      <c r="F864"/>
      <c r="G864"/>
    </row>
    <row r="865" spans="2:7" x14ac:dyDescent="0.25">
      <c r="B865"/>
      <c r="C865"/>
      <c r="D865"/>
      <c r="E865"/>
      <c r="F865"/>
      <c r="G865"/>
    </row>
    <row r="866" spans="2:7" x14ac:dyDescent="0.25">
      <c r="B866"/>
      <c r="C866"/>
      <c r="D866"/>
      <c r="E866"/>
      <c r="F866"/>
      <c r="G866"/>
    </row>
    <row r="867" spans="2:7" x14ac:dyDescent="0.25">
      <c r="B867"/>
      <c r="C867"/>
      <c r="D867"/>
      <c r="E867"/>
      <c r="F867"/>
      <c r="G867"/>
    </row>
    <row r="868" spans="2:7" x14ac:dyDescent="0.25">
      <c r="B868"/>
      <c r="C868"/>
      <c r="D868"/>
      <c r="E868"/>
      <c r="F868"/>
      <c r="G868"/>
    </row>
    <row r="869" spans="2:7" x14ac:dyDescent="0.25">
      <c r="B869"/>
      <c r="C869"/>
      <c r="D869"/>
      <c r="E869"/>
      <c r="F869"/>
      <c r="G869"/>
    </row>
    <row r="870" spans="2:7" x14ac:dyDescent="0.25">
      <c r="B870"/>
      <c r="C870"/>
      <c r="D870"/>
      <c r="E870"/>
      <c r="F870"/>
      <c r="G870"/>
    </row>
    <row r="871" spans="2:7" x14ac:dyDescent="0.25">
      <c r="B871"/>
      <c r="C871"/>
      <c r="D871"/>
      <c r="E871"/>
      <c r="F871"/>
      <c r="G871"/>
    </row>
    <row r="872" spans="2:7" x14ac:dyDescent="0.25">
      <c r="B872"/>
      <c r="C872"/>
      <c r="D872"/>
      <c r="E872"/>
      <c r="F872"/>
      <c r="G872"/>
    </row>
    <row r="873" spans="2:7" x14ac:dyDescent="0.25">
      <c r="B873"/>
      <c r="C873"/>
      <c r="D873"/>
      <c r="E873"/>
      <c r="F873"/>
      <c r="G873"/>
    </row>
    <row r="874" spans="2:7" x14ac:dyDescent="0.25">
      <c r="B874"/>
      <c r="C874"/>
      <c r="D874"/>
      <c r="E874"/>
      <c r="F874"/>
      <c r="G874"/>
    </row>
    <row r="875" spans="2:7" x14ac:dyDescent="0.25">
      <c r="B875"/>
      <c r="C875"/>
      <c r="D875"/>
      <c r="E875"/>
      <c r="F875"/>
      <c r="G875"/>
    </row>
    <row r="876" spans="2:7" x14ac:dyDescent="0.25">
      <c r="B876"/>
      <c r="C876"/>
      <c r="D876"/>
      <c r="E876"/>
      <c r="F876"/>
      <c r="G876"/>
    </row>
    <row r="877" spans="2:7" x14ac:dyDescent="0.25">
      <c r="B877"/>
      <c r="C877"/>
      <c r="D877"/>
      <c r="E877"/>
      <c r="F877"/>
      <c r="G877"/>
    </row>
    <row r="878" spans="2:7" x14ac:dyDescent="0.25">
      <c r="B878"/>
      <c r="C878"/>
      <c r="D878"/>
      <c r="E878"/>
      <c r="F878"/>
      <c r="G878"/>
    </row>
    <row r="879" spans="2:7" x14ac:dyDescent="0.25">
      <c r="B879"/>
      <c r="C879"/>
      <c r="D879"/>
      <c r="E879"/>
      <c r="F879"/>
      <c r="G879"/>
    </row>
    <row r="880" spans="2:7" x14ac:dyDescent="0.25">
      <c r="B880"/>
      <c r="C880"/>
      <c r="D880"/>
      <c r="E880"/>
      <c r="F880"/>
      <c r="G880"/>
    </row>
    <row r="881" spans="2:7" x14ac:dyDescent="0.25">
      <c r="B881"/>
      <c r="C881"/>
      <c r="D881"/>
      <c r="E881"/>
      <c r="F881"/>
      <c r="G881"/>
    </row>
    <row r="882" spans="2:7" x14ac:dyDescent="0.25">
      <c r="B882"/>
      <c r="C882"/>
      <c r="D882"/>
      <c r="E882"/>
      <c r="F882"/>
      <c r="G882"/>
    </row>
    <row r="883" spans="2:7" x14ac:dyDescent="0.25">
      <c r="B883"/>
      <c r="C883"/>
      <c r="D883"/>
      <c r="E883"/>
      <c r="F883"/>
      <c r="G883"/>
    </row>
    <row r="884" spans="2:7" x14ac:dyDescent="0.25">
      <c r="B884"/>
      <c r="C884"/>
      <c r="D884"/>
      <c r="E884"/>
      <c r="F884"/>
      <c r="G884"/>
    </row>
    <row r="885" spans="2:7" x14ac:dyDescent="0.25">
      <c r="B885"/>
      <c r="C885"/>
      <c r="D885"/>
      <c r="E885"/>
      <c r="F885"/>
      <c r="G885"/>
    </row>
    <row r="886" spans="2:7" x14ac:dyDescent="0.25">
      <c r="B886"/>
      <c r="C886"/>
      <c r="D886"/>
      <c r="E886"/>
      <c r="F886"/>
      <c r="G886"/>
    </row>
    <row r="887" spans="2:7" x14ac:dyDescent="0.25">
      <c r="B887"/>
      <c r="C887"/>
      <c r="D887"/>
      <c r="E887"/>
      <c r="F887"/>
      <c r="G887"/>
    </row>
    <row r="888" spans="2:7" x14ac:dyDescent="0.25">
      <c r="B888"/>
      <c r="C888"/>
      <c r="D888"/>
      <c r="E888"/>
      <c r="F888"/>
      <c r="G888"/>
    </row>
    <row r="889" spans="2:7" x14ac:dyDescent="0.25">
      <c r="B889"/>
      <c r="C889"/>
      <c r="D889"/>
      <c r="E889"/>
      <c r="F889"/>
      <c r="G889"/>
    </row>
    <row r="890" spans="2:7" x14ac:dyDescent="0.25">
      <c r="B890"/>
      <c r="C890"/>
      <c r="D890"/>
      <c r="E890"/>
      <c r="F890"/>
      <c r="G890"/>
    </row>
    <row r="891" spans="2:7" x14ac:dyDescent="0.25">
      <c r="B891"/>
      <c r="C891"/>
      <c r="D891"/>
      <c r="E891"/>
      <c r="F891"/>
      <c r="G891"/>
    </row>
    <row r="892" spans="2:7" x14ac:dyDescent="0.25">
      <c r="B892"/>
      <c r="C892"/>
      <c r="D892"/>
      <c r="E892"/>
      <c r="F892"/>
      <c r="G892"/>
    </row>
    <row r="893" spans="2:7" x14ac:dyDescent="0.25">
      <c r="B893"/>
      <c r="C893"/>
      <c r="D893"/>
      <c r="E893"/>
      <c r="F893"/>
      <c r="G893"/>
    </row>
    <row r="894" spans="2:7" x14ac:dyDescent="0.25">
      <c r="B894"/>
      <c r="C894"/>
      <c r="D894"/>
      <c r="E894"/>
      <c r="F894"/>
      <c r="G894"/>
    </row>
    <row r="895" spans="2:7" x14ac:dyDescent="0.25">
      <c r="B895"/>
      <c r="C895"/>
      <c r="D895"/>
      <c r="E895"/>
      <c r="F895"/>
      <c r="G895"/>
    </row>
    <row r="896" spans="2:7" x14ac:dyDescent="0.25">
      <c r="B896"/>
      <c r="C896"/>
      <c r="D896"/>
      <c r="E896"/>
      <c r="F896"/>
      <c r="G896"/>
    </row>
    <row r="897" spans="2:7" x14ac:dyDescent="0.25">
      <c r="B897"/>
      <c r="C897"/>
      <c r="D897"/>
      <c r="E897"/>
      <c r="F897"/>
      <c r="G897"/>
    </row>
    <row r="898" spans="2:7" x14ac:dyDescent="0.25">
      <c r="B898"/>
      <c r="C898"/>
      <c r="D898"/>
      <c r="E898"/>
      <c r="F898"/>
      <c r="G898"/>
    </row>
    <row r="899" spans="2:7" x14ac:dyDescent="0.25">
      <c r="B899"/>
      <c r="C899"/>
      <c r="D899"/>
      <c r="E899"/>
      <c r="F899"/>
      <c r="G899"/>
    </row>
    <row r="900" spans="2:7" x14ac:dyDescent="0.25">
      <c r="B900"/>
      <c r="C900"/>
      <c r="D900"/>
      <c r="E900"/>
      <c r="F900"/>
      <c r="G900"/>
    </row>
    <row r="901" spans="2:7" x14ac:dyDescent="0.25">
      <c r="B901"/>
      <c r="C901"/>
      <c r="D901"/>
      <c r="E901"/>
      <c r="F901"/>
      <c r="G901"/>
    </row>
    <row r="902" spans="2:7" x14ac:dyDescent="0.25">
      <c r="B902"/>
      <c r="C902"/>
      <c r="D902"/>
      <c r="E902"/>
      <c r="F902"/>
      <c r="G902"/>
    </row>
    <row r="903" spans="2:7" x14ac:dyDescent="0.25">
      <c r="B903"/>
      <c r="C903"/>
      <c r="D903"/>
      <c r="E903"/>
      <c r="F903"/>
      <c r="G903"/>
    </row>
    <row r="904" spans="2:7" x14ac:dyDescent="0.25">
      <c r="B904"/>
      <c r="C904"/>
      <c r="D904"/>
      <c r="E904"/>
      <c r="F904"/>
      <c r="G904"/>
    </row>
    <row r="905" spans="2:7" x14ac:dyDescent="0.25">
      <c r="B905"/>
      <c r="C905"/>
      <c r="D905"/>
      <c r="E905"/>
      <c r="F905"/>
      <c r="G905"/>
    </row>
    <row r="906" spans="2:7" x14ac:dyDescent="0.25">
      <c r="B906"/>
      <c r="C906"/>
      <c r="D906"/>
      <c r="E906"/>
      <c r="F906"/>
      <c r="G906"/>
    </row>
    <row r="907" spans="2:7" x14ac:dyDescent="0.25">
      <c r="B907"/>
      <c r="C907"/>
      <c r="D907"/>
      <c r="E907"/>
      <c r="F907"/>
      <c r="G907"/>
    </row>
    <row r="908" spans="2:7" x14ac:dyDescent="0.25">
      <c r="B908"/>
      <c r="C908"/>
      <c r="D908"/>
      <c r="E908"/>
      <c r="F908"/>
      <c r="G908"/>
    </row>
    <row r="909" spans="2:7" x14ac:dyDescent="0.25">
      <c r="B909"/>
      <c r="C909"/>
      <c r="D909"/>
      <c r="E909"/>
      <c r="F909"/>
      <c r="G909"/>
    </row>
    <row r="910" spans="2:7" x14ac:dyDescent="0.25">
      <c r="B910"/>
      <c r="C910"/>
      <c r="D910"/>
      <c r="E910"/>
      <c r="F910"/>
      <c r="G910"/>
    </row>
    <row r="911" spans="2:7" x14ac:dyDescent="0.25">
      <c r="B911"/>
      <c r="C911"/>
      <c r="D911"/>
      <c r="E911"/>
      <c r="F911"/>
      <c r="G911"/>
    </row>
    <row r="912" spans="2:7" x14ac:dyDescent="0.25">
      <c r="B912"/>
      <c r="C912"/>
      <c r="D912"/>
      <c r="E912"/>
      <c r="F912"/>
      <c r="G912"/>
    </row>
    <row r="913" spans="2:7" x14ac:dyDescent="0.25">
      <c r="B913"/>
      <c r="C913"/>
      <c r="D913"/>
      <c r="E913"/>
      <c r="F913"/>
      <c r="G913"/>
    </row>
    <row r="914" spans="2:7" x14ac:dyDescent="0.25">
      <c r="B914"/>
      <c r="C914"/>
      <c r="D914"/>
      <c r="E914"/>
      <c r="F914"/>
      <c r="G914"/>
    </row>
    <row r="915" spans="2:7" x14ac:dyDescent="0.25">
      <c r="B915"/>
      <c r="C915"/>
      <c r="D915"/>
      <c r="E915"/>
      <c r="F915"/>
      <c r="G915"/>
    </row>
  </sheetData>
  <mergeCells count="1">
    <mergeCell ref="A1:G1"/>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52D6-0A34-4166-9BB3-2BFB788B6737}">
  <sheetPr>
    <tabColor rgb="FFFFFF99"/>
  </sheetPr>
  <dimension ref="A1:U1626"/>
  <sheetViews>
    <sheetView zoomScaleNormal="100" workbookViewId="0">
      <pane xSplit="3" ySplit="1" topLeftCell="D1330" activePane="bottomRight" state="frozen"/>
      <selection pane="topRight" activeCell="D1" sqref="D1"/>
      <selection pane="bottomLeft" activeCell="A2" sqref="A2"/>
      <selection pane="bottomRight" activeCell="A1371" sqref="A1371"/>
    </sheetView>
  </sheetViews>
  <sheetFormatPr defaultRowHeight="15" x14ac:dyDescent="0.25"/>
  <cols>
    <col min="1" max="1" width="22" bestFit="1" customWidth="1"/>
    <col min="2" max="2" width="11.7109375" style="31" customWidth="1"/>
    <col min="3" max="3" width="12.42578125" style="32" customWidth="1"/>
    <col min="4" max="4" width="11.7109375" style="2" customWidth="1"/>
    <col min="5" max="5" width="18.140625" style="32" bestFit="1" customWidth="1"/>
    <col min="6" max="6" width="15.5703125" style="2" customWidth="1"/>
    <col min="7" max="7" width="36.28515625" style="2" bestFit="1" customWidth="1"/>
    <col min="8" max="8" width="10.85546875" style="25" bestFit="1" customWidth="1"/>
    <col min="9" max="9" width="20.42578125" style="7" bestFit="1" customWidth="1"/>
    <col min="10" max="10" width="15.42578125" style="6" bestFit="1" customWidth="1"/>
    <col min="11" max="11" width="16.140625" style="33" bestFit="1" customWidth="1"/>
    <col min="12" max="12" width="12.28515625" style="3" bestFit="1" customWidth="1"/>
    <col min="13" max="13" width="12.28515625" style="25" customWidth="1"/>
    <col min="14" max="14" width="38.28515625" style="53" customWidth="1"/>
    <col min="16" max="16" width="15" bestFit="1" customWidth="1"/>
  </cols>
  <sheetData>
    <row r="1" spans="1:21" s="2" customFormat="1" x14ac:dyDescent="0.25">
      <c r="A1" s="2" t="s">
        <v>50</v>
      </c>
      <c r="B1" s="31" t="s">
        <v>0</v>
      </c>
      <c r="C1" s="32" t="s">
        <v>1</v>
      </c>
      <c r="D1" s="2" t="s">
        <v>65</v>
      </c>
      <c r="E1" s="32" t="s">
        <v>3</v>
      </c>
      <c r="F1" s="2" t="s">
        <v>2</v>
      </c>
      <c r="G1" s="2" t="s">
        <v>16</v>
      </c>
      <c r="H1" s="25" t="s">
        <v>201</v>
      </c>
      <c r="I1" s="6" t="s">
        <v>46</v>
      </c>
      <c r="J1" s="6" t="s">
        <v>47</v>
      </c>
      <c r="K1" s="33" t="s">
        <v>48</v>
      </c>
      <c r="L1" s="3" t="s">
        <v>4</v>
      </c>
      <c r="M1" s="25" t="s">
        <v>200</v>
      </c>
      <c r="N1" s="52" t="s">
        <v>27</v>
      </c>
      <c r="R1" s="8" t="s">
        <v>45</v>
      </c>
      <c r="S1" s="10"/>
      <c r="T1" s="10"/>
      <c r="U1" s="10"/>
    </row>
    <row r="2" spans="1:21" ht="26.25" x14ac:dyDescent="0.25">
      <c r="A2" s="16" t="str">
        <f t="shared" ref="A2:A33" si="0">TEXT(B2,"mmmm")</f>
        <v>January</v>
      </c>
      <c r="B2" s="31">
        <v>43832</v>
      </c>
      <c r="C2" s="32" t="s">
        <v>25</v>
      </c>
      <c r="D2" s="9" t="str">
        <f t="shared" ref="D2:D65" si="1">CONCATENATE(B2," - ",C2)</f>
        <v>43832 - 1S</v>
      </c>
      <c r="E2" s="32" t="s">
        <v>9</v>
      </c>
      <c r="F2" s="2">
        <v>8000038</v>
      </c>
      <c r="G2" s="4" t="str">
        <f>IFERROR(VLOOKUP(F2,Lists!$C:$D,2,0), "N/A")</f>
        <v>TURTLES MILK CHOC PEC BITE SZ</v>
      </c>
      <c r="H2" s="26">
        <f>IFERROR(VLOOKUP(F2,Lists!$C:$E,3,0),0)</f>
        <v>1.9453399999999998</v>
      </c>
      <c r="I2" s="7">
        <f t="shared" ref="I2:I33" si="2">J2</f>
        <v>2839.2</v>
      </c>
      <c r="J2" s="6">
        <v>2839.2</v>
      </c>
      <c r="K2" s="33">
        <v>689</v>
      </c>
      <c r="L2" s="5">
        <f t="shared" ref="L2:L65" si="3">IFERROR((K2/J2),1)</f>
        <v>0.2426739926739927</v>
      </c>
      <c r="M2" s="26">
        <f t="shared" ref="M2:M65" si="4">K2*H2</f>
        <v>1340.33926</v>
      </c>
      <c r="N2" s="53" t="s">
        <v>28</v>
      </c>
      <c r="R2" s="9" t="s">
        <v>49</v>
      </c>
      <c r="S2" s="9"/>
      <c r="T2" s="9"/>
      <c r="U2" s="9"/>
    </row>
    <row r="3" spans="1:21" x14ac:dyDescent="0.25">
      <c r="A3" s="16" t="str">
        <f t="shared" si="0"/>
        <v>January</v>
      </c>
      <c r="B3" s="31">
        <v>43833</v>
      </c>
      <c r="C3" s="32" t="s">
        <v>25</v>
      </c>
      <c r="D3" s="9" t="str">
        <f t="shared" si="1"/>
        <v>43833 - 1S</v>
      </c>
      <c r="E3" s="32" t="s">
        <v>9</v>
      </c>
      <c r="F3" s="2">
        <v>8000038</v>
      </c>
      <c r="G3" s="4" t="str">
        <f>IFERROR(VLOOKUP(F3,Lists!$C:$D,2,0), "N/A")</f>
        <v>TURTLES MILK CHOC PEC BITE SZ</v>
      </c>
      <c r="H3" s="26">
        <f>IFERROR(VLOOKUP(F3,Lists!$C:$E,3,0),0)</f>
        <v>1.9453399999999998</v>
      </c>
      <c r="I3" s="7">
        <f t="shared" si="2"/>
        <v>5110.5600000000004</v>
      </c>
      <c r="J3" s="6">
        <v>5110.5600000000004</v>
      </c>
      <c r="K3" s="33">
        <v>408</v>
      </c>
      <c r="L3" s="5">
        <f t="shared" si="3"/>
        <v>7.9834695219310595E-2</v>
      </c>
      <c r="M3" s="26">
        <f t="shared" si="4"/>
        <v>793.69871999999998</v>
      </c>
      <c r="N3" s="53" t="s">
        <v>30</v>
      </c>
    </row>
    <row r="4" spans="1:21" x14ac:dyDescent="0.25">
      <c r="A4" s="16" t="str">
        <f t="shared" si="0"/>
        <v>January</v>
      </c>
      <c r="B4" s="31">
        <v>43836</v>
      </c>
      <c r="C4" s="32" t="s">
        <v>25</v>
      </c>
      <c r="D4" s="9" t="str">
        <f t="shared" si="1"/>
        <v>43836 - 1S</v>
      </c>
      <c r="E4" s="32" t="s">
        <v>9</v>
      </c>
      <c r="F4" s="2">
        <v>8000035</v>
      </c>
      <c r="G4" s="4" t="str">
        <f>IFERROR(VLOOKUP(F4,Lists!$C:$D,2,0), "N/A")</f>
        <v>TURTLES MILK CHOC ORIGINAL</v>
      </c>
      <c r="H4" s="26">
        <f>IFERROR(VLOOKUP(F4,Lists!$C:$E,3,0),0)</f>
        <v>1.89697</v>
      </c>
      <c r="I4" s="7">
        <f t="shared" si="2"/>
        <v>11302.4</v>
      </c>
      <c r="J4" s="6">
        <v>11302.4</v>
      </c>
      <c r="K4" s="33">
        <v>321</v>
      </c>
      <c r="L4" s="5">
        <f t="shared" si="3"/>
        <v>2.8401047565118912E-2</v>
      </c>
      <c r="M4" s="26">
        <f t="shared" si="4"/>
        <v>608.92737</v>
      </c>
    </row>
    <row r="5" spans="1:21" x14ac:dyDescent="0.25">
      <c r="A5" s="16" t="str">
        <f t="shared" si="0"/>
        <v>January</v>
      </c>
      <c r="B5" s="31">
        <v>43837</v>
      </c>
      <c r="C5" s="32" t="s">
        <v>25</v>
      </c>
      <c r="D5" s="9" t="str">
        <f t="shared" si="1"/>
        <v>43837 - 1S</v>
      </c>
      <c r="E5" s="32" t="s">
        <v>9</v>
      </c>
      <c r="F5" s="2">
        <v>8000035</v>
      </c>
      <c r="G5" s="4" t="str">
        <f>IFERROR(VLOOKUP(F5,Lists!$C:$D,2,0), "N/A")</f>
        <v>TURTLES MILK CHOC ORIGINAL</v>
      </c>
      <c r="H5" s="26">
        <f>IFERROR(VLOOKUP(F5,Lists!$C:$E,3,0),0)</f>
        <v>1.89697</v>
      </c>
      <c r="I5" s="7">
        <f t="shared" si="2"/>
        <v>11302.4</v>
      </c>
      <c r="J5" s="6">
        <v>11302.4</v>
      </c>
      <c r="K5" s="33">
        <v>181</v>
      </c>
      <c r="L5" s="5">
        <f t="shared" si="3"/>
        <v>1.6014297848244621E-2</v>
      </c>
      <c r="M5" s="26">
        <f t="shared" si="4"/>
        <v>343.35156999999998</v>
      </c>
    </row>
    <row r="6" spans="1:21" x14ac:dyDescent="0.25">
      <c r="A6" s="16" t="str">
        <f t="shared" si="0"/>
        <v>January</v>
      </c>
      <c r="B6" s="31">
        <v>43838</v>
      </c>
      <c r="C6" s="32" t="s">
        <v>25</v>
      </c>
      <c r="D6" s="9" t="str">
        <f t="shared" si="1"/>
        <v>43838 - 1S</v>
      </c>
      <c r="E6" s="32" t="s">
        <v>9</v>
      </c>
      <c r="F6" s="2">
        <v>8000035</v>
      </c>
      <c r="G6" s="4" t="str">
        <f>IFERROR(VLOOKUP(F6,Lists!$C:$D,2,0), "N/A")</f>
        <v>TURTLES MILK CHOC ORIGINAL</v>
      </c>
      <c r="H6" s="26">
        <f>IFERROR(VLOOKUP(F6,Lists!$C:$E,3,0),0)</f>
        <v>1.89697</v>
      </c>
      <c r="I6" s="7">
        <f t="shared" si="2"/>
        <v>9789.6</v>
      </c>
      <c r="J6" s="6">
        <v>9789.6</v>
      </c>
      <c r="K6" s="33">
        <v>274</v>
      </c>
      <c r="L6" s="5">
        <f t="shared" si="3"/>
        <v>2.7988886164909698E-2</v>
      </c>
      <c r="M6" s="26">
        <f t="shared" si="4"/>
        <v>519.76977999999997</v>
      </c>
    </row>
    <row r="7" spans="1:21" x14ac:dyDescent="0.25">
      <c r="A7" s="16" t="str">
        <f t="shared" si="0"/>
        <v>January</v>
      </c>
      <c r="B7" s="31">
        <v>43839</v>
      </c>
      <c r="C7" s="32" t="s">
        <v>25</v>
      </c>
      <c r="D7" s="9" t="str">
        <f t="shared" si="1"/>
        <v>43839 - 1S</v>
      </c>
      <c r="E7" s="32" t="s">
        <v>9</v>
      </c>
      <c r="F7" s="2">
        <v>8000035</v>
      </c>
      <c r="G7" s="4" t="str">
        <f>IFERROR(VLOOKUP(F7,Lists!$C:$D,2,0), "N/A")</f>
        <v>TURTLES MILK CHOC ORIGINAL</v>
      </c>
      <c r="H7" s="26">
        <f>IFERROR(VLOOKUP(F7,Lists!$C:$E,3,0),0)</f>
        <v>1.89697</v>
      </c>
      <c r="I7" s="7">
        <f t="shared" si="2"/>
        <v>9789.6</v>
      </c>
      <c r="J7" s="6">
        <v>9789.6</v>
      </c>
      <c r="K7" s="33">
        <v>211</v>
      </c>
      <c r="L7" s="5">
        <f t="shared" si="3"/>
        <v>2.1553485331372066E-2</v>
      </c>
      <c r="M7" s="26">
        <f t="shared" si="4"/>
        <v>400.26067</v>
      </c>
    </row>
    <row r="8" spans="1:21" x14ac:dyDescent="0.25">
      <c r="A8" s="16" t="str">
        <f t="shared" si="0"/>
        <v>January</v>
      </c>
      <c r="B8" s="31">
        <v>43840</v>
      </c>
      <c r="C8" s="32" t="s">
        <v>25</v>
      </c>
      <c r="D8" s="9" t="str">
        <f t="shared" si="1"/>
        <v>43840 - 1S</v>
      </c>
      <c r="E8" s="32" t="s">
        <v>9</v>
      </c>
      <c r="F8" s="2">
        <v>8000035</v>
      </c>
      <c r="G8" s="4" t="str">
        <f>IFERROR(VLOOKUP(F8,Lists!$C:$D,2,0), "N/A")</f>
        <v>TURTLES MILK CHOC ORIGINAL</v>
      </c>
      <c r="H8" s="26">
        <f>IFERROR(VLOOKUP(F8,Lists!$C:$E,3,0),0)</f>
        <v>1.89697</v>
      </c>
      <c r="I8" s="7">
        <f t="shared" si="2"/>
        <v>10589.6</v>
      </c>
      <c r="J8" s="6">
        <v>10589.6</v>
      </c>
      <c r="K8" s="33">
        <v>350</v>
      </c>
      <c r="L8" s="5">
        <f t="shared" si="3"/>
        <v>3.3051295610787942E-2</v>
      </c>
      <c r="M8" s="26">
        <f t="shared" si="4"/>
        <v>663.93950000000007</v>
      </c>
    </row>
    <row r="9" spans="1:21" x14ac:dyDescent="0.25">
      <c r="A9" s="16" t="str">
        <f t="shared" si="0"/>
        <v>January</v>
      </c>
      <c r="B9" s="31">
        <v>43843</v>
      </c>
      <c r="C9" s="32" t="s">
        <v>25</v>
      </c>
      <c r="D9" s="9" t="str">
        <f t="shared" si="1"/>
        <v>43843 - 1S</v>
      </c>
      <c r="E9" s="32" t="s">
        <v>9</v>
      </c>
      <c r="F9" s="2">
        <v>8000035</v>
      </c>
      <c r="G9" s="4" t="str">
        <f>IFERROR(VLOOKUP(F9,Lists!$C:$D,2,0), "N/A")</f>
        <v>TURTLES MILK CHOC ORIGINAL</v>
      </c>
      <c r="H9" s="26">
        <f>IFERROR(VLOOKUP(F9,Lists!$C:$E,3,0),0)</f>
        <v>1.89697</v>
      </c>
      <c r="I9" s="7">
        <f t="shared" si="2"/>
        <v>9266.4</v>
      </c>
      <c r="J9" s="6">
        <v>9266.4</v>
      </c>
      <c r="K9" s="33">
        <v>265</v>
      </c>
      <c r="L9" s="5">
        <f t="shared" si="3"/>
        <v>2.8597945264611933E-2</v>
      </c>
      <c r="M9" s="26">
        <f t="shared" si="4"/>
        <v>502.69704999999999</v>
      </c>
    </row>
    <row r="10" spans="1:21" ht="26.25" x14ac:dyDescent="0.25">
      <c r="A10" s="16" t="str">
        <f t="shared" si="0"/>
        <v>January</v>
      </c>
      <c r="B10" s="31">
        <v>43844</v>
      </c>
      <c r="C10" s="32" t="s">
        <v>25</v>
      </c>
      <c r="D10" s="9" t="str">
        <f t="shared" si="1"/>
        <v>43844 - 1S</v>
      </c>
      <c r="E10" s="32" t="s">
        <v>9</v>
      </c>
      <c r="F10" s="2">
        <v>8000035</v>
      </c>
      <c r="G10" s="4" t="str">
        <f>IFERROR(VLOOKUP(F10,Lists!$C:$D,2,0), "N/A")</f>
        <v>TURTLES MILK CHOC ORIGINAL</v>
      </c>
      <c r="H10" s="26">
        <f>IFERROR(VLOOKUP(F10,Lists!$C:$E,3,0),0)</f>
        <v>1.89697</v>
      </c>
      <c r="I10" s="7">
        <f t="shared" si="2"/>
        <v>6415.2</v>
      </c>
      <c r="J10" s="6">
        <v>6415.2</v>
      </c>
      <c r="K10" s="33">
        <v>413</v>
      </c>
      <c r="L10" s="5">
        <f t="shared" si="3"/>
        <v>6.437835141538846E-2</v>
      </c>
      <c r="M10" s="26">
        <f t="shared" si="4"/>
        <v>783.44861000000003</v>
      </c>
      <c r="N10" s="53" t="s">
        <v>32</v>
      </c>
    </row>
    <row r="11" spans="1:21" x14ac:dyDescent="0.25">
      <c r="A11" s="16" t="str">
        <f t="shared" si="0"/>
        <v>January</v>
      </c>
      <c r="B11" s="31">
        <v>43845</v>
      </c>
      <c r="C11" s="32" t="s">
        <v>25</v>
      </c>
      <c r="D11" s="9" t="str">
        <f t="shared" si="1"/>
        <v>43845 - 1S</v>
      </c>
      <c r="E11" s="32" t="s">
        <v>9</v>
      </c>
      <c r="F11" s="2">
        <v>8000035</v>
      </c>
      <c r="G11" s="4" t="str">
        <f>IFERROR(VLOOKUP(F11,Lists!$C:$D,2,0), "N/A")</f>
        <v>TURTLES MILK CHOC ORIGINAL</v>
      </c>
      <c r="H11" s="26">
        <f>IFERROR(VLOOKUP(F11,Lists!$C:$E,3,0),0)</f>
        <v>1.89697</v>
      </c>
      <c r="I11" s="7">
        <f t="shared" si="2"/>
        <v>7128</v>
      </c>
      <c r="J11" s="6">
        <v>7128</v>
      </c>
      <c r="K11" s="33">
        <v>434</v>
      </c>
      <c r="L11" s="5">
        <f t="shared" si="3"/>
        <v>6.0886644219977554E-2</v>
      </c>
      <c r="M11" s="26">
        <f t="shared" si="4"/>
        <v>823.28498000000002</v>
      </c>
      <c r="N11" s="53" t="s">
        <v>35</v>
      </c>
    </row>
    <row r="12" spans="1:21" x14ac:dyDescent="0.25">
      <c r="A12" s="16" t="str">
        <f t="shared" si="0"/>
        <v>January</v>
      </c>
      <c r="B12" s="31">
        <v>43846</v>
      </c>
      <c r="C12" s="32" t="s">
        <v>25</v>
      </c>
      <c r="D12" s="9" t="str">
        <f t="shared" si="1"/>
        <v>43846 - 1S</v>
      </c>
      <c r="E12" s="32" t="s">
        <v>9</v>
      </c>
      <c r="F12" s="2">
        <v>8000035</v>
      </c>
      <c r="G12" s="4" t="str">
        <f>IFERROR(VLOOKUP(F12,Lists!$C:$D,2,0), "N/A")</f>
        <v>TURTLES MILK CHOC ORIGINAL</v>
      </c>
      <c r="H12" s="26">
        <f>IFERROR(VLOOKUP(F12,Lists!$C:$E,3,0),0)</f>
        <v>1.89697</v>
      </c>
      <c r="I12" s="7">
        <f t="shared" si="2"/>
        <v>6415.2</v>
      </c>
      <c r="J12" s="6">
        <v>6415.2</v>
      </c>
      <c r="K12" s="33">
        <v>501</v>
      </c>
      <c r="L12" s="5">
        <f t="shared" si="3"/>
        <v>7.809577254021699E-2</v>
      </c>
      <c r="M12" s="26">
        <f t="shared" si="4"/>
        <v>950.38197000000002</v>
      </c>
    </row>
    <row r="13" spans="1:21" x14ac:dyDescent="0.25">
      <c r="A13" s="16" t="str">
        <f t="shared" si="0"/>
        <v>January</v>
      </c>
      <c r="B13" s="31">
        <v>43847</v>
      </c>
      <c r="C13" s="32" t="s">
        <v>25</v>
      </c>
      <c r="D13" s="9" t="str">
        <f t="shared" si="1"/>
        <v>43847 - 1S</v>
      </c>
      <c r="E13" s="32" t="s">
        <v>9</v>
      </c>
      <c r="F13" s="2">
        <v>8000035</v>
      </c>
      <c r="G13" s="4" t="str">
        <f>IFERROR(VLOOKUP(F13,Lists!$C:$D,2,0), "N/A")</f>
        <v>TURTLES MILK CHOC ORIGINAL</v>
      </c>
      <c r="H13" s="26">
        <f>IFERROR(VLOOKUP(F13,Lists!$C:$E,3,0),0)</f>
        <v>1.89697</v>
      </c>
      <c r="I13" s="7">
        <f t="shared" si="2"/>
        <v>1425.6</v>
      </c>
      <c r="J13" s="6">
        <v>1425.6</v>
      </c>
      <c r="K13" s="33">
        <v>358</v>
      </c>
      <c r="L13" s="5">
        <f t="shared" si="3"/>
        <v>0.25112233445566778</v>
      </c>
      <c r="M13" s="26">
        <f t="shared" si="4"/>
        <v>679.11526000000003</v>
      </c>
    </row>
    <row r="14" spans="1:21" x14ac:dyDescent="0.25">
      <c r="A14" s="16" t="str">
        <f t="shared" si="0"/>
        <v>January</v>
      </c>
      <c r="B14" s="31">
        <v>43852</v>
      </c>
      <c r="C14" s="32" t="s">
        <v>25</v>
      </c>
      <c r="D14" s="9" t="str">
        <f t="shared" si="1"/>
        <v>43852 - 1S</v>
      </c>
      <c r="E14" s="32" t="s">
        <v>9</v>
      </c>
      <c r="F14" s="2">
        <v>8000038</v>
      </c>
      <c r="G14" s="4" t="str">
        <f>IFERROR(VLOOKUP(F14,Lists!$C:$D,2,0), "N/A")</f>
        <v>TURTLES MILK CHOC PEC BITE SZ</v>
      </c>
      <c r="H14" s="26">
        <f>IFERROR(VLOOKUP(F14,Lists!$C:$E,3,0),0)</f>
        <v>1.9453399999999998</v>
      </c>
      <c r="I14" s="7">
        <f t="shared" si="2"/>
        <v>6246.24</v>
      </c>
      <c r="J14" s="6">
        <v>6246.24</v>
      </c>
      <c r="K14" s="33">
        <v>498</v>
      </c>
      <c r="L14" s="5">
        <f t="shared" si="3"/>
        <v>7.9727964343348959E-2</v>
      </c>
      <c r="M14" s="26">
        <f t="shared" si="4"/>
        <v>968.77931999999987</v>
      </c>
    </row>
    <row r="15" spans="1:21" x14ac:dyDescent="0.25">
      <c r="A15" s="16" t="str">
        <f t="shared" si="0"/>
        <v>January</v>
      </c>
      <c r="B15" s="31">
        <v>43853</v>
      </c>
      <c r="C15" s="32" t="s">
        <v>25</v>
      </c>
      <c r="D15" s="9" t="str">
        <f t="shared" si="1"/>
        <v>43853 - 1S</v>
      </c>
      <c r="E15" s="32" t="s">
        <v>9</v>
      </c>
      <c r="F15" s="2">
        <v>8000038</v>
      </c>
      <c r="G15" s="4" t="str">
        <f>IFERROR(VLOOKUP(F15,Lists!$C:$D,2,0), "N/A")</f>
        <v>TURTLES MILK CHOC PEC BITE SZ</v>
      </c>
      <c r="H15" s="26">
        <f>IFERROR(VLOOKUP(F15,Lists!$C:$E,3,0),0)</f>
        <v>1.9453399999999998</v>
      </c>
      <c r="I15" s="7">
        <f t="shared" si="2"/>
        <v>730.11</v>
      </c>
      <c r="J15" s="6">
        <v>730.11</v>
      </c>
      <c r="K15" s="33">
        <v>171</v>
      </c>
      <c r="L15" s="5">
        <f t="shared" si="3"/>
        <v>0.23421128323129392</v>
      </c>
      <c r="M15" s="26">
        <f t="shared" si="4"/>
        <v>332.65313999999995</v>
      </c>
    </row>
    <row r="16" spans="1:21" x14ac:dyDescent="0.25">
      <c r="A16" s="16" t="str">
        <f t="shared" si="0"/>
        <v>January</v>
      </c>
      <c r="B16" s="31">
        <v>43854</v>
      </c>
      <c r="C16" s="32" t="s">
        <v>25</v>
      </c>
      <c r="D16" s="9" t="str">
        <f t="shared" si="1"/>
        <v>43854 - 1S</v>
      </c>
      <c r="E16" s="32" t="s">
        <v>9</v>
      </c>
      <c r="F16" s="2">
        <v>8000038</v>
      </c>
      <c r="G16" s="4" t="str">
        <f>IFERROR(VLOOKUP(F16,Lists!$C:$D,2,0), "N/A")</f>
        <v>TURTLES MILK CHOC PEC BITE SZ</v>
      </c>
      <c r="H16" s="26">
        <f>IFERROR(VLOOKUP(F16,Lists!$C:$E,3,0),0)</f>
        <v>1.9453399999999998</v>
      </c>
      <c r="I16" s="7">
        <f t="shared" si="2"/>
        <v>1703.52</v>
      </c>
      <c r="J16" s="6">
        <v>1703.52</v>
      </c>
      <c r="K16" s="33">
        <v>120</v>
      </c>
      <c r="L16" s="5">
        <f t="shared" si="3"/>
        <v>7.0442378134685832E-2</v>
      </c>
      <c r="M16" s="26">
        <f t="shared" si="4"/>
        <v>233.44079999999997</v>
      </c>
    </row>
    <row r="17" spans="1:13" x14ac:dyDescent="0.25">
      <c r="A17" s="16" t="str">
        <f t="shared" si="0"/>
        <v>January</v>
      </c>
      <c r="B17" s="31">
        <v>43857</v>
      </c>
      <c r="C17" s="32" t="s">
        <v>25</v>
      </c>
      <c r="D17" s="9" t="str">
        <f t="shared" si="1"/>
        <v>43857 - 1S</v>
      </c>
      <c r="E17" s="32" t="s">
        <v>9</v>
      </c>
      <c r="F17" s="2">
        <v>8000038</v>
      </c>
      <c r="G17" s="4" t="str">
        <f>IFERROR(VLOOKUP(F17,Lists!$C:$D,2,0), "N/A")</f>
        <v>TURTLES MILK CHOC PEC BITE SZ</v>
      </c>
      <c r="H17" s="26">
        <f>IFERROR(VLOOKUP(F17,Lists!$C:$E,3,0),0)</f>
        <v>1.9453399999999998</v>
      </c>
      <c r="I17" s="7">
        <f t="shared" si="2"/>
        <v>5040</v>
      </c>
      <c r="J17" s="6">
        <v>5040</v>
      </c>
      <c r="K17" s="33">
        <v>67</v>
      </c>
      <c r="L17" s="5">
        <f t="shared" si="3"/>
        <v>1.3293650793650793E-2</v>
      </c>
      <c r="M17" s="26">
        <f t="shared" si="4"/>
        <v>130.33777999999998</v>
      </c>
    </row>
    <row r="18" spans="1:13" x14ac:dyDescent="0.25">
      <c r="A18" s="16" t="str">
        <f t="shared" si="0"/>
        <v>January</v>
      </c>
      <c r="B18" s="31">
        <v>43858</v>
      </c>
      <c r="C18" s="32" t="s">
        <v>25</v>
      </c>
      <c r="D18" s="9" t="str">
        <f t="shared" si="1"/>
        <v>43858 - 1S</v>
      </c>
      <c r="E18" s="32" t="s">
        <v>9</v>
      </c>
      <c r="F18" s="2">
        <v>8000038</v>
      </c>
      <c r="G18" s="4" t="str">
        <f>IFERROR(VLOOKUP(F18,Lists!$C:$D,2,0), "N/A")</f>
        <v>TURTLES MILK CHOC PEC BITE SZ</v>
      </c>
      <c r="H18" s="26">
        <f>IFERROR(VLOOKUP(F18,Lists!$C:$E,3,0),0)</f>
        <v>1.9453399999999998</v>
      </c>
      <c r="I18" s="7">
        <f t="shared" si="2"/>
        <v>7200</v>
      </c>
      <c r="J18" s="6">
        <v>7200</v>
      </c>
      <c r="K18" s="33">
        <v>257</v>
      </c>
      <c r="L18" s="5">
        <f t="shared" si="3"/>
        <v>3.5694444444444445E-2</v>
      </c>
      <c r="M18" s="26">
        <f t="shared" si="4"/>
        <v>499.95237999999995</v>
      </c>
    </row>
    <row r="19" spans="1:13" x14ac:dyDescent="0.25">
      <c r="A19" s="16" t="str">
        <f t="shared" si="0"/>
        <v>January</v>
      </c>
      <c r="B19" s="31">
        <v>43859</v>
      </c>
      <c r="C19" s="32" t="s">
        <v>25</v>
      </c>
      <c r="D19" s="9" t="str">
        <f t="shared" si="1"/>
        <v>43859 - 1S</v>
      </c>
      <c r="E19" s="32" t="s">
        <v>9</v>
      </c>
      <c r="F19" s="2">
        <v>8000038</v>
      </c>
      <c r="G19" s="4" t="str">
        <f>IFERROR(VLOOKUP(F19,Lists!$C:$D,2,0), "N/A")</f>
        <v>TURTLES MILK CHOC PEC BITE SZ</v>
      </c>
      <c r="H19" s="26">
        <f>IFERROR(VLOOKUP(F19,Lists!$C:$E,3,0),0)</f>
        <v>1.9453399999999998</v>
      </c>
      <c r="I19" s="7">
        <f t="shared" si="2"/>
        <v>6480</v>
      </c>
      <c r="J19" s="6">
        <v>6480</v>
      </c>
      <c r="K19" s="33">
        <v>303</v>
      </c>
      <c r="L19" s="5">
        <f t="shared" si="3"/>
        <v>4.6759259259259257E-2</v>
      </c>
      <c r="M19" s="26">
        <f t="shared" si="4"/>
        <v>589.43801999999994</v>
      </c>
    </row>
    <row r="20" spans="1:13" x14ac:dyDescent="0.25">
      <c r="A20" s="16" t="str">
        <f t="shared" si="0"/>
        <v>January</v>
      </c>
      <c r="B20" s="31">
        <v>43860</v>
      </c>
      <c r="C20" s="32" t="s">
        <v>25</v>
      </c>
      <c r="D20" s="9" t="str">
        <f t="shared" si="1"/>
        <v>43860 - 1S</v>
      </c>
      <c r="E20" s="32" t="s">
        <v>9</v>
      </c>
      <c r="F20" s="2">
        <v>8000038</v>
      </c>
      <c r="G20" s="4" t="str">
        <f>IFERROR(VLOOKUP(F20,Lists!$C:$D,2,0), "N/A")</f>
        <v>TURTLES MILK CHOC PEC BITE SZ</v>
      </c>
      <c r="H20" s="26">
        <f>IFERROR(VLOOKUP(F20,Lists!$C:$E,3,0),0)</f>
        <v>1.9453399999999998</v>
      </c>
      <c r="I20" s="7">
        <f t="shared" si="2"/>
        <v>7200</v>
      </c>
      <c r="J20" s="6">
        <v>7200</v>
      </c>
      <c r="K20" s="33">
        <v>215</v>
      </c>
      <c r="L20" s="5">
        <f t="shared" si="3"/>
        <v>2.9861111111111113E-2</v>
      </c>
      <c r="M20" s="26">
        <f t="shared" si="4"/>
        <v>418.24809999999997</v>
      </c>
    </row>
    <row r="21" spans="1:13" x14ac:dyDescent="0.25">
      <c r="A21" s="16" t="str">
        <f t="shared" si="0"/>
        <v>January</v>
      </c>
      <c r="B21" s="31">
        <v>43845</v>
      </c>
      <c r="C21" s="32" t="s">
        <v>25</v>
      </c>
      <c r="D21" s="9" t="str">
        <f t="shared" si="1"/>
        <v>43845 - 1S</v>
      </c>
      <c r="E21" s="32" t="s">
        <v>10</v>
      </c>
      <c r="F21" s="2">
        <v>8000039</v>
      </c>
      <c r="G21" s="4" t="str">
        <f>IFERROR(VLOOKUP(F21,Lists!$C:$D,2,0), "N/A")</f>
        <v>TURTLES MILK CHOC ORIG MINI</v>
      </c>
      <c r="H21" s="26">
        <f>IFERROR(VLOOKUP(F21,Lists!$C:$E,3,0),0)</f>
        <v>2.0602900000000002</v>
      </c>
      <c r="I21" s="7">
        <f t="shared" si="2"/>
        <v>4800</v>
      </c>
      <c r="J21" s="6">
        <v>4800</v>
      </c>
      <c r="K21" s="33">
        <v>0</v>
      </c>
      <c r="L21" s="5">
        <f t="shared" si="3"/>
        <v>0</v>
      </c>
      <c r="M21" s="26">
        <f t="shared" si="4"/>
        <v>0</v>
      </c>
    </row>
    <row r="22" spans="1:13" x14ac:dyDescent="0.25">
      <c r="A22" s="16" t="str">
        <f t="shared" si="0"/>
        <v>January</v>
      </c>
      <c r="B22" s="31">
        <v>43846</v>
      </c>
      <c r="C22" s="32" t="s">
        <v>25</v>
      </c>
      <c r="D22" s="9" t="str">
        <f t="shared" si="1"/>
        <v>43846 - 1S</v>
      </c>
      <c r="E22" s="32" t="s">
        <v>10</v>
      </c>
      <c r="F22" s="2">
        <v>8000039</v>
      </c>
      <c r="G22" s="4" t="str">
        <f>IFERROR(VLOOKUP(F22,Lists!$C:$D,2,0), "N/A")</f>
        <v>TURTLES MILK CHOC ORIG MINI</v>
      </c>
      <c r="H22" s="26">
        <f>IFERROR(VLOOKUP(F22,Lists!$C:$E,3,0),0)</f>
        <v>2.0602900000000002</v>
      </c>
      <c r="I22" s="7">
        <f t="shared" si="2"/>
        <v>9600</v>
      </c>
      <c r="J22" s="6">
        <v>9600</v>
      </c>
      <c r="K22" s="33">
        <v>0</v>
      </c>
      <c r="L22" s="5">
        <f t="shared" si="3"/>
        <v>0</v>
      </c>
      <c r="M22" s="26">
        <f t="shared" si="4"/>
        <v>0</v>
      </c>
    </row>
    <row r="23" spans="1:13" x14ac:dyDescent="0.25">
      <c r="A23" s="16" t="str">
        <f t="shared" si="0"/>
        <v>January</v>
      </c>
      <c r="B23" s="31">
        <v>43847</v>
      </c>
      <c r="C23" s="32" t="s">
        <v>25</v>
      </c>
      <c r="D23" s="9" t="str">
        <f t="shared" si="1"/>
        <v>43847 - 1S</v>
      </c>
      <c r="E23" s="32" t="s">
        <v>10</v>
      </c>
      <c r="F23" s="2">
        <v>8000039</v>
      </c>
      <c r="G23" s="4" t="str">
        <f>IFERROR(VLOOKUP(F23,Lists!$C:$D,2,0), "N/A")</f>
        <v>TURTLES MILK CHOC ORIG MINI</v>
      </c>
      <c r="H23" s="26">
        <f>IFERROR(VLOOKUP(F23,Lists!$C:$E,3,0),0)</f>
        <v>2.0602900000000002</v>
      </c>
      <c r="I23" s="7">
        <f t="shared" si="2"/>
        <v>8640</v>
      </c>
      <c r="J23" s="6">
        <v>8640</v>
      </c>
      <c r="K23" s="33">
        <v>37</v>
      </c>
      <c r="L23" s="5">
        <f t="shared" si="3"/>
        <v>4.2824074074074075E-3</v>
      </c>
      <c r="M23" s="26">
        <f t="shared" si="4"/>
        <v>76.230730000000008</v>
      </c>
    </row>
    <row r="24" spans="1:13" x14ac:dyDescent="0.25">
      <c r="A24" s="16" t="str">
        <f t="shared" si="0"/>
        <v>January</v>
      </c>
      <c r="B24" s="31">
        <v>43852</v>
      </c>
      <c r="C24" s="32" t="s">
        <v>25</v>
      </c>
      <c r="D24" s="9" t="str">
        <f t="shared" si="1"/>
        <v>43852 - 1S</v>
      </c>
      <c r="E24" s="32" t="s">
        <v>10</v>
      </c>
      <c r="F24" s="2">
        <v>8000039</v>
      </c>
      <c r="G24" s="4" t="str">
        <f>IFERROR(VLOOKUP(F24,Lists!$C:$D,2,0), "N/A")</f>
        <v>TURTLES MILK CHOC ORIG MINI</v>
      </c>
      <c r="H24" s="26">
        <f>IFERROR(VLOOKUP(F24,Lists!$C:$E,3,0),0)</f>
        <v>2.0602900000000002</v>
      </c>
      <c r="I24" s="7">
        <f t="shared" si="2"/>
        <v>8640</v>
      </c>
      <c r="J24" s="6">
        <v>8640</v>
      </c>
      <c r="K24" s="33">
        <v>251</v>
      </c>
      <c r="L24" s="5">
        <f t="shared" si="3"/>
        <v>2.9050925925925924E-2</v>
      </c>
      <c r="M24" s="26">
        <f t="shared" si="4"/>
        <v>517.13279</v>
      </c>
    </row>
    <row r="25" spans="1:13" x14ac:dyDescent="0.25">
      <c r="A25" s="16" t="str">
        <f t="shared" si="0"/>
        <v>January</v>
      </c>
      <c r="B25" s="31">
        <v>43853</v>
      </c>
      <c r="C25" s="32" t="s">
        <v>25</v>
      </c>
      <c r="D25" s="9" t="str">
        <f t="shared" si="1"/>
        <v>43853 - 1S</v>
      </c>
      <c r="E25" s="32" t="s">
        <v>10</v>
      </c>
      <c r="F25" s="2">
        <v>8000039</v>
      </c>
      <c r="G25" s="4" t="str">
        <f>IFERROR(VLOOKUP(F25,Lists!$C:$D,2,0), "N/A")</f>
        <v>TURTLES MILK CHOC ORIG MINI</v>
      </c>
      <c r="H25" s="26">
        <f>IFERROR(VLOOKUP(F25,Lists!$C:$E,3,0),0)</f>
        <v>2.0602900000000002</v>
      </c>
      <c r="I25" s="7">
        <f t="shared" si="2"/>
        <v>7680</v>
      </c>
      <c r="J25" s="6">
        <v>7680</v>
      </c>
      <c r="K25" s="33">
        <v>173</v>
      </c>
      <c r="L25" s="5">
        <f t="shared" si="3"/>
        <v>2.2526041666666666E-2</v>
      </c>
      <c r="M25" s="26">
        <f t="shared" si="4"/>
        <v>356.43017000000003</v>
      </c>
    </row>
    <row r="26" spans="1:13" x14ac:dyDescent="0.25">
      <c r="A26" s="16" t="str">
        <f t="shared" si="0"/>
        <v>January</v>
      </c>
      <c r="B26" s="31">
        <v>43844</v>
      </c>
      <c r="C26" s="32" t="s">
        <v>25</v>
      </c>
      <c r="D26" s="9" t="str">
        <f t="shared" si="1"/>
        <v>43844 - 1S</v>
      </c>
      <c r="E26" s="32" t="s">
        <v>11</v>
      </c>
      <c r="F26" s="2">
        <v>8000034</v>
      </c>
      <c r="G26" s="4" t="str">
        <f>IFERROR(VLOOKUP(F26,Lists!$C:$D,2,0), "N/A")</f>
        <v>KS MILK CHOC MACADAMIA</v>
      </c>
      <c r="H26" s="26">
        <f>IFERROR(VLOOKUP(F26,Lists!$C:$E,3,0),0)</f>
        <v>3.8560100000000004</v>
      </c>
      <c r="I26" s="7">
        <f t="shared" si="2"/>
        <v>6400</v>
      </c>
      <c r="J26" s="6">
        <v>6400</v>
      </c>
      <c r="K26" s="33">
        <v>68</v>
      </c>
      <c r="L26" s="5">
        <f t="shared" si="3"/>
        <v>1.0625000000000001E-2</v>
      </c>
      <c r="M26" s="26">
        <f t="shared" si="4"/>
        <v>262.20868000000002</v>
      </c>
    </row>
    <row r="27" spans="1:13" x14ac:dyDescent="0.25">
      <c r="A27" s="16" t="str">
        <f t="shared" si="0"/>
        <v>January</v>
      </c>
      <c r="B27" s="31">
        <v>43845</v>
      </c>
      <c r="C27" s="32" t="s">
        <v>25</v>
      </c>
      <c r="D27" s="9" t="str">
        <f t="shared" si="1"/>
        <v>43845 - 1S</v>
      </c>
      <c r="E27" s="32" t="s">
        <v>11</v>
      </c>
      <c r="F27" s="2">
        <v>8000034</v>
      </c>
      <c r="G27" s="4" t="str">
        <f>IFERROR(VLOOKUP(F27,Lists!$C:$D,2,0), "N/A")</f>
        <v>KS MILK CHOC MACADAMIA</v>
      </c>
      <c r="H27" s="26">
        <f>IFERROR(VLOOKUP(F27,Lists!$C:$E,3,0),0)</f>
        <v>3.8560100000000004</v>
      </c>
      <c r="I27" s="7">
        <f t="shared" si="2"/>
        <v>8000</v>
      </c>
      <c r="J27" s="6">
        <v>8000</v>
      </c>
      <c r="K27" s="33">
        <v>101</v>
      </c>
      <c r="L27" s="5">
        <f t="shared" si="3"/>
        <v>1.2625000000000001E-2</v>
      </c>
      <c r="M27" s="26">
        <f t="shared" si="4"/>
        <v>389.45701000000003</v>
      </c>
    </row>
    <row r="28" spans="1:13" x14ac:dyDescent="0.25">
      <c r="A28" s="16" t="str">
        <f t="shared" si="0"/>
        <v>January</v>
      </c>
      <c r="B28" s="31">
        <v>43846</v>
      </c>
      <c r="C28" s="32" t="s">
        <v>25</v>
      </c>
      <c r="D28" s="9" t="str">
        <f t="shared" si="1"/>
        <v>43846 - 1S</v>
      </c>
      <c r="E28" s="32" t="s">
        <v>11</v>
      </c>
      <c r="F28" s="2">
        <v>8000034</v>
      </c>
      <c r="G28" s="4" t="str">
        <f>IFERROR(VLOOKUP(F28,Lists!$C:$D,2,0), "N/A")</f>
        <v>KS MILK CHOC MACADAMIA</v>
      </c>
      <c r="H28" s="26">
        <f>IFERROR(VLOOKUP(F28,Lists!$C:$E,3,0),0)</f>
        <v>3.8560100000000004</v>
      </c>
      <c r="I28" s="7">
        <f t="shared" si="2"/>
        <v>8000</v>
      </c>
      <c r="J28" s="6">
        <v>8000</v>
      </c>
      <c r="K28" s="33">
        <v>66</v>
      </c>
      <c r="L28" s="5">
        <f t="shared" si="3"/>
        <v>8.2500000000000004E-3</v>
      </c>
      <c r="M28" s="26">
        <f t="shared" si="4"/>
        <v>254.49666000000002</v>
      </c>
    </row>
    <row r="29" spans="1:13" x14ac:dyDescent="0.25">
      <c r="A29" s="16" t="str">
        <f t="shared" si="0"/>
        <v>January</v>
      </c>
      <c r="B29" s="31">
        <v>43852</v>
      </c>
      <c r="C29" s="32" t="s">
        <v>25</v>
      </c>
      <c r="D29" s="9" t="str">
        <f t="shared" si="1"/>
        <v>43852 - 1S</v>
      </c>
      <c r="E29" s="32" t="s">
        <v>11</v>
      </c>
      <c r="F29" s="2">
        <v>8000034</v>
      </c>
      <c r="G29" s="4" t="str">
        <f>IFERROR(VLOOKUP(F29,Lists!$C:$D,2,0), "N/A")</f>
        <v>KS MILK CHOC MACADAMIA</v>
      </c>
      <c r="H29" s="26">
        <f>IFERROR(VLOOKUP(F29,Lists!$C:$E,3,0),0)</f>
        <v>3.8560100000000004</v>
      </c>
      <c r="I29" s="7">
        <f t="shared" si="2"/>
        <v>8000</v>
      </c>
      <c r="J29" s="6">
        <v>8000</v>
      </c>
      <c r="K29" s="33">
        <v>77</v>
      </c>
      <c r="L29" s="5">
        <f t="shared" si="3"/>
        <v>9.6249999999999999E-3</v>
      </c>
      <c r="M29" s="26">
        <f t="shared" si="4"/>
        <v>296.91277000000002</v>
      </c>
    </row>
    <row r="30" spans="1:13" x14ac:dyDescent="0.25">
      <c r="A30" s="16" t="str">
        <f t="shared" si="0"/>
        <v>January</v>
      </c>
      <c r="B30" s="31">
        <v>43853</v>
      </c>
      <c r="C30" s="32" t="s">
        <v>25</v>
      </c>
      <c r="D30" s="9" t="str">
        <f t="shared" si="1"/>
        <v>43853 - 1S</v>
      </c>
      <c r="E30" s="32" t="s">
        <v>11</v>
      </c>
      <c r="F30" s="2">
        <v>8000034</v>
      </c>
      <c r="G30" s="4" t="str">
        <f>IFERROR(VLOOKUP(F30,Lists!$C:$D,2,0), "N/A")</f>
        <v>KS MILK CHOC MACADAMIA</v>
      </c>
      <c r="H30" s="26">
        <f>IFERROR(VLOOKUP(F30,Lists!$C:$E,3,0),0)</f>
        <v>3.8560100000000004</v>
      </c>
      <c r="I30" s="7">
        <f t="shared" si="2"/>
        <v>5600</v>
      </c>
      <c r="J30" s="6">
        <v>5600</v>
      </c>
      <c r="K30" s="33">
        <v>274</v>
      </c>
      <c r="L30" s="5">
        <f t="shared" si="3"/>
        <v>4.8928571428571425E-2</v>
      </c>
      <c r="M30" s="26">
        <f t="shared" si="4"/>
        <v>1056.54674</v>
      </c>
    </row>
    <row r="31" spans="1:13" x14ac:dyDescent="0.25">
      <c r="A31" s="16" t="str">
        <f t="shared" si="0"/>
        <v>January</v>
      </c>
      <c r="B31" s="31">
        <v>43854</v>
      </c>
      <c r="C31" s="32" t="s">
        <v>25</v>
      </c>
      <c r="D31" s="9" t="str">
        <f t="shared" si="1"/>
        <v>43854 - 1S</v>
      </c>
      <c r="E31" s="32" t="s">
        <v>11</v>
      </c>
      <c r="F31" s="2">
        <v>8000034</v>
      </c>
      <c r="G31" s="4" t="str">
        <f>IFERROR(VLOOKUP(F31,Lists!$C:$D,2,0), "N/A")</f>
        <v>KS MILK CHOC MACADAMIA</v>
      </c>
      <c r="H31" s="26">
        <f>IFERROR(VLOOKUP(F31,Lists!$C:$E,3,0),0)</f>
        <v>3.8560100000000004</v>
      </c>
      <c r="I31" s="7">
        <f t="shared" si="2"/>
        <v>4800</v>
      </c>
      <c r="J31" s="6">
        <v>4800</v>
      </c>
      <c r="K31" s="33">
        <v>112</v>
      </c>
      <c r="L31" s="5">
        <f t="shared" si="3"/>
        <v>2.3333333333333334E-2</v>
      </c>
      <c r="M31" s="26">
        <f t="shared" si="4"/>
        <v>431.87312000000003</v>
      </c>
    </row>
    <row r="32" spans="1:13" x14ac:dyDescent="0.25">
      <c r="A32" s="16" t="str">
        <f t="shared" si="0"/>
        <v>January</v>
      </c>
      <c r="B32" s="31">
        <v>43858</v>
      </c>
      <c r="C32" s="32" t="s">
        <v>25</v>
      </c>
      <c r="D32" s="9" t="str">
        <f t="shared" si="1"/>
        <v>43858 - 1S</v>
      </c>
      <c r="E32" s="32" t="s">
        <v>11</v>
      </c>
      <c r="F32" s="2">
        <v>8000034</v>
      </c>
      <c r="G32" s="4" t="str">
        <f>IFERROR(VLOOKUP(F32,Lists!$C:$D,2,0), "N/A")</f>
        <v>KS MILK CHOC MACADAMIA</v>
      </c>
      <c r="H32" s="26">
        <f>IFERROR(VLOOKUP(F32,Lists!$C:$E,3,0),0)</f>
        <v>3.8560100000000004</v>
      </c>
      <c r="I32" s="7">
        <f t="shared" si="2"/>
        <v>3200</v>
      </c>
      <c r="J32" s="6">
        <v>3200</v>
      </c>
      <c r="K32" s="33">
        <v>67</v>
      </c>
      <c r="L32" s="5">
        <f t="shared" si="3"/>
        <v>2.0937500000000001E-2</v>
      </c>
      <c r="M32" s="26">
        <f t="shared" si="4"/>
        <v>258.35267000000005</v>
      </c>
    </row>
    <row r="33" spans="1:14" x14ac:dyDescent="0.25">
      <c r="A33" s="16" t="str">
        <f t="shared" si="0"/>
        <v>January</v>
      </c>
      <c r="B33" s="31">
        <v>43859</v>
      </c>
      <c r="C33" s="32" t="s">
        <v>25</v>
      </c>
      <c r="D33" s="9" t="str">
        <f t="shared" si="1"/>
        <v>43859 - 1S</v>
      </c>
      <c r="E33" s="32" t="s">
        <v>11</v>
      </c>
      <c r="F33" s="2">
        <v>8000034</v>
      </c>
      <c r="G33" s="4" t="str">
        <f>IFERROR(VLOOKUP(F33,Lists!$C:$D,2,0), "N/A")</f>
        <v>KS MILK CHOC MACADAMIA</v>
      </c>
      <c r="H33" s="26">
        <f>IFERROR(VLOOKUP(F33,Lists!$C:$E,3,0),0)</f>
        <v>3.8560100000000004</v>
      </c>
      <c r="I33" s="7">
        <f t="shared" si="2"/>
        <v>8000</v>
      </c>
      <c r="J33" s="6">
        <v>8000</v>
      </c>
      <c r="K33" s="33">
        <v>210</v>
      </c>
      <c r="L33" s="5">
        <f t="shared" si="3"/>
        <v>2.6249999999999999E-2</v>
      </c>
      <c r="M33" s="26">
        <f t="shared" si="4"/>
        <v>809.76210000000003</v>
      </c>
    </row>
    <row r="34" spans="1:14" ht="26.25" x14ac:dyDescent="0.25">
      <c r="A34" s="16" t="str">
        <f t="shared" ref="A34:A65" si="5">TEXT(B34,"mmmm")</f>
        <v>January</v>
      </c>
      <c r="B34" s="31">
        <v>43860</v>
      </c>
      <c r="C34" s="32" t="s">
        <v>25</v>
      </c>
      <c r="D34" s="9" t="str">
        <f t="shared" si="1"/>
        <v>43860 - 1S</v>
      </c>
      <c r="E34" s="32" t="s">
        <v>11</v>
      </c>
      <c r="F34" s="2">
        <v>8000034</v>
      </c>
      <c r="G34" s="4" t="str">
        <f>IFERROR(VLOOKUP(F34,Lists!$C:$D,2,0), "N/A")</f>
        <v>KS MILK CHOC MACADAMIA</v>
      </c>
      <c r="H34" s="26">
        <f>IFERROR(VLOOKUP(F34,Lists!$C:$E,3,0),0)</f>
        <v>3.8560100000000004</v>
      </c>
      <c r="I34" s="7">
        <f t="shared" ref="I34:I65" si="6">J34</f>
        <v>8000</v>
      </c>
      <c r="J34" s="6">
        <v>8000</v>
      </c>
      <c r="K34" s="33">
        <v>272</v>
      </c>
      <c r="L34" s="5">
        <f t="shared" si="3"/>
        <v>3.4000000000000002E-2</v>
      </c>
      <c r="M34" s="26">
        <f t="shared" si="4"/>
        <v>1048.8347200000001</v>
      </c>
      <c r="N34" s="53" t="s">
        <v>40</v>
      </c>
    </row>
    <row r="35" spans="1:14" x14ac:dyDescent="0.25">
      <c r="A35" s="16" t="str">
        <f t="shared" si="5"/>
        <v>January</v>
      </c>
      <c r="B35" s="31">
        <v>43861</v>
      </c>
      <c r="C35" s="32" t="s">
        <v>25</v>
      </c>
      <c r="D35" s="9" t="str">
        <f t="shared" si="1"/>
        <v>43861 - 1S</v>
      </c>
      <c r="E35" s="32" t="s">
        <v>11</v>
      </c>
      <c r="F35" s="2">
        <v>8000034</v>
      </c>
      <c r="G35" s="4" t="str">
        <f>IFERROR(VLOOKUP(F35,Lists!$C:$D,2,0), "N/A")</f>
        <v>KS MILK CHOC MACADAMIA</v>
      </c>
      <c r="H35" s="26">
        <f>IFERROR(VLOOKUP(F35,Lists!$C:$E,3,0),0)</f>
        <v>3.8560100000000004</v>
      </c>
      <c r="I35" s="7">
        <f t="shared" si="6"/>
        <v>7200</v>
      </c>
      <c r="J35" s="6">
        <v>7200</v>
      </c>
      <c r="K35" s="33">
        <v>20</v>
      </c>
      <c r="L35" s="5">
        <f t="shared" si="3"/>
        <v>2.7777777777777779E-3</v>
      </c>
      <c r="M35" s="26">
        <f t="shared" si="4"/>
        <v>77.120200000000011</v>
      </c>
    </row>
    <row r="36" spans="1:14" x14ac:dyDescent="0.25">
      <c r="A36" s="16" t="str">
        <f t="shared" si="5"/>
        <v>January</v>
      </c>
      <c r="B36" s="31">
        <v>43832</v>
      </c>
      <c r="C36" s="32" t="s">
        <v>25</v>
      </c>
      <c r="D36" s="9" t="str">
        <f t="shared" si="1"/>
        <v>43832 - 1S</v>
      </c>
      <c r="E36" s="32" t="s">
        <v>12</v>
      </c>
      <c r="F36" s="2">
        <v>8000055</v>
      </c>
      <c r="G36" s="4" t="str">
        <f>IFERROR(VLOOKUP(F36,Lists!$C:$D,2,0), "N/A")</f>
        <v>916.BF FLIPZ 25 LB BULK MILK CHOC</v>
      </c>
      <c r="H36" s="26">
        <f>IFERROR(VLOOKUP(F36,Lists!$C:$E,3,0),0)</f>
        <v>1.1520708</v>
      </c>
      <c r="I36" s="7">
        <f t="shared" si="6"/>
        <v>7000</v>
      </c>
      <c r="J36" s="6">
        <v>7000</v>
      </c>
      <c r="K36" s="33">
        <v>12</v>
      </c>
      <c r="L36" s="5">
        <f t="shared" si="3"/>
        <v>1.7142857142857142E-3</v>
      </c>
      <c r="M36" s="26">
        <f t="shared" si="4"/>
        <v>13.8248496</v>
      </c>
    </row>
    <row r="37" spans="1:14" x14ac:dyDescent="0.25">
      <c r="A37" s="16" t="str">
        <f t="shared" si="5"/>
        <v>January</v>
      </c>
      <c r="B37" s="31">
        <v>43833</v>
      </c>
      <c r="C37" s="32" t="s">
        <v>25</v>
      </c>
      <c r="D37" s="9" t="str">
        <f t="shared" si="1"/>
        <v>43833 - 1S</v>
      </c>
      <c r="E37" s="32" t="s">
        <v>12</v>
      </c>
      <c r="F37" s="2">
        <v>8000055</v>
      </c>
      <c r="G37" s="4" t="str">
        <f>IFERROR(VLOOKUP(F37,Lists!$C:$D,2,0), "N/A")</f>
        <v>916.BF FLIPZ 25 LB BULK MILK CHOC</v>
      </c>
      <c r="H37" s="26">
        <f>IFERROR(VLOOKUP(F37,Lists!$C:$E,3,0),0)</f>
        <v>1.1520708</v>
      </c>
      <c r="I37" s="7">
        <f t="shared" si="6"/>
        <v>5000</v>
      </c>
      <c r="J37" s="6">
        <v>5000</v>
      </c>
      <c r="K37" s="33">
        <v>2</v>
      </c>
      <c r="L37" s="5">
        <f t="shared" si="3"/>
        <v>4.0000000000000002E-4</v>
      </c>
      <c r="M37" s="26">
        <f t="shared" si="4"/>
        <v>2.3041415999999999</v>
      </c>
    </row>
    <row r="38" spans="1:14" x14ac:dyDescent="0.25">
      <c r="A38" s="16" t="str">
        <f t="shared" si="5"/>
        <v>January</v>
      </c>
      <c r="B38" s="31">
        <v>43834</v>
      </c>
      <c r="C38" s="32" t="s">
        <v>25</v>
      </c>
      <c r="D38" s="9" t="str">
        <f t="shared" si="1"/>
        <v>43834 - 1S</v>
      </c>
      <c r="E38" s="32" t="s">
        <v>12</v>
      </c>
      <c r="F38" s="2">
        <v>8000055</v>
      </c>
      <c r="G38" s="4" t="str">
        <f>IFERROR(VLOOKUP(F38,Lists!$C:$D,2,0), "N/A")</f>
        <v>916.BF FLIPZ 25 LB BULK MILK CHOC</v>
      </c>
      <c r="H38" s="26">
        <f>IFERROR(VLOOKUP(F38,Lists!$C:$E,3,0),0)</f>
        <v>1.1520708</v>
      </c>
      <c r="I38" s="7">
        <f t="shared" si="6"/>
        <v>10000</v>
      </c>
      <c r="J38" s="6">
        <v>10000</v>
      </c>
      <c r="K38" s="33">
        <v>23</v>
      </c>
      <c r="L38" s="5">
        <f t="shared" si="3"/>
        <v>2.3E-3</v>
      </c>
      <c r="M38" s="26">
        <f t="shared" si="4"/>
        <v>26.4976284</v>
      </c>
    </row>
    <row r="39" spans="1:14" x14ac:dyDescent="0.25">
      <c r="A39" s="16" t="str">
        <f t="shared" si="5"/>
        <v>January</v>
      </c>
      <c r="B39" s="31">
        <v>43835</v>
      </c>
      <c r="C39" s="32" t="s">
        <v>25</v>
      </c>
      <c r="D39" s="9" t="str">
        <f t="shared" si="1"/>
        <v>43835 - 1S</v>
      </c>
      <c r="E39" s="32" t="s">
        <v>12</v>
      </c>
      <c r="F39" s="2">
        <v>8000055</v>
      </c>
      <c r="G39" s="4" t="str">
        <f>IFERROR(VLOOKUP(F39,Lists!$C:$D,2,0), "N/A")</f>
        <v>916.BF FLIPZ 25 LB BULK MILK CHOC</v>
      </c>
      <c r="H39" s="26">
        <f>IFERROR(VLOOKUP(F39,Lists!$C:$E,3,0),0)</f>
        <v>1.1520708</v>
      </c>
      <c r="I39" s="7">
        <f t="shared" si="6"/>
        <v>9000</v>
      </c>
      <c r="J39" s="6">
        <v>9000</v>
      </c>
      <c r="K39" s="33">
        <v>14</v>
      </c>
      <c r="L39" s="5">
        <f t="shared" si="3"/>
        <v>1.5555555555555555E-3</v>
      </c>
      <c r="M39" s="26">
        <f t="shared" si="4"/>
        <v>16.128991199999998</v>
      </c>
    </row>
    <row r="40" spans="1:14" x14ac:dyDescent="0.25">
      <c r="A40" s="16" t="str">
        <f t="shared" si="5"/>
        <v>January</v>
      </c>
      <c r="B40" s="31">
        <v>43836</v>
      </c>
      <c r="C40" s="32" t="s">
        <v>25</v>
      </c>
      <c r="D40" s="9" t="str">
        <f t="shared" si="1"/>
        <v>43836 - 1S</v>
      </c>
      <c r="E40" s="32" t="s">
        <v>12</v>
      </c>
      <c r="F40" s="2">
        <v>8000055</v>
      </c>
      <c r="G40" s="4" t="str">
        <f>IFERROR(VLOOKUP(F40,Lists!$C:$D,2,0), "N/A")</f>
        <v>916.BF FLIPZ 25 LB BULK MILK CHOC</v>
      </c>
      <c r="H40" s="26">
        <f>IFERROR(VLOOKUP(F40,Lists!$C:$E,3,0),0)</f>
        <v>1.1520708</v>
      </c>
      <c r="I40" s="7">
        <f t="shared" si="6"/>
        <v>10000</v>
      </c>
      <c r="J40" s="6">
        <v>10000</v>
      </c>
      <c r="K40" s="33">
        <v>0</v>
      </c>
      <c r="L40" s="5">
        <f t="shared" si="3"/>
        <v>0</v>
      </c>
      <c r="M40" s="26">
        <f t="shared" si="4"/>
        <v>0</v>
      </c>
    </row>
    <row r="41" spans="1:14" x14ac:dyDescent="0.25">
      <c r="A41" s="16" t="str">
        <f t="shared" si="5"/>
        <v>January</v>
      </c>
      <c r="B41" s="31">
        <v>43837</v>
      </c>
      <c r="C41" s="32" t="s">
        <v>25</v>
      </c>
      <c r="D41" s="9" t="str">
        <f t="shared" si="1"/>
        <v>43837 - 1S</v>
      </c>
      <c r="E41" s="32" t="s">
        <v>12</v>
      </c>
      <c r="F41" s="2">
        <v>8000055</v>
      </c>
      <c r="G41" s="4" t="str">
        <f>IFERROR(VLOOKUP(F41,Lists!$C:$D,2,0), "N/A")</f>
        <v>916.BF FLIPZ 25 LB BULK MILK CHOC</v>
      </c>
      <c r="H41" s="26">
        <f>IFERROR(VLOOKUP(F41,Lists!$C:$E,3,0),0)</f>
        <v>1.1520708</v>
      </c>
      <c r="I41" s="7">
        <f t="shared" si="6"/>
        <v>9000</v>
      </c>
      <c r="J41" s="6">
        <v>9000</v>
      </c>
      <c r="K41" s="33">
        <v>9</v>
      </c>
      <c r="L41" s="5">
        <f t="shared" si="3"/>
        <v>1E-3</v>
      </c>
      <c r="M41" s="26">
        <f t="shared" si="4"/>
        <v>10.3686372</v>
      </c>
    </row>
    <row r="42" spans="1:14" x14ac:dyDescent="0.25">
      <c r="A42" s="16" t="str">
        <f t="shared" si="5"/>
        <v>January</v>
      </c>
      <c r="B42" s="31">
        <v>43838</v>
      </c>
      <c r="C42" s="32" t="s">
        <v>25</v>
      </c>
      <c r="D42" s="9" t="str">
        <f t="shared" si="1"/>
        <v>43838 - 1S</v>
      </c>
      <c r="E42" s="32" t="s">
        <v>12</v>
      </c>
      <c r="F42" s="2">
        <v>8000055</v>
      </c>
      <c r="G42" s="4" t="str">
        <f>IFERROR(VLOOKUP(F42,Lists!$C:$D,2,0), "N/A")</f>
        <v>916.BF FLIPZ 25 LB BULK MILK CHOC</v>
      </c>
      <c r="H42" s="26">
        <f>IFERROR(VLOOKUP(F42,Lists!$C:$E,3,0),0)</f>
        <v>1.1520708</v>
      </c>
      <c r="I42" s="7">
        <f t="shared" si="6"/>
        <v>2000</v>
      </c>
      <c r="J42" s="6">
        <v>2000</v>
      </c>
      <c r="K42" s="33">
        <v>138</v>
      </c>
      <c r="L42" s="5">
        <f t="shared" si="3"/>
        <v>6.9000000000000006E-2</v>
      </c>
      <c r="M42" s="26">
        <f t="shared" si="4"/>
        <v>158.98577040000001</v>
      </c>
    </row>
    <row r="43" spans="1:14" x14ac:dyDescent="0.25">
      <c r="A43" s="16" t="str">
        <f t="shared" si="5"/>
        <v>January</v>
      </c>
      <c r="B43" s="31">
        <v>43839</v>
      </c>
      <c r="C43" s="32" t="s">
        <v>25</v>
      </c>
      <c r="D43" s="9" t="str">
        <f t="shared" si="1"/>
        <v>43839 - 1S</v>
      </c>
      <c r="E43" s="32" t="s">
        <v>12</v>
      </c>
      <c r="F43" s="2">
        <v>8000055</v>
      </c>
      <c r="G43" s="4" t="str">
        <f>IFERROR(VLOOKUP(F43,Lists!$C:$D,2,0), "N/A")</f>
        <v>916.BF FLIPZ 25 LB BULK MILK CHOC</v>
      </c>
      <c r="H43" s="26">
        <f>IFERROR(VLOOKUP(F43,Lists!$C:$E,3,0),0)</f>
        <v>1.1520708</v>
      </c>
      <c r="I43" s="7">
        <f t="shared" si="6"/>
        <v>8000</v>
      </c>
      <c r="J43" s="6">
        <v>8000</v>
      </c>
      <c r="K43" s="33">
        <v>216</v>
      </c>
      <c r="L43" s="5">
        <f t="shared" si="3"/>
        <v>2.7E-2</v>
      </c>
      <c r="M43" s="26">
        <f t="shared" si="4"/>
        <v>248.84729279999999</v>
      </c>
    </row>
    <row r="44" spans="1:14" x14ac:dyDescent="0.25">
      <c r="A44" s="16" t="str">
        <f t="shared" si="5"/>
        <v>January</v>
      </c>
      <c r="B44" s="31">
        <v>43840</v>
      </c>
      <c r="C44" s="32" t="s">
        <v>25</v>
      </c>
      <c r="D44" s="9" t="str">
        <f t="shared" si="1"/>
        <v>43840 - 1S</v>
      </c>
      <c r="E44" s="32" t="s">
        <v>12</v>
      </c>
      <c r="F44" s="2">
        <v>8000055</v>
      </c>
      <c r="G44" s="4" t="str">
        <f>IFERROR(VLOOKUP(F44,Lists!$C:$D,2,0), "N/A")</f>
        <v>916.BF FLIPZ 25 LB BULK MILK CHOC</v>
      </c>
      <c r="H44" s="26">
        <f>IFERROR(VLOOKUP(F44,Lists!$C:$E,3,0),0)</f>
        <v>1.1520708</v>
      </c>
      <c r="I44" s="7">
        <f t="shared" si="6"/>
        <v>9000</v>
      </c>
      <c r="J44" s="6">
        <v>9000</v>
      </c>
      <c r="K44" s="33">
        <v>42</v>
      </c>
      <c r="L44" s="5">
        <f t="shared" si="3"/>
        <v>4.6666666666666671E-3</v>
      </c>
      <c r="M44" s="26">
        <f t="shared" si="4"/>
        <v>48.386973599999997</v>
      </c>
    </row>
    <row r="45" spans="1:14" x14ac:dyDescent="0.25">
      <c r="A45" s="16" t="str">
        <f t="shared" si="5"/>
        <v>January</v>
      </c>
      <c r="B45" s="31">
        <v>43841</v>
      </c>
      <c r="C45" s="32" t="s">
        <v>25</v>
      </c>
      <c r="D45" s="9" t="str">
        <f t="shared" si="1"/>
        <v>43841 - 1S</v>
      </c>
      <c r="E45" s="32" t="s">
        <v>12</v>
      </c>
      <c r="F45" s="2">
        <v>8000055</v>
      </c>
      <c r="G45" s="4" t="str">
        <f>IFERROR(VLOOKUP(F45,Lists!$C:$D,2,0), "N/A")</f>
        <v>916.BF FLIPZ 25 LB BULK MILK CHOC</v>
      </c>
      <c r="H45" s="26">
        <f>IFERROR(VLOOKUP(F45,Lists!$C:$E,3,0),0)</f>
        <v>1.1520708</v>
      </c>
      <c r="I45" s="7">
        <f t="shared" si="6"/>
        <v>9000</v>
      </c>
      <c r="J45" s="6">
        <v>9000</v>
      </c>
      <c r="K45" s="33">
        <v>20</v>
      </c>
      <c r="L45" s="5">
        <f t="shared" si="3"/>
        <v>2.2222222222222222E-3</v>
      </c>
      <c r="M45" s="26">
        <f t="shared" si="4"/>
        <v>23.041415999999998</v>
      </c>
    </row>
    <row r="46" spans="1:14" x14ac:dyDescent="0.25">
      <c r="A46" s="16" t="str">
        <f t="shared" si="5"/>
        <v>January</v>
      </c>
      <c r="B46" s="31">
        <v>43842</v>
      </c>
      <c r="C46" s="32" t="s">
        <v>25</v>
      </c>
      <c r="D46" s="9" t="str">
        <f t="shared" si="1"/>
        <v>43842 - 1S</v>
      </c>
      <c r="E46" s="32" t="s">
        <v>12</v>
      </c>
      <c r="F46" s="2">
        <v>8000055</v>
      </c>
      <c r="G46" s="4" t="str">
        <f>IFERROR(VLOOKUP(F46,Lists!$C:$D,2,0), "N/A")</f>
        <v>916.BF FLIPZ 25 LB BULK MILK CHOC</v>
      </c>
      <c r="H46" s="26">
        <f>IFERROR(VLOOKUP(F46,Lists!$C:$E,3,0),0)</f>
        <v>1.1520708</v>
      </c>
      <c r="I46" s="7">
        <f t="shared" si="6"/>
        <v>10000</v>
      </c>
      <c r="J46" s="6">
        <v>10000</v>
      </c>
      <c r="K46" s="33">
        <v>0</v>
      </c>
      <c r="L46" s="5">
        <f t="shared" si="3"/>
        <v>0</v>
      </c>
      <c r="M46" s="26">
        <f t="shared" si="4"/>
        <v>0</v>
      </c>
    </row>
    <row r="47" spans="1:14" x14ac:dyDescent="0.25">
      <c r="A47" s="16" t="str">
        <f t="shared" si="5"/>
        <v>January</v>
      </c>
      <c r="B47" s="31">
        <v>43843</v>
      </c>
      <c r="C47" s="32" t="s">
        <v>25</v>
      </c>
      <c r="D47" s="9" t="str">
        <f t="shared" si="1"/>
        <v>43843 - 1S</v>
      </c>
      <c r="E47" s="32" t="s">
        <v>12</v>
      </c>
      <c r="F47" s="2">
        <v>8000055</v>
      </c>
      <c r="G47" s="4" t="str">
        <f>IFERROR(VLOOKUP(F47,Lists!$C:$D,2,0), "N/A")</f>
        <v>916.BF FLIPZ 25 LB BULK MILK CHOC</v>
      </c>
      <c r="H47" s="26">
        <f>IFERROR(VLOOKUP(F47,Lists!$C:$E,3,0),0)</f>
        <v>1.1520708</v>
      </c>
      <c r="I47" s="7">
        <f t="shared" si="6"/>
        <v>5000</v>
      </c>
      <c r="J47" s="6">
        <v>5000</v>
      </c>
      <c r="K47" s="33">
        <v>129</v>
      </c>
      <c r="L47" s="5">
        <f t="shared" si="3"/>
        <v>2.58E-2</v>
      </c>
      <c r="M47" s="26">
        <f t="shared" si="4"/>
        <v>148.61713319999998</v>
      </c>
    </row>
    <row r="48" spans="1:14" x14ac:dyDescent="0.25">
      <c r="A48" s="16" t="str">
        <f t="shared" si="5"/>
        <v>January</v>
      </c>
      <c r="B48" s="31">
        <v>43844</v>
      </c>
      <c r="C48" s="32" t="s">
        <v>25</v>
      </c>
      <c r="D48" s="9" t="str">
        <f t="shared" si="1"/>
        <v>43844 - 1S</v>
      </c>
      <c r="E48" s="32" t="s">
        <v>12</v>
      </c>
      <c r="F48" s="2">
        <v>8000055</v>
      </c>
      <c r="G48" s="4" t="str">
        <f>IFERROR(VLOOKUP(F48,Lists!$C:$D,2,0), "N/A")</f>
        <v>916.BF FLIPZ 25 LB BULK MILK CHOC</v>
      </c>
      <c r="H48" s="26">
        <f>IFERROR(VLOOKUP(F48,Lists!$C:$E,3,0),0)</f>
        <v>1.1520708</v>
      </c>
      <c r="I48" s="7">
        <f t="shared" si="6"/>
        <v>4000</v>
      </c>
      <c r="J48" s="6">
        <v>4000</v>
      </c>
      <c r="K48" s="33">
        <v>72</v>
      </c>
      <c r="L48" s="5">
        <f t="shared" si="3"/>
        <v>1.7999999999999999E-2</v>
      </c>
      <c r="M48" s="26">
        <f t="shared" si="4"/>
        <v>82.949097600000002</v>
      </c>
    </row>
    <row r="49" spans="1:13" x14ac:dyDescent="0.25">
      <c r="A49" s="16" t="str">
        <f t="shared" si="5"/>
        <v>January</v>
      </c>
      <c r="B49" s="31">
        <v>43845</v>
      </c>
      <c r="C49" s="32" t="s">
        <v>25</v>
      </c>
      <c r="D49" s="9" t="str">
        <f t="shared" si="1"/>
        <v>43845 - 1S</v>
      </c>
      <c r="E49" s="32" t="s">
        <v>12</v>
      </c>
      <c r="F49" s="2">
        <v>8000055</v>
      </c>
      <c r="G49" s="4" t="str">
        <f>IFERROR(VLOOKUP(F49,Lists!$C:$D,2,0), "N/A")</f>
        <v>916.BF FLIPZ 25 LB BULK MILK CHOC</v>
      </c>
      <c r="H49" s="26">
        <f>IFERROR(VLOOKUP(F49,Lists!$C:$E,3,0),0)</f>
        <v>1.1520708</v>
      </c>
      <c r="I49" s="7">
        <f t="shared" si="6"/>
        <v>7000</v>
      </c>
      <c r="J49" s="6">
        <v>7000</v>
      </c>
      <c r="K49" s="33">
        <v>37</v>
      </c>
      <c r="L49" s="5">
        <f t="shared" si="3"/>
        <v>5.2857142857142859E-3</v>
      </c>
      <c r="M49" s="26">
        <f t="shared" si="4"/>
        <v>42.626619599999998</v>
      </c>
    </row>
    <row r="50" spans="1:13" x14ac:dyDescent="0.25">
      <c r="A50" s="16" t="str">
        <f t="shared" si="5"/>
        <v>January</v>
      </c>
      <c r="B50" s="31">
        <v>43846</v>
      </c>
      <c r="C50" s="32" t="s">
        <v>25</v>
      </c>
      <c r="D50" s="9" t="str">
        <f t="shared" si="1"/>
        <v>43846 - 1S</v>
      </c>
      <c r="E50" s="32" t="s">
        <v>12</v>
      </c>
      <c r="F50" s="2">
        <v>8000055</v>
      </c>
      <c r="G50" s="4" t="str">
        <f>IFERROR(VLOOKUP(F50,Lists!$C:$D,2,0), "N/A")</f>
        <v>916.BF FLIPZ 25 LB BULK MILK CHOC</v>
      </c>
      <c r="H50" s="26">
        <f>IFERROR(VLOOKUP(F50,Lists!$C:$E,3,0),0)</f>
        <v>1.1520708</v>
      </c>
      <c r="I50" s="7">
        <f t="shared" si="6"/>
        <v>9000</v>
      </c>
      <c r="J50" s="6">
        <v>9000</v>
      </c>
      <c r="K50" s="33">
        <v>27</v>
      </c>
      <c r="L50" s="5">
        <f t="shared" si="3"/>
        <v>3.0000000000000001E-3</v>
      </c>
      <c r="M50" s="26">
        <f t="shared" si="4"/>
        <v>31.105911599999999</v>
      </c>
    </row>
    <row r="51" spans="1:13" x14ac:dyDescent="0.25">
      <c r="A51" s="16" t="str">
        <f t="shared" si="5"/>
        <v>January</v>
      </c>
      <c r="B51" s="31">
        <v>43847</v>
      </c>
      <c r="C51" s="32" t="s">
        <v>25</v>
      </c>
      <c r="D51" s="9" t="str">
        <f t="shared" si="1"/>
        <v>43847 - 1S</v>
      </c>
      <c r="E51" s="32" t="s">
        <v>12</v>
      </c>
      <c r="F51" s="2">
        <v>8000055</v>
      </c>
      <c r="G51" s="4" t="str">
        <f>IFERROR(VLOOKUP(F51,Lists!$C:$D,2,0), "N/A")</f>
        <v>916.BF FLIPZ 25 LB BULK MILK CHOC</v>
      </c>
      <c r="H51" s="26">
        <f>IFERROR(VLOOKUP(F51,Lists!$C:$E,3,0),0)</f>
        <v>1.1520708</v>
      </c>
      <c r="I51" s="7">
        <f t="shared" si="6"/>
        <v>5000</v>
      </c>
      <c r="J51" s="6">
        <v>5000</v>
      </c>
      <c r="K51" s="33">
        <v>3</v>
      </c>
      <c r="L51" s="5">
        <f t="shared" si="3"/>
        <v>5.9999999999999995E-4</v>
      </c>
      <c r="M51" s="26">
        <f t="shared" si="4"/>
        <v>3.4562124000000001</v>
      </c>
    </row>
    <row r="52" spans="1:13" x14ac:dyDescent="0.25">
      <c r="A52" s="16" t="str">
        <f t="shared" si="5"/>
        <v>January</v>
      </c>
      <c r="B52" s="31">
        <v>43848</v>
      </c>
      <c r="C52" s="32" t="s">
        <v>25</v>
      </c>
      <c r="D52" s="9" t="str">
        <f t="shared" si="1"/>
        <v>43848 - 1S</v>
      </c>
      <c r="E52" s="32" t="s">
        <v>12</v>
      </c>
      <c r="F52" s="2">
        <v>8000055</v>
      </c>
      <c r="G52" s="4" t="str">
        <f>IFERROR(VLOOKUP(F52,Lists!$C:$D,2,0), "N/A")</f>
        <v>916.BF FLIPZ 25 LB BULK MILK CHOC</v>
      </c>
      <c r="H52" s="26">
        <f>IFERROR(VLOOKUP(F52,Lists!$C:$E,3,0),0)</f>
        <v>1.1520708</v>
      </c>
      <c r="I52" s="7">
        <f t="shared" si="6"/>
        <v>10000</v>
      </c>
      <c r="J52" s="6">
        <v>10000</v>
      </c>
      <c r="K52" s="33">
        <v>31</v>
      </c>
      <c r="L52" s="5">
        <f t="shared" si="3"/>
        <v>3.0999999999999999E-3</v>
      </c>
      <c r="M52" s="26">
        <f t="shared" si="4"/>
        <v>35.714194800000001</v>
      </c>
    </row>
    <row r="53" spans="1:13" x14ac:dyDescent="0.25">
      <c r="A53" s="16" t="str">
        <f t="shared" si="5"/>
        <v>January</v>
      </c>
      <c r="B53" s="31">
        <v>43849</v>
      </c>
      <c r="C53" s="32" t="s">
        <v>25</v>
      </c>
      <c r="D53" s="9" t="str">
        <f t="shared" si="1"/>
        <v>43849 - 1S</v>
      </c>
      <c r="E53" s="32" t="s">
        <v>12</v>
      </c>
      <c r="F53" s="2">
        <v>8000055</v>
      </c>
      <c r="G53" s="4" t="str">
        <f>IFERROR(VLOOKUP(F53,Lists!$C:$D,2,0), "N/A")</f>
        <v>916.BF FLIPZ 25 LB BULK MILK CHOC</v>
      </c>
      <c r="H53" s="26">
        <f>IFERROR(VLOOKUP(F53,Lists!$C:$E,3,0),0)</f>
        <v>1.1520708</v>
      </c>
      <c r="I53" s="7">
        <f t="shared" si="6"/>
        <v>8000</v>
      </c>
      <c r="J53" s="6">
        <v>8000</v>
      </c>
      <c r="K53" s="33">
        <v>18</v>
      </c>
      <c r="L53" s="5">
        <f t="shared" si="3"/>
        <v>2.2499999999999998E-3</v>
      </c>
      <c r="M53" s="26">
        <f t="shared" si="4"/>
        <v>20.7372744</v>
      </c>
    </row>
    <row r="54" spans="1:13" x14ac:dyDescent="0.25">
      <c r="A54" s="16" t="str">
        <f t="shared" si="5"/>
        <v>January</v>
      </c>
      <c r="B54" s="31">
        <v>43852</v>
      </c>
      <c r="C54" s="32" t="s">
        <v>25</v>
      </c>
      <c r="D54" s="9" t="str">
        <f t="shared" si="1"/>
        <v>43852 - 1S</v>
      </c>
      <c r="E54" s="32" t="s">
        <v>12</v>
      </c>
      <c r="F54" s="2">
        <v>8000055</v>
      </c>
      <c r="G54" s="4" t="str">
        <f>IFERROR(VLOOKUP(F54,Lists!$C:$D,2,0), "N/A")</f>
        <v>916.BF FLIPZ 25 LB BULK MILK CHOC</v>
      </c>
      <c r="H54" s="26">
        <f>IFERROR(VLOOKUP(F54,Lists!$C:$E,3,0),0)</f>
        <v>1.1520708</v>
      </c>
      <c r="I54" s="7">
        <f t="shared" si="6"/>
        <v>8000</v>
      </c>
      <c r="J54" s="6">
        <v>8000</v>
      </c>
      <c r="K54" s="33">
        <v>7</v>
      </c>
      <c r="L54" s="5">
        <f t="shared" si="3"/>
        <v>8.7500000000000002E-4</v>
      </c>
      <c r="M54" s="26">
        <f t="shared" si="4"/>
        <v>8.064495599999999</v>
      </c>
    </row>
    <row r="55" spans="1:13" x14ac:dyDescent="0.25">
      <c r="A55" s="16" t="str">
        <f t="shared" si="5"/>
        <v>January</v>
      </c>
      <c r="B55" s="31">
        <v>43853</v>
      </c>
      <c r="C55" s="32" t="s">
        <v>25</v>
      </c>
      <c r="D55" s="9" t="str">
        <f t="shared" si="1"/>
        <v>43853 - 1S</v>
      </c>
      <c r="E55" s="32" t="s">
        <v>12</v>
      </c>
      <c r="F55" s="2">
        <v>8000055</v>
      </c>
      <c r="G55" s="4" t="str">
        <f>IFERROR(VLOOKUP(F55,Lists!$C:$D,2,0), "N/A")</f>
        <v>916.BF FLIPZ 25 LB BULK MILK CHOC</v>
      </c>
      <c r="H55" s="26">
        <f>IFERROR(VLOOKUP(F55,Lists!$C:$E,3,0),0)</f>
        <v>1.1520708</v>
      </c>
      <c r="I55" s="7">
        <f t="shared" si="6"/>
        <v>8000</v>
      </c>
      <c r="J55" s="6">
        <v>8000</v>
      </c>
      <c r="K55" s="33">
        <v>17</v>
      </c>
      <c r="L55" s="5">
        <f t="shared" si="3"/>
        <v>2.1250000000000002E-3</v>
      </c>
      <c r="M55" s="26">
        <f t="shared" si="4"/>
        <v>19.5852036</v>
      </c>
    </row>
    <row r="56" spans="1:13" x14ac:dyDescent="0.25">
      <c r="A56" s="16" t="str">
        <f t="shared" si="5"/>
        <v>January</v>
      </c>
      <c r="B56" s="31">
        <v>43854</v>
      </c>
      <c r="C56" s="32" t="s">
        <v>25</v>
      </c>
      <c r="D56" s="9" t="str">
        <f t="shared" si="1"/>
        <v>43854 - 1S</v>
      </c>
      <c r="E56" s="32" t="s">
        <v>12</v>
      </c>
      <c r="F56" s="2">
        <v>8000055</v>
      </c>
      <c r="G56" s="4" t="str">
        <f>IFERROR(VLOOKUP(F56,Lists!$C:$D,2,0), "N/A")</f>
        <v>916.BF FLIPZ 25 LB BULK MILK CHOC</v>
      </c>
      <c r="H56" s="26">
        <f>IFERROR(VLOOKUP(F56,Lists!$C:$E,3,0),0)</f>
        <v>1.1520708</v>
      </c>
      <c r="I56" s="7">
        <f t="shared" si="6"/>
        <v>9000</v>
      </c>
      <c r="J56" s="6">
        <v>9000</v>
      </c>
      <c r="K56" s="33">
        <v>22</v>
      </c>
      <c r="L56" s="5">
        <f t="shared" si="3"/>
        <v>2.4444444444444444E-3</v>
      </c>
      <c r="M56" s="26">
        <f t="shared" si="4"/>
        <v>25.345557599999999</v>
      </c>
    </row>
    <row r="57" spans="1:13" x14ac:dyDescent="0.25">
      <c r="A57" s="16" t="str">
        <f t="shared" si="5"/>
        <v>January</v>
      </c>
      <c r="B57" s="31">
        <v>43855</v>
      </c>
      <c r="C57" s="32" t="s">
        <v>25</v>
      </c>
      <c r="D57" s="9" t="str">
        <f t="shared" si="1"/>
        <v>43855 - 1S</v>
      </c>
      <c r="E57" s="32" t="s">
        <v>12</v>
      </c>
      <c r="F57" s="2">
        <v>8000055</v>
      </c>
      <c r="G57" s="4" t="str">
        <f>IFERROR(VLOOKUP(F57,Lists!$C:$D,2,0), "N/A")</f>
        <v>916.BF FLIPZ 25 LB BULK MILK CHOC</v>
      </c>
      <c r="H57" s="26">
        <f>IFERROR(VLOOKUP(F57,Lists!$C:$E,3,0),0)</f>
        <v>1.1520708</v>
      </c>
      <c r="I57" s="7">
        <f t="shared" si="6"/>
        <v>8000</v>
      </c>
      <c r="J57" s="6">
        <v>8000</v>
      </c>
      <c r="K57" s="33">
        <v>81</v>
      </c>
      <c r="L57" s="5">
        <f t="shared" si="3"/>
        <v>1.0125E-2</v>
      </c>
      <c r="M57" s="26">
        <f t="shared" si="4"/>
        <v>93.317734799999997</v>
      </c>
    </row>
    <row r="58" spans="1:13" x14ac:dyDescent="0.25">
      <c r="A58" s="16" t="str">
        <f t="shared" si="5"/>
        <v>January</v>
      </c>
      <c r="B58" s="31">
        <v>43856</v>
      </c>
      <c r="C58" s="32" t="s">
        <v>25</v>
      </c>
      <c r="D58" s="9" t="str">
        <f t="shared" si="1"/>
        <v>43856 - 1S</v>
      </c>
      <c r="E58" s="32" t="s">
        <v>12</v>
      </c>
      <c r="F58" s="2">
        <v>8000055</v>
      </c>
      <c r="G58" s="4" t="str">
        <f>IFERROR(VLOOKUP(F58,Lists!$C:$D,2,0), "N/A")</f>
        <v>916.BF FLIPZ 25 LB BULK MILK CHOC</v>
      </c>
      <c r="H58" s="26">
        <f>IFERROR(VLOOKUP(F58,Lists!$C:$E,3,0),0)</f>
        <v>1.1520708</v>
      </c>
      <c r="I58" s="7">
        <f t="shared" si="6"/>
        <v>4000</v>
      </c>
      <c r="J58" s="6">
        <v>4000</v>
      </c>
      <c r="K58" s="33">
        <v>1</v>
      </c>
      <c r="L58" s="5">
        <f t="shared" si="3"/>
        <v>2.5000000000000001E-4</v>
      </c>
      <c r="M58" s="26">
        <f t="shared" si="4"/>
        <v>1.1520708</v>
      </c>
    </row>
    <row r="59" spans="1:13" x14ac:dyDescent="0.25">
      <c r="A59" s="16" t="str">
        <f t="shared" si="5"/>
        <v>January</v>
      </c>
      <c r="B59" s="31">
        <v>43857</v>
      </c>
      <c r="C59" s="32" t="s">
        <v>25</v>
      </c>
      <c r="D59" s="9" t="str">
        <f t="shared" si="1"/>
        <v>43857 - 1S</v>
      </c>
      <c r="E59" s="32" t="s">
        <v>12</v>
      </c>
      <c r="F59" s="2">
        <v>8000055</v>
      </c>
      <c r="G59" s="4" t="str">
        <f>IFERROR(VLOOKUP(F59,Lists!$C:$D,2,0), "N/A")</f>
        <v>916.BF FLIPZ 25 LB BULK MILK CHOC</v>
      </c>
      <c r="H59" s="26">
        <f>IFERROR(VLOOKUP(F59,Lists!$C:$E,3,0),0)</f>
        <v>1.1520708</v>
      </c>
      <c r="I59" s="7">
        <f t="shared" si="6"/>
        <v>8000</v>
      </c>
      <c r="J59" s="6">
        <v>8000</v>
      </c>
      <c r="K59" s="33">
        <v>21</v>
      </c>
      <c r="L59" s="5">
        <f t="shared" si="3"/>
        <v>2.6250000000000002E-3</v>
      </c>
      <c r="M59" s="26">
        <f t="shared" si="4"/>
        <v>24.193486799999999</v>
      </c>
    </row>
    <row r="60" spans="1:13" x14ac:dyDescent="0.25">
      <c r="A60" s="16" t="str">
        <f t="shared" si="5"/>
        <v>January</v>
      </c>
      <c r="B60" s="31">
        <v>43858</v>
      </c>
      <c r="C60" s="32" t="s">
        <v>25</v>
      </c>
      <c r="D60" s="9" t="str">
        <f t="shared" si="1"/>
        <v>43858 - 1S</v>
      </c>
      <c r="E60" s="32" t="s">
        <v>12</v>
      </c>
      <c r="F60" s="2">
        <v>8000055</v>
      </c>
      <c r="G60" s="4" t="str">
        <f>IFERROR(VLOOKUP(F60,Lists!$C:$D,2,0), "N/A")</f>
        <v>916.BF FLIPZ 25 LB BULK MILK CHOC</v>
      </c>
      <c r="H60" s="26">
        <f>IFERROR(VLOOKUP(F60,Lists!$C:$E,3,0),0)</f>
        <v>1.1520708</v>
      </c>
      <c r="I60" s="7">
        <f t="shared" si="6"/>
        <v>4000</v>
      </c>
      <c r="J60" s="6">
        <v>4000</v>
      </c>
      <c r="K60" s="33">
        <v>30</v>
      </c>
      <c r="L60" s="5">
        <f t="shared" si="3"/>
        <v>7.4999999999999997E-3</v>
      </c>
      <c r="M60" s="26">
        <f t="shared" si="4"/>
        <v>34.562123999999997</v>
      </c>
    </row>
    <row r="61" spans="1:13" x14ac:dyDescent="0.25">
      <c r="A61" s="16" t="str">
        <f t="shared" si="5"/>
        <v>January</v>
      </c>
      <c r="B61" s="31">
        <v>43859</v>
      </c>
      <c r="C61" s="32" t="s">
        <v>25</v>
      </c>
      <c r="D61" s="9" t="str">
        <f t="shared" si="1"/>
        <v>43859 - 1S</v>
      </c>
      <c r="E61" s="32" t="s">
        <v>12</v>
      </c>
      <c r="F61" s="2">
        <v>8000055</v>
      </c>
      <c r="G61" s="4" t="str">
        <f>IFERROR(VLOOKUP(F61,Lists!$C:$D,2,0), "N/A")</f>
        <v>916.BF FLIPZ 25 LB BULK MILK CHOC</v>
      </c>
      <c r="H61" s="26">
        <f>IFERROR(VLOOKUP(F61,Lists!$C:$E,3,0),0)</f>
        <v>1.1520708</v>
      </c>
      <c r="I61" s="7">
        <f t="shared" si="6"/>
        <v>10000</v>
      </c>
      <c r="J61" s="6">
        <v>10000</v>
      </c>
      <c r="K61" s="33">
        <v>8</v>
      </c>
      <c r="L61" s="5">
        <f t="shared" si="3"/>
        <v>8.0000000000000004E-4</v>
      </c>
      <c r="M61" s="26">
        <f t="shared" si="4"/>
        <v>9.2165663999999996</v>
      </c>
    </row>
    <row r="62" spans="1:13" x14ac:dyDescent="0.25">
      <c r="A62" s="16" t="str">
        <f t="shared" si="5"/>
        <v>January</v>
      </c>
      <c r="B62" s="31">
        <v>43860</v>
      </c>
      <c r="C62" s="32" t="s">
        <v>25</v>
      </c>
      <c r="D62" s="9" t="str">
        <f t="shared" si="1"/>
        <v>43860 - 1S</v>
      </c>
      <c r="E62" s="32" t="s">
        <v>12</v>
      </c>
      <c r="F62" s="2">
        <v>8000055</v>
      </c>
      <c r="G62" s="4" t="str">
        <f>IFERROR(VLOOKUP(F62,Lists!$C:$D,2,0), "N/A")</f>
        <v>916.BF FLIPZ 25 LB BULK MILK CHOC</v>
      </c>
      <c r="H62" s="26">
        <f>IFERROR(VLOOKUP(F62,Lists!$C:$E,3,0),0)</f>
        <v>1.1520708</v>
      </c>
      <c r="I62" s="7">
        <f t="shared" si="6"/>
        <v>9000</v>
      </c>
      <c r="J62" s="6">
        <v>9000</v>
      </c>
      <c r="K62" s="33">
        <v>12</v>
      </c>
      <c r="L62" s="5">
        <f t="shared" si="3"/>
        <v>1.3333333333333333E-3</v>
      </c>
      <c r="M62" s="26">
        <f t="shared" si="4"/>
        <v>13.8248496</v>
      </c>
    </row>
    <row r="63" spans="1:13" x14ac:dyDescent="0.25">
      <c r="A63" s="16" t="str">
        <f t="shared" si="5"/>
        <v>January</v>
      </c>
      <c r="B63" s="31">
        <v>43832</v>
      </c>
      <c r="C63" s="32" t="s">
        <v>25</v>
      </c>
      <c r="D63" s="9" t="str">
        <f t="shared" si="1"/>
        <v>43832 - 1S</v>
      </c>
      <c r="E63" s="32" t="s">
        <v>13</v>
      </c>
      <c r="F63" s="2">
        <v>8000055</v>
      </c>
      <c r="G63" s="4" t="str">
        <f>IFERROR(VLOOKUP(F63,Lists!$C:$D,2,0), "N/A")</f>
        <v>916.BF FLIPZ 25 LB BULK MILK CHOC</v>
      </c>
      <c r="H63" s="26">
        <f>IFERROR(VLOOKUP(F63,Lists!$C:$E,3,0),0)</f>
        <v>1.1520708</v>
      </c>
      <c r="I63" s="7">
        <f t="shared" si="6"/>
        <v>575</v>
      </c>
      <c r="J63" s="6">
        <v>575</v>
      </c>
      <c r="K63" s="33">
        <v>8</v>
      </c>
      <c r="L63" s="5">
        <f t="shared" si="3"/>
        <v>1.391304347826087E-2</v>
      </c>
      <c r="M63" s="26">
        <f t="shared" si="4"/>
        <v>9.2165663999999996</v>
      </c>
    </row>
    <row r="64" spans="1:13" x14ac:dyDescent="0.25">
      <c r="A64" s="16" t="str">
        <f t="shared" si="5"/>
        <v>January</v>
      </c>
      <c r="B64" s="31">
        <v>43833</v>
      </c>
      <c r="C64" s="32" t="s">
        <v>25</v>
      </c>
      <c r="D64" s="9" t="str">
        <f t="shared" si="1"/>
        <v>43833 - 1S</v>
      </c>
      <c r="E64" s="32" t="s">
        <v>13</v>
      </c>
      <c r="F64" s="2">
        <v>8000055</v>
      </c>
      <c r="G64" s="4" t="str">
        <f>IFERROR(VLOOKUP(F64,Lists!$C:$D,2,0), "N/A")</f>
        <v>916.BF FLIPZ 25 LB BULK MILK CHOC</v>
      </c>
      <c r="H64" s="26">
        <f>IFERROR(VLOOKUP(F64,Lists!$C:$E,3,0),0)</f>
        <v>1.1520708</v>
      </c>
      <c r="I64" s="7">
        <f t="shared" si="6"/>
        <v>3000</v>
      </c>
      <c r="J64" s="6">
        <v>3000</v>
      </c>
      <c r="K64" s="33">
        <v>0</v>
      </c>
      <c r="L64" s="5">
        <f t="shared" si="3"/>
        <v>0</v>
      </c>
      <c r="M64" s="26">
        <f t="shared" si="4"/>
        <v>0</v>
      </c>
    </row>
    <row r="65" spans="1:13" x14ac:dyDescent="0.25">
      <c r="A65" s="16" t="str">
        <f t="shared" si="5"/>
        <v>January</v>
      </c>
      <c r="B65" s="31">
        <v>43836</v>
      </c>
      <c r="C65" s="32" t="s">
        <v>25</v>
      </c>
      <c r="D65" s="9" t="str">
        <f t="shared" si="1"/>
        <v>43836 - 1S</v>
      </c>
      <c r="E65" s="32" t="s">
        <v>13</v>
      </c>
      <c r="F65" s="2">
        <v>8000055</v>
      </c>
      <c r="G65" s="4" t="str">
        <f>IFERROR(VLOOKUP(F65,Lists!$C:$D,2,0), "N/A")</f>
        <v>916.BF FLIPZ 25 LB BULK MILK CHOC</v>
      </c>
      <c r="H65" s="26">
        <f>IFERROR(VLOOKUP(F65,Lists!$C:$E,3,0),0)</f>
        <v>1.1520708</v>
      </c>
      <c r="I65" s="7">
        <f t="shared" si="6"/>
        <v>3000</v>
      </c>
      <c r="J65" s="6">
        <v>3000</v>
      </c>
      <c r="K65" s="33">
        <v>119</v>
      </c>
      <c r="L65" s="5">
        <f t="shared" si="3"/>
        <v>3.966666666666667E-2</v>
      </c>
      <c r="M65" s="26">
        <f t="shared" si="4"/>
        <v>137.0964252</v>
      </c>
    </row>
    <row r="66" spans="1:13" x14ac:dyDescent="0.25">
      <c r="A66" s="16" t="str">
        <f t="shared" ref="A66:A97" si="7">TEXT(B66,"mmmm")</f>
        <v>January</v>
      </c>
      <c r="B66" s="31">
        <v>43837</v>
      </c>
      <c r="C66" s="32" t="s">
        <v>25</v>
      </c>
      <c r="D66" s="9" t="str">
        <f t="shared" ref="D66:D129" si="8">CONCATENATE(B66," - ",C66)</f>
        <v>43837 - 1S</v>
      </c>
      <c r="E66" s="32" t="s">
        <v>13</v>
      </c>
      <c r="F66" s="2">
        <v>8000055</v>
      </c>
      <c r="G66" s="4" t="str">
        <f>IFERROR(VLOOKUP(F66,Lists!$C:$D,2,0), "N/A")</f>
        <v>916.BF FLIPZ 25 LB BULK MILK CHOC</v>
      </c>
      <c r="H66" s="26">
        <f>IFERROR(VLOOKUP(F66,Lists!$C:$E,3,0),0)</f>
        <v>1.1520708</v>
      </c>
      <c r="I66" s="7">
        <f t="shared" ref="I66:I90" si="9">J66</f>
        <v>2000</v>
      </c>
      <c r="J66" s="6">
        <v>2000</v>
      </c>
      <c r="K66" s="33">
        <v>25</v>
      </c>
      <c r="L66" s="5">
        <f t="shared" ref="L66:L129" si="10">IFERROR((K66/J66),1)</f>
        <v>1.2500000000000001E-2</v>
      </c>
      <c r="M66" s="26">
        <f t="shared" ref="M66:M129" si="11">K66*H66</f>
        <v>28.801769999999998</v>
      </c>
    </row>
    <row r="67" spans="1:13" x14ac:dyDescent="0.25">
      <c r="A67" s="16" t="str">
        <f t="shared" si="7"/>
        <v>January</v>
      </c>
      <c r="B67" s="31">
        <v>43838</v>
      </c>
      <c r="C67" s="32" t="s">
        <v>25</v>
      </c>
      <c r="D67" s="9" t="str">
        <f t="shared" si="8"/>
        <v>43838 - 1S</v>
      </c>
      <c r="E67" s="32" t="s">
        <v>13</v>
      </c>
      <c r="F67" s="2">
        <v>8000055</v>
      </c>
      <c r="G67" s="4" t="str">
        <f>IFERROR(VLOOKUP(F67,Lists!$C:$D,2,0), "N/A")</f>
        <v>916.BF FLIPZ 25 LB BULK MILK CHOC</v>
      </c>
      <c r="H67" s="26">
        <f>IFERROR(VLOOKUP(F67,Lists!$C:$E,3,0),0)</f>
        <v>1.1520708</v>
      </c>
      <c r="I67" s="7">
        <f t="shared" si="9"/>
        <v>2000</v>
      </c>
      <c r="J67" s="6">
        <v>2000</v>
      </c>
      <c r="K67" s="33">
        <v>5</v>
      </c>
      <c r="L67" s="5">
        <f t="shared" si="10"/>
        <v>2.5000000000000001E-3</v>
      </c>
      <c r="M67" s="26">
        <f t="shared" si="11"/>
        <v>5.7603539999999995</v>
      </c>
    </row>
    <row r="68" spans="1:13" x14ac:dyDescent="0.25">
      <c r="A68" s="16" t="str">
        <f t="shared" si="7"/>
        <v>January</v>
      </c>
      <c r="B68" s="31">
        <v>43839</v>
      </c>
      <c r="C68" s="32" t="s">
        <v>25</v>
      </c>
      <c r="D68" s="9" t="str">
        <f t="shared" si="8"/>
        <v>43839 - 1S</v>
      </c>
      <c r="E68" s="32" t="s">
        <v>13</v>
      </c>
      <c r="F68" s="2">
        <v>8000055</v>
      </c>
      <c r="G68" s="4" t="str">
        <f>IFERROR(VLOOKUP(F68,Lists!$C:$D,2,0), "N/A")</f>
        <v>916.BF FLIPZ 25 LB BULK MILK CHOC</v>
      </c>
      <c r="H68" s="26">
        <f>IFERROR(VLOOKUP(F68,Lists!$C:$E,3,0),0)</f>
        <v>1.1520708</v>
      </c>
      <c r="I68" s="7">
        <f t="shared" si="9"/>
        <v>2000</v>
      </c>
      <c r="J68" s="6">
        <v>2000</v>
      </c>
      <c r="K68" s="33">
        <v>15</v>
      </c>
      <c r="L68" s="5">
        <f t="shared" si="10"/>
        <v>7.4999999999999997E-3</v>
      </c>
      <c r="M68" s="26">
        <f t="shared" si="11"/>
        <v>17.281061999999999</v>
      </c>
    </row>
    <row r="69" spans="1:13" x14ac:dyDescent="0.25">
      <c r="A69" s="16" t="str">
        <f t="shared" si="7"/>
        <v>January</v>
      </c>
      <c r="B69" s="31">
        <v>43840</v>
      </c>
      <c r="C69" s="32" t="s">
        <v>25</v>
      </c>
      <c r="D69" s="9" t="str">
        <f t="shared" si="8"/>
        <v>43840 - 1S</v>
      </c>
      <c r="E69" s="32" t="s">
        <v>13</v>
      </c>
      <c r="F69" s="2">
        <v>8000055</v>
      </c>
      <c r="G69" s="4" t="str">
        <f>IFERROR(VLOOKUP(F69,Lists!$C:$D,2,0), "N/A")</f>
        <v>916.BF FLIPZ 25 LB BULK MILK CHOC</v>
      </c>
      <c r="H69" s="26">
        <f>IFERROR(VLOOKUP(F69,Lists!$C:$E,3,0),0)</f>
        <v>1.1520708</v>
      </c>
      <c r="I69" s="7">
        <f t="shared" si="9"/>
        <v>1000</v>
      </c>
      <c r="J69" s="6">
        <v>1000</v>
      </c>
      <c r="K69" s="33">
        <v>15</v>
      </c>
      <c r="L69" s="5">
        <f t="shared" si="10"/>
        <v>1.4999999999999999E-2</v>
      </c>
      <c r="M69" s="26">
        <f t="shared" si="11"/>
        <v>17.281061999999999</v>
      </c>
    </row>
    <row r="70" spans="1:13" x14ac:dyDescent="0.25">
      <c r="A70" s="16" t="str">
        <f t="shared" si="7"/>
        <v>January</v>
      </c>
      <c r="B70" s="31">
        <v>43843</v>
      </c>
      <c r="C70" s="32" t="s">
        <v>25</v>
      </c>
      <c r="D70" s="9" t="str">
        <f t="shared" si="8"/>
        <v>43843 - 1S</v>
      </c>
      <c r="E70" s="32" t="s">
        <v>13</v>
      </c>
      <c r="F70" s="2">
        <v>8000055</v>
      </c>
      <c r="G70" s="4" t="str">
        <f>IFERROR(VLOOKUP(F70,Lists!$C:$D,2,0), "N/A")</f>
        <v>916.BF FLIPZ 25 LB BULK MILK CHOC</v>
      </c>
      <c r="H70" s="26">
        <f>IFERROR(VLOOKUP(F70,Lists!$C:$E,3,0),0)</f>
        <v>1.1520708</v>
      </c>
      <c r="I70" s="7">
        <f t="shared" si="9"/>
        <v>2000</v>
      </c>
      <c r="J70" s="6">
        <v>2000</v>
      </c>
      <c r="K70" s="33">
        <v>0</v>
      </c>
      <c r="L70" s="5">
        <f t="shared" si="10"/>
        <v>0</v>
      </c>
      <c r="M70" s="26">
        <f t="shared" si="11"/>
        <v>0</v>
      </c>
    </row>
    <row r="71" spans="1:13" x14ac:dyDescent="0.25">
      <c r="A71" s="16" t="str">
        <f t="shared" si="7"/>
        <v>January</v>
      </c>
      <c r="B71" s="31">
        <v>43844</v>
      </c>
      <c r="C71" s="32" t="s">
        <v>25</v>
      </c>
      <c r="D71" s="9" t="str">
        <f t="shared" si="8"/>
        <v>43844 - 1S</v>
      </c>
      <c r="E71" s="32" t="s">
        <v>13</v>
      </c>
      <c r="F71" s="2">
        <v>8000055</v>
      </c>
      <c r="G71" s="4" t="str">
        <f>IFERROR(VLOOKUP(F71,Lists!$C:$D,2,0), "N/A")</f>
        <v>916.BF FLIPZ 25 LB BULK MILK CHOC</v>
      </c>
      <c r="H71" s="26">
        <f>IFERROR(VLOOKUP(F71,Lists!$C:$E,3,0),0)</f>
        <v>1.1520708</v>
      </c>
      <c r="I71" s="7">
        <f t="shared" si="9"/>
        <v>0</v>
      </c>
      <c r="J71" s="6">
        <v>0</v>
      </c>
      <c r="K71" s="33">
        <v>110</v>
      </c>
      <c r="L71" s="5">
        <f t="shared" si="10"/>
        <v>1</v>
      </c>
      <c r="M71" s="26">
        <f t="shared" si="11"/>
        <v>126.72778799999999</v>
      </c>
    </row>
    <row r="72" spans="1:13" x14ac:dyDescent="0.25">
      <c r="A72" s="16" t="str">
        <f t="shared" si="7"/>
        <v>January</v>
      </c>
      <c r="B72" s="31">
        <v>43845</v>
      </c>
      <c r="C72" s="32" t="s">
        <v>25</v>
      </c>
      <c r="D72" s="9" t="str">
        <f t="shared" si="8"/>
        <v>43845 - 1S</v>
      </c>
      <c r="E72" s="32" t="s">
        <v>13</v>
      </c>
      <c r="F72" s="2">
        <v>8000055</v>
      </c>
      <c r="G72" s="4" t="str">
        <f>IFERROR(VLOOKUP(F72,Lists!$C:$D,2,0), "N/A")</f>
        <v>916.BF FLIPZ 25 LB BULK MILK CHOC</v>
      </c>
      <c r="H72" s="26">
        <f>IFERROR(VLOOKUP(F72,Lists!$C:$E,3,0),0)</f>
        <v>1.1520708</v>
      </c>
      <c r="I72" s="7">
        <f t="shared" si="9"/>
        <v>2000</v>
      </c>
      <c r="J72" s="6">
        <v>2000</v>
      </c>
      <c r="K72" s="33">
        <v>7</v>
      </c>
      <c r="L72" s="5">
        <f t="shared" si="10"/>
        <v>3.5000000000000001E-3</v>
      </c>
      <c r="M72" s="26">
        <f t="shared" si="11"/>
        <v>8.064495599999999</v>
      </c>
    </row>
    <row r="73" spans="1:13" x14ac:dyDescent="0.25">
      <c r="A73" s="16" t="str">
        <f t="shared" si="7"/>
        <v>January</v>
      </c>
      <c r="B73" s="31">
        <v>43847</v>
      </c>
      <c r="C73" s="32" t="s">
        <v>25</v>
      </c>
      <c r="D73" s="9" t="str">
        <f t="shared" si="8"/>
        <v>43847 - 1S</v>
      </c>
      <c r="E73" s="32" t="s">
        <v>13</v>
      </c>
      <c r="F73" s="2">
        <v>8000055</v>
      </c>
      <c r="G73" s="4" t="str">
        <f>IFERROR(VLOOKUP(F73,Lists!$C:$D,2,0), "N/A")</f>
        <v>916.BF FLIPZ 25 LB BULK MILK CHOC</v>
      </c>
      <c r="H73" s="26">
        <f>IFERROR(VLOOKUP(F73,Lists!$C:$E,3,0),0)</f>
        <v>1.1520708</v>
      </c>
      <c r="I73" s="7">
        <f t="shared" si="9"/>
        <v>1000</v>
      </c>
      <c r="J73" s="6">
        <v>1000</v>
      </c>
      <c r="K73" s="33">
        <v>7</v>
      </c>
      <c r="L73" s="5">
        <f t="shared" si="10"/>
        <v>7.0000000000000001E-3</v>
      </c>
      <c r="M73" s="26">
        <f t="shared" si="11"/>
        <v>8.064495599999999</v>
      </c>
    </row>
    <row r="74" spans="1:13" x14ac:dyDescent="0.25">
      <c r="A74" s="16" t="str">
        <f t="shared" si="7"/>
        <v>January</v>
      </c>
      <c r="B74" s="31">
        <v>43852</v>
      </c>
      <c r="C74" s="32" t="s">
        <v>25</v>
      </c>
      <c r="D74" s="9" t="str">
        <f t="shared" si="8"/>
        <v>43852 - 1S</v>
      </c>
      <c r="E74" s="32" t="s">
        <v>13</v>
      </c>
      <c r="F74" s="2">
        <v>8000055</v>
      </c>
      <c r="G74" s="4" t="str">
        <f>IFERROR(VLOOKUP(F74,Lists!$C:$D,2,0), "N/A")</f>
        <v>916.BF FLIPZ 25 LB BULK MILK CHOC</v>
      </c>
      <c r="H74" s="26">
        <f>IFERROR(VLOOKUP(F74,Lists!$C:$E,3,0),0)</f>
        <v>1.1520708</v>
      </c>
      <c r="I74" s="7">
        <f t="shared" si="9"/>
        <v>2000</v>
      </c>
      <c r="J74" s="6">
        <v>2000</v>
      </c>
      <c r="K74" s="33">
        <v>75</v>
      </c>
      <c r="L74" s="5">
        <f t="shared" si="10"/>
        <v>3.7499999999999999E-2</v>
      </c>
      <c r="M74" s="26">
        <f t="shared" si="11"/>
        <v>86.40531</v>
      </c>
    </row>
    <row r="75" spans="1:13" x14ac:dyDescent="0.25">
      <c r="A75" s="16" t="str">
        <f t="shared" si="7"/>
        <v>January</v>
      </c>
      <c r="B75" s="31">
        <v>43853</v>
      </c>
      <c r="C75" s="32" t="s">
        <v>25</v>
      </c>
      <c r="D75" s="9" t="str">
        <f t="shared" si="8"/>
        <v>43853 - 1S</v>
      </c>
      <c r="E75" s="32" t="s">
        <v>13</v>
      </c>
      <c r="F75" s="2">
        <v>8000055</v>
      </c>
      <c r="G75" s="4" t="str">
        <f>IFERROR(VLOOKUP(F75,Lists!$C:$D,2,0), "N/A")</f>
        <v>916.BF FLIPZ 25 LB BULK MILK CHOC</v>
      </c>
      <c r="H75" s="26">
        <f>IFERROR(VLOOKUP(F75,Lists!$C:$E,3,0),0)</f>
        <v>1.1520708</v>
      </c>
      <c r="I75" s="7">
        <f t="shared" si="9"/>
        <v>1000</v>
      </c>
      <c r="J75" s="6">
        <v>1000</v>
      </c>
      <c r="K75" s="33">
        <v>14</v>
      </c>
      <c r="L75" s="5">
        <f t="shared" si="10"/>
        <v>1.4E-2</v>
      </c>
      <c r="M75" s="26">
        <f t="shared" si="11"/>
        <v>16.128991199999998</v>
      </c>
    </row>
    <row r="76" spans="1:13" x14ac:dyDescent="0.25">
      <c r="A76" s="16" t="str">
        <f t="shared" si="7"/>
        <v>January</v>
      </c>
      <c r="B76" s="31">
        <v>43857</v>
      </c>
      <c r="C76" s="32" t="s">
        <v>25</v>
      </c>
      <c r="D76" s="9" t="str">
        <f t="shared" si="8"/>
        <v>43857 - 1S</v>
      </c>
      <c r="E76" s="32" t="s">
        <v>13</v>
      </c>
      <c r="F76" s="2">
        <v>8000055</v>
      </c>
      <c r="G76" s="4" t="str">
        <f>IFERROR(VLOOKUP(F76,Lists!$C:$D,2,0), "N/A")</f>
        <v>916.BF FLIPZ 25 LB BULK MILK CHOC</v>
      </c>
      <c r="H76" s="26">
        <f>IFERROR(VLOOKUP(F76,Lists!$C:$E,3,0),0)</f>
        <v>1.1520708</v>
      </c>
      <c r="I76" s="7">
        <f t="shared" si="9"/>
        <v>1000</v>
      </c>
      <c r="J76" s="6">
        <v>1000</v>
      </c>
      <c r="K76" s="33">
        <v>4</v>
      </c>
      <c r="L76" s="5">
        <f t="shared" si="10"/>
        <v>4.0000000000000001E-3</v>
      </c>
      <c r="M76" s="26">
        <f t="shared" si="11"/>
        <v>4.6082831999999998</v>
      </c>
    </row>
    <row r="77" spans="1:13" x14ac:dyDescent="0.25">
      <c r="A77" s="16" t="str">
        <f t="shared" si="7"/>
        <v>January</v>
      </c>
      <c r="B77" s="31">
        <v>43858</v>
      </c>
      <c r="C77" s="32" t="s">
        <v>25</v>
      </c>
      <c r="D77" s="9" t="str">
        <f t="shared" si="8"/>
        <v>43858 - 1S</v>
      </c>
      <c r="E77" s="32" t="s">
        <v>13</v>
      </c>
      <c r="F77" s="2">
        <v>8000055</v>
      </c>
      <c r="G77" s="4" t="str">
        <f>IFERROR(VLOOKUP(F77,Lists!$C:$D,2,0), "N/A")</f>
        <v>916.BF FLIPZ 25 LB BULK MILK CHOC</v>
      </c>
      <c r="H77" s="26">
        <f>IFERROR(VLOOKUP(F77,Lists!$C:$E,3,0),0)</f>
        <v>1.1520708</v>
      </c>
      <c r="I77" s="7">
        <f t="shared" si="9"/>
        <v>0</v>
      </c>
      <c r="J77" s="6">
        <v>0</v>
      </c>
      <c r="K77" s="33">
        <v>5</v>
      </c>
      <c r="L77" s="5">
        <f t="shared" si="10"/>
        <v>1</v>
      </c>
      <c r="M77" s="26">
        <f t="shared" si="11"/>
        <v>5.7603539999999995</v>
      </c>
    </row>
    <row r="78" spans="1:13" x14ac:dyDescent="0.25">
      <c r="A78" s="16" t="str">
        <f t="shared" si="7"/>
        <v>January</v>
      </c>
      <c r="B78" s="31">
        <v>43859</v>
      </c>
      <c r="C78" s="32" t="s">
        <v>25</v>
      </c>
      <c r="D78" s="9" t="str">
        <f t="shared" si="8"/>
        <v>43859 - 1S</v>
      </c>
      <c r="E78" s="32" t="s">
        <v>13</v>
      </c>
      <c r="F78" s="2">
        <v>8000055</v>
      </c>
      <c r="G78" s="4" t="str">
        <f>IFERROR(VLOOKUP(F78,Lists!$C:$D,2,0), "N/A")</f>
        <v>916.BF FLIPZ 25 LB BULK MILK CHOC</v>
      </c>
      <c r="H78" s="26">
        <f>IFERROR(VLOOKUP(F78,Lists!$C:$E,3,0),0)</f>
        <v>1.1520708</v>
      </c>
      <c r="I78" s="7">
        <f t="shared" si="9"/>
        <v>1000</v>
      </c>
      <c r="J78" s="6">
        <v>1000</v>
      </c>
      <c r="K78" s="33">
        <v>9</v>
      </c>
      <c r="L78" s="5">
        <f t="shared" si="10"/>
        <v>8.9999999999999993E-3</v>
      </c>
      <c r="M78" s="26">
        <f t="shared" si="11"/>
        <v>10.3686372</v>
      </c>
    </row>
    <row r="79" spans="1:13" x14ac:dyDescent="0.25">
      <c r="A79" s="16" t="str">
        <f t="shared" si="7"/>
        <v>January</v>
      </c>
      <c r="B79" s="31">
        <v>43860</v>
      </c>
      <c r="C79" s="32" t="s">
        <v>25</v>
      </c>
      <c r="D79" s="9" t="str">
        <f t="shared" si="8"/>
        <v>43860 - 1S</v>
      </c>
      <c r="E79" s="32" t="s">
        <v>13</v>
      </c>
      <c r="F79" s="2">
        <v>8000055</v>
      </c>
      <c r="G79" s="4" t="str">
        <f>IFERROR(VLOOKUP(F79,Lists!$C:$D,2,0), "N/A")</f>
        <v>916.BF FLIPZ 25 LB BULK MILK CHOC</v>
      </c>
      <c r="H79" s="26">
        <f>IFERROR(VLOOKUP(F79,Lists!$C:$E,3,0),0)</f>
        <v>1.1520708</v>
      </c>
      <c r="I79" s="7">
        <f t="shared" si="9"/>
        <v>2000</v>
      </c>
      <c r="J79" s="6">
        <v>2000</v>
      </c>
      <c r="K79" s="33">
        <v>22</v>
      </c>
      <c r="L79" s="5">
        <f t="shared" si="10"/>
        <v>1.0999999999999999E-2</v>
      </c>
      <c r="M79" s="26">
        <f t="shared" si="11"/>
        <v>25.345557599999999</v>
      </c>
    </row>
    <row r="80" spans="1:13" x14ac:dyDescent="0.25">
      <c r="A80" s="16" t="str">
        <f t="shared" si="7"/>
        <v>January</v>
      </c>
      <c r="B80" s="31">
        <v>43836</v>
      </c>
      <c r="C80" s="32" t="s">
        <v>25</v>
      </c>
      <c r="D80" s="9" t="str">
        <f t="shared" si="8"/>
        <v>43836 - 1S</v>
      </c>
      <c r="E80" s="32" t="s">
        <v>15</v>
      </c>
      <c r="G80" s="4" t="str">
        <f>IFERROR(VLOOKUP(F80,Lists!$C:$D,2,0), "N/A")</f>
        <v>N/A</v>
      </c>
      <c r="H80" s="26">
        <f>IFERROR(VLOOKUP(F80,Lists!$C:$E,3,0),0)</f>
        <v>0</v>
      </c>
      <c r="I80" s="7">
        <f t="shared" si="9"/>
        <v>0</v>
      </c>
      <c r="J80" s="6">
        <v>0</v>
      </c>
      <c r="K80" s="33">
        <v>20</v>
      </c>
      <c r="L80" s="5">
        <f t="shared" si="10"/>
        <v>1</v>
      </c>
      <c r="M80" s="26">
        <f t="shared" si="11"/>
        <v>0</v>
      </c>
    </row>
    <row r="81" spans="1:13" x14ac:dyDescent="0.25">
      <c r="A81" s="16" t="str">
        <f t="shared" si="7"/>
        <v>January</v>
      </c>
      <c r="B81" s="31">
        <v>43840</v>
      </c>
      <c r="C81" s="32" t="s">
        <v>25</v>
      </c>
      <c r="D81" s="9" t="str">
        <f t="shared" si="8"/>
        <v>43840 - 1S</v>
      </c>
      <c r="E81" s="32" t="s">
        <v>15</v>
      </c>
      <c r="G81" s="4" t="str">
        <f>IFERROR(VLOOKUP(F81,Lists!$C:$D,2,0), "N/A")</f>
        <v>N/A</v>
      </c>
      <c r="H81" s="26">
        <f>IFERROR(VLOOKUP(F81,Lists!$C:$E,3,0),0)</f>
        <v>0</v>
      </c>
      <c r="I81" s="7">
        <f t="shared" si="9"/>
        <v>0</v>
      </c>
      <c r="J81" s="6">
        <v>0</v>
      </c>
      <c r="K81" s="33">
        <v>5</v>
      </c>
      <c r="L81" s="5">
        <f t="shared" si="10"/>
        <v>1</v>
      </c>
      <c r="M81" s="26">
        <f t="shared" si="11"/>
        <v>0</v>
      </c>
    </row>
    <row r="82" spans="1:13" x14ac:dyDescent="0.25">
      <c r="A82" s="16" t="str">
        <f t="shared" si="7"/>
        <v>January</v>
      </c>
      <c r="B82" s="31">
        <v>43843</v>
      </c>
      <c r="C82" s="32" t="s">
        <v>25</v>
      </c>
      <c r="D82" s="9" t="str">
        <f t="shared" si="8"/>
        <v>43843 - 1S</v>
      </c>
      <c r="E82" s="32" t="s">
        <v>15</v>
      </c>
      <c r="G82" s="4" t="str">
        <f>IFERROR(VLOOKUP(F82,Lists!$C:$D,2,0), "N/A")</f>
        <v>N/A</v>
      </c>
      <c r="H82" s="26">
        <f>IFERROR(VLOOKUP(F82,Lists!$C:$E,3,0),0)</f>
        <v>0</v>
      </c>
      <c r="I82" s="7">
        <f t="shared" si="9"/>
        <v>0</v>
      </c>
      <c r="J82" s="6">
        <v>0</v>
      </c>
      <c r="K82" s="33">
        <v>31</v>
      </c>
      <c r="L82" s="5">
        <f t="shared" si="10"/>
        <v>1</v>
      </c>
      <c r="M82" s="26">
        <f t="shared" si="11"/>
        <v>0</v>
      </c>
    </row>
    <row r="83" spans="1:13" x14ac:dyDescent="0.25">
      <c r="A83" s="16" t="str">
        <f t="shared" si="7"/>
        <v>January</v>
      </c>
      <c r="B83" s="31">
        <v>43844</v>
      </c>
      <c r="C83" s="32" t="s">
        <v>25</v>
      </c>
      <c r="D83" s="9" t="str">
        <f t="shared" si="8"/>
        <v>43844 - 1S</v>
      </c>
      <c r="E83" s="32" t="s">
        <v>15</v>
      </c>
      <c r="G83" s="4" t="str">
        <f>IFERROR(VLOOKUP(F83,Lists!$C:$D,2,0), "N/A")</f>
        <v>N/A</v>
      </c>
      <c r="H83" s="26">
        <f>IFERROR(VLOOKUP(F83,Lists!$C:$E,3,0),0)</f>
        <v>0</v>
      </c>
      <c r="I83" s="7">
        <f t="shared" si="9"/>
        <v>0</v>
      </c>
      <c r="J83" s="6">
        <v>0</v>
      </c>
      <c r="K83" s="33">
        <v>102</v>
      </c>
      <c r="L83" s="5">
        <f t="shared" si="10"/>
        <v>1</v>
      </c>
      <c r="M83" s="26">
        <f t="shared" si="11"/>
        <v>0</v>
      </c>
    </row>
    <row r="84" spans="1:13" x14ac:dyDescent="0.25">
      <c r="A84" s="16" t="str">
        <f t="shared" si="7"/>
        <v>January</v>
      </c>
      <c r="B84" s="31">
        <v>43846</v>
      </c>
      <c r="C84" s="32" t="s">
        <v>25</v>
      </c>
      <c r="D84" s="9" t="str">
        <f t="shared" si="8"/>
        <v>43846 - 1S</v>
      </c>
      <c r="E84" s="32" t="s">
        <v>15</v>
      </c>
      <c r="G84" s="4" t="str">
        <f>IFERROR(VLOOKUP(F84,Lists!$C:$D,2,0), "N/A")</f>
        <v>N/A</v>
      </c>
      <c r="H84" s="26">
        <f>IFERROR(VLOOKUP(F84,Lists!$C:$E,3,0),0)</f>
        <v>0</v>
      </c>
      <c r="I84" s="7">
        <f t="shared" si="9"/>
        <v>0</v>
      </c>
      <c r="J84" s="6">
        <v>0</v>
      </c>
      <c r="K84" s="33">
        <v>10</v>
      </c>
      <c r="L84" s="5">
        <f t="shared" si="10"/>
        <v>1</v>
      </c>
      <c r="M84" s="26">
        <f t="shared" si="11"/>
        <v>0</v>
      </c>
    </row>
    <row r="85" spans="1:13" x14ac:dyDescent="0.25">
      <c r="A85" s="16" t="str">
        <f t="shared" si="7"/>
        <v>January</v>
      </c>
      <c r="B85" s="31">
        <v>43853</v>
      </c>
      <c r="C85" s="32" t="s">
        <v>25</v>
      </c>
      <c r="D85" s="9" t="str">
        <f t="shared" si="8"/>
        <v>43853 - 1S</v>
      </c>
      <c r="E85" s="32" t="s">
        <v>15</v>
      </c>
      <c r="G85" s="4" t="str">
        <f>IFERROR(VLOOKUP(F85,Lists!$C:$D,2,0), "N/A")</f>
        <v>N/A</v>
      </c>
      <c r="H85" s="26">
        <f>IFERROR(VLOOKUP(F85,Lists!$C:$E,3,0),0)</f>
        <v>0</v>
      </c>
      <c r="I85" s="7">
        <f t="shared" si="9"/>
        <v>0</v>
      </c>
      <c r="J85" s="6">
        <v>0</v>
      </c>
      <c r="K85" s="33">
        <v>20</v>
      </c>
      <c r="L85" s="5">
        <f t="shared" si="10"/>
        <v>1</v>
      </c>
      <c r="M85" s="26">
        <f t="shared" si="11"/>
        <v>0</v>
      </c>
    </row>
    <row r="86" spans="1:13" x14ac:dyDescent="0.25">
      <c r="A86" s="16" t="str">
        <f t="shared" si="7"/>
        <v>January</v>
      </c>
      <c r="B86" s="31">
        <v>43854</v>
      </c>
      <c r="C86" s="32" t="s">
        <v>25</v>
      </c>
      <c r="D86" s="9" t="str">
        <f t="shared" si="8"/>
        <v>43854 - 1S</v>
      </c>
      <c r="E86" s="32" t="s">
        <v>15</v>
      </c>
      <c r="G86" s="4" t="str">
        <f>IFERROR(VLOOKUP(F86,Lists!$C:$D,2,0), "N/A")</f>
        <v>N/A</v>
      </c>
      <c r="H86" s="26">
        <f>IFERROR(VLOOKUP(F86,Lists!$C:$E,3,0),0)</f>
        <v>0</v>
      </c>
      <c r="I86" s="7">
        <f t="shared" si="9"/>
        <v>0</v>
      </c>
      <c r="J86" s="6">
        <v>0</v>
      </c>
      <c r="K86" s="33">
        <v>25</v>
      </c>
      <c r="L86" s="5">
        <f t="shared" si="10"/>
        <v>1</v>
      </c>
      <c r="M86" s="26">
        <f t="shared" si="11"/>
        <v>0</v>
      </c>
    </row>
    <row r="87" spans="1:13" x14ac:dyDescent="0.25">
      <c r="A87" s="16" t="str">
        <f t="shared" si="7"/>
        <v>January</v>
      </c>
      <c r="B87" s="31">
        <v>43857</v>
      </c>
      <c r="C87" s="32" t="s">
        <v>25</v>
      </c>
      <c r="D87" s="9" t="str">
        <f t="shared" si="8"/>
        <v>43857 - 1S</v>
      </c>
      <c r="E87" s="32" t="s">
        <v>15</v>
      </c>
      <c r="G87" s="4" t="str">
        <f>IFERROR(VLOOKUP(F87,Lists!$C:$D,2,0), "N/A")</f>
        <v>N/A</v>
      </c>
      <c r="H87" s="26">
        <f>IFERROR(VLOOKUP(F87,Lists!$C:$E,3,0),0)</f>
        <v>0</v>
      </c>
      <c r="I87" s="7">
        <f t="shared" si="9"/>
        <v>0</v>
      </c>
      <c r="J87" s="6">
        <v>0</v>
      </c>
      <c r="K87" s="33">
        <v>25</v>
      </c>
      <c r="L87" s="5">
        <f t="shared" si="10"/>
        <v>1</v>
      </c>
      <c r="M87" s="26">
        <f t="shared" si="11"/>
        <v>0</v>
      </c>
    </row>
    <row r="88" spans="1:13" x14ac:dyDescent="0.25">
      <c r="A88" s="16" t="str">
        <f t="shared" si="7"/>
        <v>January</v>
      </c>
      <c r="B88" s="31">
        <v>43858</v>
      </c>
      <c r="C88" s="32" t="s">
        <v>25</v>
      </c>
      <c r="D88" s="9" t="str">
        <f t="shared" si="8"/>
        <v>43858 - 1S</v>
      </c>
      <c r="E88" s="32" t="s">
        <v>15</v>
      </c>
      <c r="G88" s="4" t="str">
        <f>IFERROR(VLOOKUP(F88,Lists!$C:$D,2,0), "N/A")</f>
        <v>N/A</v>
      </c>
      <c r="H88" s="26">
        <f>IFERROR(VLOOKUP(F88,Lists!$C:$E,3,0),0)</f>
        <v>0</v>
      </c>
      <c r="I88" s="7">
        <f t="shared" si="9"/>
        <v>0</v>
      </c>
      <c r="J88" s="6">
        <v>0</v>
      </c>
      <c r="K88" s="33">
        <v>80</v>
      </c>
      <c r="L88" s="5">
        <f t="shared" si="10"/>
        <v>1</v>
      </c>
      <c r="M88" s="26">
        <f t="shared" si="11"/>
        <v>0</v>
      </c>
    </row>
    <row r="89" spans="1:13" x14ac:dyDescent="0.25">
      <c r="A89" s="16" t="str">
        <f t="shared" si="7"/>
        <v>January</v>
      </c>
      <c r="B89" s="31">
        <v>43859</v>
      </c>
      <c r="C89" s="32" t="s">
        <v>25</v>
      </c>
      <c r="D89" s="9" t="str">
        <f t="shared" si="8"/>
        <v>43859 - 1S</v>
      </c>
      <c r="E89" s="32" t="s">
        <v>15</v>
      </c>
      <c r="G89" s="4" t="str">
        <f>IFERROR(VLOOKUP(F89,Lists!$C:$D,2,0), "N/A")</f>
        <v>N/A</v>
      </c>
      <c r="H89" s="26">
        <f>IFERROR(VLOOKUP(F89,Lists!$C:$E,3,0),0)</f>
        <v>0</v>
      </c>
      <c r="I89" s="7">
        <f t="shared" si="9"/>
        <v>0</v>
      </c>
      <c r="J89" s="6">
        <v>0</v>
      </c>
      <c r="K89" s="33">
        <v>25</v>
      </c>
      <c r="L89" s="5">
        <f t="shared" si="10"/>
        <v>1</v>
      </c>
      <c r="M89" s="26">
        <f t="shared" si="11"/>
        <v>0</v>
      </c>
    </row>
    <row r="90" spans="1:13" x14ac:dyDescent="0.25">
      <c r="A90" s="16" t="str">
        <f t="shared" si="7"/>
        <v>January</v>
      </c>
      <c r="B90" s="31">
        <v>43860</v>
      </c>
      <c r="C90" s="32" t="s">
        <v>25</v>
      </c>
      <c r="D90" s="9" t="str">
        <f t="shared" si="8"/>
        <v>43860 - 1S</v>
      </c>
      <c r="E90" s="32" t="s">
        <v>15</v>
      </c>
      <c r="G90" s="4" t="str">
        <f>IFERROR(VLOOKUP(F90,Lists!$C:$D,2,0), "N/A")</f>
        <v>N/A</v>
      </c>
      <c r="H90" s="26">
        <f>IFERROR(VLOOKUP(F90,Lists!$C:$E,3,0),0)</f>
        <v>0</v>
      </c>
      <c r="I90" s="7">
        <f t="shared" si="9"/>
        <v>0</v>
      </c>
      <c r="J90" s="6">
        <v>0</v>
      </c>
      <c r="K90" s="33">
        <v>25</v>
      </c>
      <c r="L90" s="5">
        <f t="shared" si="10"/>
        <v>1</v>
      </c>
      <c r="M90" s="26">
        <f t="shared" si="11"/>
        <v>0</v>
      </c>
    </row>
    <row r="91" spans="1:13" x14ac:dyDescent="0.25">
      <c r="A91" s="16" t="str">
        <f t="shared" si="7"/>
        <v>February</v>
      </c>
      <c r="B91" s="31">
        <v>43864</v>
      </c>
      <c r="C91" s="32" t="s">
        <v>25</v>
      </c>
      <c r="D91" s="9" t="str">
        <f t="shared" si="8"/>
        <v>43864 - 1S</v>
      </c>
      <c r="E91" s="32" t="s">
        <v>9</v>
      </c>
      <c r="F91" s="2">
        <v>8000035</v>
      </c>
      <c r="G91" s="4" t="str">
        <f>IFERROR(VLOOKUP(F91,Lists!$C:$D,2,0), "N/A")</f>
        <v>TURTLES MILK CHOC ORIGINAL</v>
      </c>
      <c r="H91" s="26">
        <f>IFERROR(VLOOKUP(F91,Lists!$C:$F,4,0),0)</f>
        <v>1.91178</v>
      </c>
      <c r="I91" s="7">
        <f t="shared" ref="I91:I122" si="12">J91+K91</f>
        <v>3566</v>
      </c>
      <c r="J91" s="6">
        <v>3281</v>
      </c>
      <c r="K91" s="33">
        <v>285</v>
      </c>
      <c r="L91" s="5">
        <f t="shared" si="10"/>
        <v>8.686376104846083E-2</v>
      </c>
      <c r="M91" s="26">
        <f t="shared" si="11"/>
        <v>544.85730000000001</v>
      </c>
    </row>
    <row r="92" spans="1:13" x14ac:dyDescent="0.25">
      <c r="A92" s="16" t="str">
        <f t="shared" si="7"/>
        <v>February</v>
      </c>
      <c r="B92" s="31">
        <v>43865</v>
      </c>
      <c r="C92" s="32" t="s">
        <v>25</v>
      </c>
      <c r="D92" s="9" t="str">
        <f t="shared" si="8"/>
        <v>43865 - 1S</v>
      </c>
      <c r="E92" s="32" t="s">
        <v>9</v>
      </c>
      <c r="F92" s="2">
        <v>8000035</v>
      </c>
      <c r="G92" s="4" t="str">
        <f>IFERROR(VLOOKUP(F92,Lists!$C:$D,2,0), "N/A")</f>
        <v>TURTLES MILK CHOC ORIGINAL</v>
      </c>
      <c r="H92" s="26">
        <f>IFERROR(VLOOKUP(F92,Lists!$C:$F,4,0),0)</f>
        <v>1.91178</v>
      </c>
      <c r="I92" s="7">
        <f t="shared" si="12"/>
        <v>831</v>
      </c>
      <c r="J92" s="6">
        <v>817</v>
      </c>
      <c r="K92" s="33">
        <v>14</v>
      </c>
      <c r="L92" s="5">
        <f t="shared" si="10"/>
        <v>1.7135862913096694E-2</v>
      </c>
      <c r="M92" s="26">
        <f t="shared" si="11"/>
        <v>26.76492</v>
      </c>
    </row>
    <row r="93" spans="1:13" x14ac:dyDescent="0.25">
      <c r="A93" s="16" t="str">
        <f t="shared" si="7"/>
        <v>February</v>
      </c>
      <c r="B93" s="31">
        <v>43866</v>
      </c>
      <c r="C93" s="32" t="s">
        <v>25</v>
      </c>
      <c r="D93" s="9" t="str">
        <f t="shared" si="8"/>
        <v>43866 - 1S</v>
      </c>
      <c r="E93" s="32" t="s">
        <v>9</v>
      </c>
      <c r="F93" s="2">
        <v>8000035</v>
      </c>
      <c r="G93" s="4" t="str">
        <f>IFERROR(VLOOKUP(F93,Lists!$C:$D,2,0), "N/A")</f>
        <v>TURTLES MILK CHOC ORIGINAL</v>
      </c>
      <c r="H93" s="26">
        <f>IFERROR(VLOOKUP(F93,Lists!$C:$F,4,0),0)</f>
        <v>1.91178</v>
      </c>
      <c r="I93" s="7">
        <f t="shared" si="12"/>
        <v>12122</v>
      </c>
      <c r="J93" s="6">
        <v>11910</v>
      </c>
      <c r="K93" s="33">
        <v>212</v>
      </c>
      <c r="L93" s="5">
        <f t="shared" si="10"/>
        <v>1.7800167926112512E-2</v>
      </c>
      <c r="M93" s="26">
        <f t="shared" si="11"/>
        <v>405.29736000000003</v>
      </c>
    </row>
    <row r="94" spans="1:13" x14ac:dyDescent="0.25">
      <c r="A94" s="16" t="str">
        <f t="shared" si="7"/>
        <v>February</v>
      </c>
      <c r="B94" s="31">
        <v>43867</v>
      </c>
      <c r="C94" s="32" t="s">
        <v>25</v>
      </c>
      <c r="D94" s="9" t="str">
        <f t="shared" si="8"/>
        <v>43867 - 1S</v>
      </c>
      <c r="E94" s="32" t="s">
        <v>9</v>
      </c>
      <c r="F94" s="2">
        <v>8000035</v>
      </c>
      <c r="G94" s="4" t="str">
        <f>IFERROR(VLOOKUP(F94,Lists!$C:$D,2,0), "N/A")</f>
        <v>TURTLES MILK CHOC ORIGINAL</v>
      </c>
      <c r="H94" s="26">
        <f>IFERROR(VLOOKUP(F94,Lists!$C:$F,4,0),0)</f>
        <v>1.91178</v>
      </c>
      <c r="I94" s="7">
        <f t="shared" si="12"/>
        <v>5188</v>
      </c>
      <c r="J94" s="6">
        <v>5065</v>
      </c>
      <c r="K94" s="33">
        <v>123</v>
      </c>
      <c r="L94" s="5">
        <f t="shared" si="10"/>
        <v>2.428430404738401E-2</v>
      </c>
      <c r="M94" s="26">
        <f t="shared" si="11"/>
        <v>235.14894000000001</v>
      </c>
    </row>
    <row r="95" spans="1:13" x14ac:dyDescent="0.25">
      <c r="A95" s="16" t="str">
        <f t="shared" si="7"/>
        <v>February</v>
      </c>
      <c r="B95" s="31">
        <v>43868</v>
      </c>
      <c r="C95" s="32" t="s">
        <v>25</v>
      </c>
      <c r="D95" s="9" t="str">
        <f t="shared" si="8"/>
        <v>43868 - 1S</v>
      </c>
      <c r="E95" s="32" t="s">
        <v>9</v>
      </c>
      <c r="F95" s="2">
        <v>8000035</v>
      </c>
      <c r="G95" s="4" t="str">
        <f>IFERROR(VLOOKUP(F95,Lists!$C:$D,2,0), "N/A")</f>
        <v>TURTLES MILK CHOC ORIGINAL</v>
      </c>
      <c r="H95" s="26">
        <f>IFERROR(VLOOKUP(F95,Lists!$C:$F,4,0),0)</f>
        <v>1.91178</v>
      </c>
      <c r="I95" s="7">
        <f t="shared" si="12"/>
        <v>7429</v>
      </c>
      <c r="J95" s="6">
        <v>7128</v>
      </c>
      <c r="K95" s="33">
        <v>301</v>
      </c>
      <c r="L95" s="5">
        <f t="shared" si="10"/>
        <v>4.2227833894500563E-2</v>
      </c>
      <c r="M95" s="26">
        <f t="shared" si="11"/>
        <v>575.44578000000001</v>
      </c>
    </row>
    <row r="96" spans="1:13" x14ac:dyDescent="0.25">
      <c r="A96" s="16" t="str">
        <f t="shared" si="7"/>
        <v>February</v>
      </c>
      <c r="B96" s="31">
        <v>43871</v>
      </c>
      <c r="C96" s="32" t="s">
        <v>25</v>
      </c>
      <c r="D96" s="9" t="str">
        <f t="shared" si="8"/>
        <v>43871 - 1S</v>
      </c>
      <c r="E96" s="32" t="s">
        <v>9</v>
      </c>
      <c r="F96" s="2">
        <v>8000046</v>
      </c>
      <c r="G96" s="4" t="str">
        <f>IFERROR(VLOOKUP(F96,Lists!$C:$D,2,0), "N/A")</f>
        <v>TURTLES MC SEA SALT PECAN</v>
      </c>
      <c r="H96" s="26">
        <f>IFERROR(VLOOKUP(F96,Lists!$C:$F,4,0),0)</f>
        <v>1.9184100000000002</v>
      </c>
      <c r="I96" s="7">
        <f t="shared" si="12"/>
        <v>5919</v>
      </c>
      <c r="J96" s="6">
        <v>5702</v>
      </c>
      <c r="K96" s="33">
        <v>217</v>
      </c>
      <c r="L96" s="5">
        <f t="shared" si="10"/>
        <v>3.8056822167660473E-2</v>
      </c>
      <c r="M96" s="26">
        <f t="shared" si="11"/>
        <v>416.29497000000003</v>
      </c>
    </row>
    <row r="97" spans="1:13" x14ac:dyDescent="0.25">
      <c r="A97" s="16" t="str">
        <f t="shared" si="7"/>
        <v>February</v>
      </c>
      <c r="B97" s="31">
        <v>43872</v>
      </c>
      <c r="C97" s="32" t="s">
        <v>25</v>
      </c>
      <c r="D97" s="9" t="str">
        <f t="shared" si="8"/>
        <v>43872 - 1S</v>
      </c>
      <c r="E97" s="32" t="s">
        <v>9</v>
      </c>
      <c r="F97" s="2">
        <v>8000046</v>
      </c>
      <c r="G97" s="4" t="str">
        <f>IFERROR(VLOOKUP(F97,Lists!$C:$D,2,0), "N/A")</f>
        <v>TURTLES MC SEA SALT PECAN</v>
      </c>
      <c r="H97" s="26">
        <f>IFERROR(VLOOKUP(F97,Lists!$C:$F,4,0),0)</f>
        <v>1.9184100000000002</v>
      </c>
      <c r="I97" s="7">
        <f t="shared" si="12"/>
        <v>7290</v>
      </c>
      <c r="J97" s="6">
        <v>7128</v>
      </c>
      <c r="K97" s="33">
        <v>162</v>
      </c>
      <c r="L97" s="5">
        <f t="shared" si="10"/>
        <v>2.2727272727272728E-2</v>
      </c>
      <c r="M97" s="26">
        <f t="shared" si="11"/>
        <v>310.78242</v>
      </c>
    </row>
    <row r="98" spans="1:13" x14ac:dyDescent="0.25">
      <c r="A98" s="16" t="str">
        <f t="shared" ref="A98:A129" si="13">TEXT(B98,"mmmm")</f>
        <v>February</v>
      </c>
      <c r="B98" s="31">
        <v>43873</v>
      </c>
      <c r="C98" s="32" t="s">
        <v>25</v>
      </c>
      <c r="D98" s="9" t="str">
        <f t="shared" si="8"/>
        <v>43873 - 1S</v>
      </c>
      <c r="E98" s="32" t="s">
        <v>9</v>
      </c>
      <c r="F98" s="2">
        <v>8000035</v>
      </c>
      <c r="G98" s="4" t="str">
        <f>IFERROR(VLOOKUP(F98,Lists!$C:$D,2,0), "N/A")</f>
        <v>TURTLES MILK CHOC ORIGINAL</v>
      </c>
      <c r="H98" s="26">
        <f>IFERROR(VLOOKUP(F98,Lists!$C:$F,4,0),0)</f>
        <v>1.91178</v>
      </c>
      <c r="I98" s="7">
        <f t="shared" si="12"/>
        <v>2711</v>
      </c>
      <c r="J98" s="6">
        <v>2644</v>
      </c>
      <c r="K98" s="33">
        <v>67</v>
      </c>
      <c r="L98" s="5">
        <f t="shared" si="10"/>
        <v>2.5340393343419063E-2</v>
      </c>
      <c r="M98" s="26">
        <f t="shared" si="11"/>
        <v>128.08926</v>
      </c>
    </row>
    <row r="99" spans="1:13" x14ac:dyDescent="0.25">
      <c r="A99" s="16" t="str">
        <f t="shared" si="13"/>
        <v>February</v>
      </c>
      <c r="B99" s="31">
        <v>43874</v>
      </c>
      <c r="C99" s="32" t="s">
        <v>25</v>
      </c>
      <c r="D99" s="9" t="str">
        <f t="shared" si="8"/>
        <v>43874 - 1S</v>
      </c>
      <c r="E99" s="32" t="s">
        <v>9</v>
      </c>
      <c r="F99" s="2">
        <v>8000035</v>
      </c>
      <c r="G99" s="4" t="str">
        <f>IFERROR(VLOOKUP(F99,Lists!$C:$D,2,0), "N/A")</f>
        <v>TURTLES MILK CHOC ORIGINAL</v>
      </c>
      <c r="H99" s="26">
        <f>IFERROR(VLOOKUP(F99,Lists!$C:$F,4,0),0)</f>
        <v>1.91178</v>
      </c>
      <c r="I99" s="7">
        <f t="shared" si="12"/>
        <v>5808</v>
      </c>
      <c r="J99" s="6">
        <v>5647</v>
      </c>
      <c r="K99" s="33">
        <v>161</v>
      </c>
      <c r="L99" s="5">
        <f t="shared" si="10"/>
        <v>2.8510713653267222E-2</v>
      </c>
      <c r="M99" s="26">
        <f t="shared" si="11"/>
        <v>307.79658000000001</v>
      </c>
    </row>
    <row r="100" spans="1:13" x14ac:dyDescent="0.25">
      <c r="A100" s="16" t="str">
        <f t="shared" si="13"/>
        <v>February</v>
      </c>
      <c r="B100" s="31">
        <v>43875</v>
      </c>
      <c r="C100" s="32" t="s">
        <v>25</v>
      </c>
      <c r="D100" s="9" t="str">
        <f t="shared" si="8"/>
        <v>43875 - 1S</v>
      </c>
      <c r="E100" s="32" t="s">
        <v>9</v>
      </c>
      <c r="F100" s="2">
        <v>8000035</v>
      </c>
      <c r="G100" s="4" t="str">
        <f>IFERROR(VLOOKUP(F100,Lists!$C:$D,2,0), "N/A")</f>
        <v>TURTLES MILK CHOC ORIGINAL</v>
      </c>
      <c r="H100" s="26">
        <f>IFERROR(VLOOKUP(F100,Lists!$C:$F,4,0),0)</f>
        <v>1.91178</v>
      </c>
      <c r="I100" s="7">
        <f t="shared" si="12"/>
        <v>7472</v>
      </c>
      <c r="J100" s="6">
        <v>7167</v>
      </c>
      <c r="K100" s="33">
        <v>305</v>
      </c>
      <c r="L100" s="5">
        <f t="shared" si="10"/>
        <v>4.2556160178596342E-2</v>
      </c>
      <c r="M100" s="26">
        <f t="shared" si="11"/>
        <v>583.09289999999999</v>
      </c>
    </row>
    <row r="101" spans="1:13" x14ac:dyDescent="0.25">
      <c r="A101" s="16" t="str">
        <f t="shared" si="13"/>
        <v>February</v>
      </c>
      <c r="B101" s="31">
        <v>43866</v>
      </c>
      <c r="C101" s="32" t="s">
        <v>25</v>
      </c>
      <c r="D101" s="9" t="str">
        <f t="shared" si="8"/>
        <v>43866 - 1S</v>
      </c>
      <c r="E101" s="32" t="s">
        <v>11</v>
      </c>
      <c r="F101" s="2">
        <v>8000034</v>
      </c>
      <c r="G101" s="4" t="str">
        <f>IFERROR(VLOOKUP(F101,Lists!$C:$D,2,0), "N/A")</f>
        <v>KS MILK CHOC MACADAMIA</v>
      </c>
      <c r="H101" s="26">
        <f>IFERROR(VLOOKUP(F101,Lists!$C:$F,4,0),0)</f>
        <v>3.8943099999999999</v>
      </c>
      <c r="I101" s="7">
        <f t="shared" si="12"/>
        <v>8977</v>
      </c>
      <c r="J101" s="6">
        <v>8800</v>
      </c>
      <c r="K101" s="33">
        <v>177</v>
      </c>
      <c r="L101" s="5">
        <f t="shared" si="10"/>
        <v>2.0113636363636365E-2</v>
      </c>
      <c r="M101" s="26">
        <f t="shared" si="11"/>
        <v>689.29286999999999</v>
      </c>
    </row>
    <row r="102" spans="1:13" x14ac:dyDescent="0.25">
      <c r="A102" s="16" t="str">
        <f t="shared" si="13"/>
        <v>February</v>
      </c>
      <c r="B102" s="31">
        <v>43867</v>
      </c>
      <c r="C102" s="32" t="s">
        <v>25</v>
      </c>
      <c r="D102" s="9" t="str">
        <f t="shared" si="8"/>
        <v>43867 - 1S</v>
      </c>
      <c r="E102" s="32" t="s">
        <v>11</v>
      </c>
      <c r="F102" s="2">
        <v>8000034</v>
      </c>
      <c r="G102" s="4" t="str">
        <f>IFERROR(VLOOKUP(F102,Lists!$C:$D,2,0), "N/A")</f>
        <v>KS MILK CHOC MACADAMIA</v>
      </c>
      <c r="H102" s="26">
        <f>IFERROR(VLOOKUP(F102,Lists!$C:$F,4,0),0)</f>
        <v>3.8943099999999999</v>
      </c>
      <c r="I102" s="7">
        <f t="shared" si="12"/>
        <v>8176</v>
      </c>
      <c r="J102" s="6">
        <v>8000</v>
      </c>
      <c r="K102" s="33">
        <v>176</v>
      </c>
      <c r="L102" s="5">
        <f t="shared" si="10"/>
        <v>2.1999999999999999E-2</v>
      </c>
      <c r="M102" s="26">
        <f t="shared" si="11"/>
        <v>685.39855999999997</v>
      </c>
    </row>
    <row r="103" spans="1:13" x14ac:dyDescent="0.25">
      <c r="A103" s="16" t="str">
        <f t="shared" si="13"/>
        <v>February</v>
      </c>
      <c r="B103" s="31">
        <v>43868</v>
      </c>
      <c r="C103" s="32" t="s">
        <v>25</v>
      </c>
      <c r="D103" s="9" t="str">
        <f t="shared" si="8"/>
        <v>43868 - 1S</v>
      </c>
      <c r="E103" s="32" t="s">
        <v>11</v>
      </c>
      <c r="F103" s="2">
        <v>8000034</v>
      </c>
      <c r="G103" s="4" t="str">
        <f>IFERROR(VLOOKUP(F103,Lists!$C:$D,2,0), "N/A")</f>
        <v>KS MILK CHOC MACADAMIA</v>
      </c>
      <c r="H103" s="26">
        <f>IFERROR(VLOOKUP(F103,Lists!$C:$F,4,0),0)</f>
        <v>3.8943099999999999</v>
      </c>
      <c r="I103" s="7">
        <f t="shared" si="12"/>
        <v>3345</v>
      </c>
      <c r="J103" s="6">
        <v>3200</v>
      </c>
      <c r="K103" s="33">
        <v>145</v>
      </c>
      <c r="L103" s="5">
        <f t="shared" si="10"/>
        <v>4.5312499999999999E-2</v>
      </c>
      <c r="M103" s="26">
        <f t="shared" si="11"/>
        <v>564.67494999999997</v>
      </c>
    </row>
    <row r="104" spans="1:13" x14ac:dyDescent="0.25">
      <c r="A104" s="16" t="str">
        <f t="shared" si="13"/>
        <v>February</v>
      </c>
      <c r="B104" s="31">
        <v>43872</v>
      </c>
      <c r="C104" s="32" t="s">
        <v>25</v>
      </c>
      <c r="D104" s="9" t="str">
        <f t="shared" si="8"/>
        <v>43872 - 1S</v>
      </c>
      <c r="E104" s="32" t="s">
        <v>11</v>
      </c>
      <c r="F104" s="2">
        <v>8000034</v>
      </c>
      <c r="G104" s="4" t="str">
        <f>IFERROR(VLOOKUP(F104,Lists!$C:$D,2,0), "N/A")</f>
        <v>KS MILK CHOC MACADAMIA</v>
      </c>
      <c r="H104" s="26">
        <f>IFERROR(VLOOKUP(F104,Lists!$C:$F,4,0),0)</f>
        <v>3.8943099999999999</v>
      </c>
      <c r="I104" s="7">
        <f t="shared" si="12"/>
        <v>8073</v>
      </c>
      <c r="J104" s="6">
        <v>8000</v>
      </c>
      <c r="K104" s="33">
        <v>73</v>
      </c>
      <c r="L104" s="5">
        <f t="shared" si="10"/>
        <v>9.1249999999999994E-3</v>
      </c>
      <c r="M104" s="26">
        <f t="shared" si="11"/>
        <v>284.28462999999999</v>
      </c>
    </row>
    <row r="105" spans="1:13" x14ac:dyDescent="0.25">
      <c r="A105" s="16" t="str">
        <f t="shared" si="13"/>
        <v>February</v>
      </c>
      <c r="B105" s="31">
        <v>43873</v>
      </c>
      <c r="C105" s="32" t="s">
        <v>25</v>
      </c>
      <c r="D105" s="9" t="str">
        <f t="shared" si="8"/>
        <v>43873 - 1S</v>
      </c>
      <c r="E105" s="32" t="s">
        <v>11</v>
      </c>
      <c r="F105" s="2">
        <v>8000034</v>
      </c>
      <c r="G105" s="4" t="str">
        <f>IFERROR(VLOOKUP(F105,Lists!$C:$D,2,0), "N/A")</f>
        <v>KS MILK CHOC MACADAMIA</v>
      </c>
      <c r="H105" s="26">
        <f>IFERROR(VLOOKUP(F105,Lists!$C:$F,4,0),0)</f>
        <v>3.8943099999999999</v>
      </c>
      <c r="I105" s="7">
        <f t="shared" si="12"/>
        <v>8932</v>
      </c>
      <c r="J105" s="6">
        <v>8800</v>
      </c>
      <c r="K105" s="33">
        <v>132</v>
      </c>
      <c r="L105" s="5">
        <f t="shared" si="10"/>
        <v>1.4999999999999999E-2</v>
      </c>
      <c r="M105" s="26">
        <f t="shared" si="11"/>
        <v>514.04891999999995</v>
      </c>
    </row>
    <row r="106" spans="1:13" x14ac:dyDescent="0.25">
      <c r="A106" s="16" t="str">
        <f t="shared" si="13"/>
        <v>February</v>
      </c>
      <c r="B106" s="31">
        <v>43862</v>
      </c>
      <c r="C106" s="32" t="s">
        <v>25</v>
      </c>
      <c r="D106" s="9" t="str">
        <f t="shared" si="8"/>
        <v>43862 - 1S</v>
      </c>
      <c r="E106" s="32" t="s">
        <v>12</v>
      </c>
      <c r="F106" s="2">
        <v>8000022</v>
      </c>
      <c r="G106" s="4" t="str">
        <f>IFERROR(VLOOKUP(F106,Lists!$C:$D,2,0), "N/A")</f>
        <v>WIP.BCP FLIPZ BIRTHDAY CAKE PRETZEL</v>
      </c>
      <c r="H106" s="26">
        <f>IFERROR(VLOOKUP(F106,Lists!$C:$F,4,0),0)</f>
        <v>1.5820799999999999</v>
      </c>
      <c r="I106" s="7">
        <f t="shared" si="12"/>
        <v>700</v>
      </c>
      <c r="J106" s="6">
        <v>625</v>
      </c>
      <c r="K106" s="33">
        <v>75</v>
      </c>
      <c r="L106" s="5">
        <f t="shared" si="10"/>
        <v>0.12</v>
      </c>
      <c r="M106" s="26">
        <f t="shared" si="11"/>
        <v>118.65599999999999</v>
      </c>
    </row>
    <row r="107" spans="1:13" x14ac:dyDescent="0.25">
      <c r="A107" s="16" t="str">
        <f t="shared" si="13"/>
        <v>February</v>
      </c>
      <c r="B107" s="31">
        <v>43863</v>
      </c>
      <c r="C107" s="32" t="s">
        <v>25</v>
      </c>
      <c r="D107" s="9" t="str">
        <f t="shared" si="8"/>
        <v>43863 - 1S</v>
      </c>
      <c r="E107" s="32" t="s">
        <v>12</v>
      </c>
      <c r="F107" s="2">
        <v>8000022</v>
      </c>
      <c r="G107" s="4" t="str">
        <f>IFERROR(VLOOKUP(F107,Lists!$C:$D,2,0), "N/A")</f>
        <v>WIP.BCP FLIPZ BIRTHDAY CAKE PRETZEL</v>
      </c>
      <c r="H107" s="26">
        <f>IFERROR(VLOOKUP(F107,Lists!$C:$F,4,0),0)</f>
        <v>1.5820799999999999</v>
      </c>
      <c r="I107" s="7">
        <f t="shared" si="12"/>
        <v>10010</v>
      </c>
      <c r="J107" s="6">
        <v>10000</v>
      </c>
      <c r="K107" s="33">
        <v>10</v>
      </c>
      <c r="L107" s="5">
        <f t="shared" si="10"/>
        <v>1E-3</v>
      </c>
      <c r="M107" s="26">
        <f t="shared" si="11"/>
        <v>15.820799999999998</v>
      </c>
    </row>
    <row r="108" spans="1:13" x14ac:dyDescent="0.25">
      <c r="A108" s="16" t="str">
        <f t="shared" si="13"/>
        <v>February</v>
      </c>
      <c r="B108" s="31">
        <v>43864</v>
      </c>
      <c r="C108" s="32" t="s">
        <v>25</v>
      </c>
      <c r="D108" s="9" t="str">
        <f t="shared" si="8"/>
        <v>43864 - 1S</v>
      </c>
      <c r="E108" s="32" t="s">
        <v>12</v>
      </c>
      <c r="F108" s="2">
        <v>8000022</v>
      </c>
      <c r="G108" s="4" t="str">
        <f>IFERROR(VLOOKUP(F108,Lists!$C:$D,2,0), "N/A")</f>
        <v>WIP.BCP FLIPZ BIRTHDAY CAKE PRETZEL</v>
      </c>
      <c r="H108" s="26">
        <f>IFERROR(VLOOKUP(F108,Lists!$C:$F,4,0),0)</f>
        <v>1.5820799999999999</v>
      </c>
      <c r="I108" s="7">
        <f t="shared" si="12"/>
        <v>10000</v>
      </c>
      <c r="J108" s="6">
        <v>10000</v>
      </c>
      <c r="K108" s="33">
        <v>0</v>
      </c>
      <c r="L108" s="5">
        <f t="shared" si="10"/>
        <v>0</v>
      </c>
      <c r="M108" s="26">
        <f t="shared" si="11"/>
        <v>0</v>
      </c>
    </row>
    <row r="109" spans="1:13" x14ac:dyDescent="0.25">
      <c r="A109" s="16" t="str">
        <f t="shared" si="13"/>
        <v>February</v>
      </c>
      <c r="B109" s="31">
        <v>43866</v>
      </c>
      <c r="C109" s="32" t="s">
        <v>25</v>
      </c>
      <c r="D109" s="9" t="str">
        <f t="shared" si="8"/>
        <v>43866 - 1S</v>
      </c>
      <c r="E109" s="32" t="s">
        <v>12</v>
      </c>
      <c r="F109" s="2">
        <v>8000055</v>
      </c>
      <c r="G109" s="4" t="str">
        <f>IFERROR(VLOOKUP(F109,Lists!$C:$D,2,0), "N/A")</f>
        <v>916.BF FLIPZ 25 LB BULK MILK CHOC</v>
      </c>
      <c r="H109" s="26">
        <f>IFERROR(VLOOKUP(F109,Lists!$C:$F,4,0),0)</f>
        <v>1.9508160000000001</v>
      </c>
      <c r="I109" s="7">
        <f t="shared" si="12"/>
        <v>4090</v>
      </c>
      <c r="J109" s="6">
        <v>4000</v>
      </c>
      <c r="K109" s="33">
        <v>90</v>
      </c>
      <c r="L109" s="5">
        <f t="shared" si="10"/>
        <v>2.2499999999999999E-2</v>
      </c>
      <c r="M109" s="26">
        <f t="shared" si="11"/>
        <v>175.57344000000001</v>
      </c>
    </row>
    <row r="110" spans="1:13" x14ac:dyDescent="0.25">
      <c r="A110" s="16" t="str">
        <f t="shared" si="13"/>
        <v>February</v>
      </c>
      <c r="B110" s="31">
        <v>43867</v>
      </c>
      <c r="C110" s="32" t="s">
        <v>25</v>
      </c>
      <c r="D110" s="9" t="str">
        <f t="shared" si="8"/>
        <v>43867 - 1S</v>
      </c>
      <c r="E110" s="32" t="s">
        <v>12</v>
      </c>
      <c r="F110" s="2">
        <v>8000055</v>
      </c>
      <c r="G110" s="4" t="str">
        <f>IFERROR(VLOOKUP(F110,Lists!$C:$D,2,0), "N/A")</f>
        <v>916.BF FLIPZ 25 LB BULK MILK CHOC</v>
      </c>
      <c r="H110" s="26">
        <f>IFERROR(VLOOKUP(F110,Lists!$C:$F,4,0),0)</f>
        <v>1.9508160000000001</v>
      </c>
      <c r="I110" s="7">
        <f t="shared" si="12"/>
        <v>10007</v>
      </c>
      <c r="J110" s="6">
        <v>10000</v>
      </c>
      <c r="K110" s="33">
        <v>7</v>
      </c>
      <c r="L110" s="5">
        <f t="shared" si="10"/>
        <v>6.9999999999999999E-4</v>
      </c>
      <c r="M110" s="26">
        <f t="shared" si="11"/>
        <v>13.655712000000001</v>
      </c>
    </row>
    <row r="111" spans="1:13" x14ac:dyDescent="0.25">
      <c r="A111" s="16" t="str">
        <f t="shared" si="13"/>
        <v>February</v>
      </c>
      <c r="B111" s="31">
        <v>43869</v>
      </c>
      <c r="C111" s="32" t="s">
        <v>25</v>
      </c>
      <c r="D111" s="9" t="str">
        <f t="shared" si="8"/>
        <v>43869 - 1S</v>
      </c>
      <c r="E111" s="32" t="s">
        <v>12</v>
      </c>
      <c r="F111" s="2">
        <v>8000055</v>
      </c>
      <c r="G111" s="4" t="str">
        <f>IFERROR(VLOOKUP(F111,Lists!$C:$D,2,0), "N/A")</f>
        <v>916.BF FLIPZ 25 LB BULK MILK CHOC</v>
      </c>
      <c r="H111" s="26">
        <f>IFERROR(VLOOKUP(F111,Lists!$C:$F,4,0),0)</f>
        <v>1.9508160000000001</v>
      </c>
      <c r="I111" s="7">
        <f t="shared" si="12"/>
        <v>10004</v>
      </c>
      <c r="J111" s="6">
        <v>10000</v>
      </c>
      <c r="K111" s="33">
        <v>4</v>
      </c>
      <c r="L111" s="5">
        <f t="shared" si="10"/>
        <v>4.0000000000000002E-4</v>
      </c>
      <c r="M111" s="26">
        <f t="shared" si="11"/>
        <v>7.8032640000000004</v>
      </c>
    </row>
    <row r="112" spans="1:13" x14ac:dyDescent="0.25">
      <c r="A112" s="16" t="str">
        <f t="shared" si="13"/>
        <v>February</v>
      </c>
      <c r="B112" s="31">
        <v>43870</v>
      </c>
      <c r="C112" s="32" t="s">
        <v>25</v>
      </c>
      <c r="D112" s="9" t="str">
        <f t="shared" si="8"/>
        <v>43870 - 1S</v>
      </c>
      <c r="E112" s="32" t="s">
        <v>12</v>
      </c>
      <c r="F112" s="2">
        <v>8000055</v>
      </c>
      <c r="G112" s="4" t="str">
        <f>IFERROR(VLOOKUP(F112,Lists!$C:$D,2,0), "N/A")</f>
        <v>916.BF FLIPZ 25 LB BULK MILK CHOC</v>
      </c>
      <c r="H112" s="26">
        <f>IFERROR(VLOOKUP(F112,Lists!$C:$F,4,0),0)</f>
        <v>1.9508160000000001</v>
      </c>
      <c r="I112" s="7">
        <f t="shared" si="12"/>
        <v>8008</v>
      </c>
      <c r="J112" s="6">
        <v>8000</v>
      </c>
      <c r="K112" s="33">
        <v>8</v>
      </c>
      <c r="L112" s="5">
        <f t="shared" si="10"/>
        <v>1E-3</v>
      </c>
      <c r="M112" s="26">
        <f t="shared" si="11"/>
        <v>15.606528000000001</v>
      </c>
    </row>
    <row r="113" spans="1:13" x14ac:dyDescent="0.25">
      <c r="A113" s="16" t="str">
        <f t="shared" si="13"/>
        <v>February</v>
      </c>
      <c r="B113" s="31">
        <v>43871</v>
      </c>
      <c r="C113" s="32" t="s">
        <v>25</v>
      </c>
      <c r="D113" s="9" t="str">
        <f t="shared" si="8"/>
        <v>43871 - 1S</v>
      </c>
      <c r="E113" s="32" t="s">
        <v>12</v>
      </c>
      <c r="F113" s="2">
        <v>8000055</v>
      </c>
      <c r="G113" s="4" t="str">
        <f>IFERROR(VLOOKUP(F113,Lists!$C:$D,2,0), "N/A")</f>
        <v>916.BF FLIPZ 25 LB BULK MILK CHOC</v>
      </c>
      <c r="H113" s="26">
        <f>IFERROR(VLOOKUP(F113,Lists!$C:$F,4,0),0)</f>
        <v>1.9508160000000001</v>
      </c>
      <c r="I113" s="7">
        <f t="shared" si="12"/>
        <v>8003</v>
      </c>
      <c r="J113" s="6">
        <v>8000</v>
      </c>
      <c r="K113" s="33">
        <v>3</v>
      </c>
      <c r="L113" s="5">
        <f t="shared" si="10"/>
        <v>3.7500000000000001E-4</v>
      </c>
      <c r="M113" s="26">
        <f t="shared" si="11"/>
        <v>5.8524480000000008</v>
      </c>
    </row>
    <row r="114" spans="1:13" x14ac:dyDescent="0.25">
      <c r="A114" s="16" t="str">
        <f t="shared" si="13"/>
        <v>February</v>
      </c>
      <c r="B114" s="31">
        <v>43872</v>
      </c>
      <c r="C114" s="32" t="s">
        <v>25</v>
      </c>
      <c r="D114" s="9" t="str">
        <f t="shared" si="8"/>
        <v>43872 - 1S</v>
      </c>
      <c r="E114" s="32" t="s">
        <v>12</v>
      </c>
      <c r="F114" s="2">
        <v>8000055</v>
      </c>
      <c r="G114" s="4" t="str">
        <f>IFERROR(VLOOKUP(F114,Lists!$C:$D,2,0), "N/A")</f>
        <v>916.BF FLIPZ 25 LB BULK MILK CHOC</v>
      </c>
      <c r="H114" s="26">
        <f>IFERROR(VLOOKUP(F114,Lists!$C:$F,4,0),0)</f>
        <v>1.9508160000000001</v>
      </c>
      <c r="I114" s="7">
        <f t="shared" si="12"/>
        <v>1002</v>
      </c>
      <c r="J114" s="6">
        <v>1000</v>
      </c>
      <c r="K114" s="33">
        <v>2</v>
      </c>
      <c r="L114" s="5">
        <f t="shared" si="10"/>
        <v>2E-3</v>
      </c>
      <c r="M114" s="26">
        <f t="shared" si="11"/>
        <v>3.9016320000000002</v>
      </c>
    </row>
    <row r="115" spans="1:13" x14ac:dyDescent="0.25">
      <c r="A115" s="16" t="str">
        <f t="shared" si="13"/>
        <v>February</v>
      </c>
      <c r="B115" s="31">
        <v>43873</v>
      </c>
      <c r="C115" s="32" t="s">
        <v>25</v>
      </c>
      <c r="D115" s="9" t="str">
        <f t="shared" si="8"/>
        <v>43873 - 1S</v>
      </c>
      <c r="E115" s="32" t="s">
        <v>12</v>
      </c>
      <c r="F115" s="2">
        <v>8000055</v>
      </c>
      <c r="G115" s="4" t="str">
        <f>IFERROR(VLOOKUP(F115,Lists!$C:$D,2,0), "N/A")</f>
        <v>916.BF FLIPZ 25 LB BULK MILK CHOC</v>
      </c>
      <c r="H115" s="26">
        <f>IFERROR(VLOOKUP(F115,Lists!$C:$F,4,0),0)</f>
        <v>1.9508160000000001</v>
      </c>
      <c r="I115" s="7">
        <f t="shared" si="12"/>
        <v>6130</v>
      </c>
      <c r="J115" s="6">
        <v>6000</v>
      </c>
      <c r="K115" s="33">
        <v>130</v>
      </c>
      <c r="L115" s="5">
        <f t="shared" si="10"/>
        <v>2.1666666666666667E-2</v>
      </c>
      <c r="M115" s="26">
        <f t="shared" si="11"/>
        <v>253.60608000000002</v>
      </c>
    </row>
    <row r="116" spans="1:13" x14ac:dyDescent="0.25">
      <c r="A116" s="16" t="str">
        <f t="shared" si="13"/>
        <v>February</v>
      </c>
      <c r="B116" s="31">
        <v>43874</v>
      </c>
      <c r="C116" s="32" t="s">
        <v>25</v>
      </c>
      <c r="D116" s="9" t="str">
        <f t="shared" si="8"/>
        <v>43874 - 1S</v>
      </c>
      <c r="E116" s="32" t="s">
        <v>12</v>
      </c>
      <c r="F116" s="2">
        <v>8000055</v>
      </c>
      <c r="G116" s="4" t="str">
        <f>IFERROR(VLOOKUP(F116,Lists!$C:$D,2,0), "N/A")</f>
        <v>916.BF FLIPZ 25 LB BULK MILK CHOC</v>
      </c>
      <c r="H116" s="26">
        <f>IFERROR(VLOOKUP(F116,Lists!$C:$F,4,0),0)</f>
        <v>1.9508160000000001</v>
      </c>
      <c r="I116" s="7">
        <f t="shared" si="12"/>
        <v>9000</v>
      </c>
      <c r="J116" s="6">
        <v>9000</v>
      </c>
      <c r="K116" s="33">
        <v>0</v>
      </c>
      <c r="L116" s="5">
        <f t="shared" si="10"/>
        <v>0</v>
      </c>
      <c r="M116" s="26">
        <f t="shared" si="11"/>
        <v>0</v>
      </c>
    </row>
    <row r="117" spans="1:13" x14ac:dyDescent="0.25">
      <c r="A117" s="16" t="str">
        <f t="shared" si="13"/>
        <v>February</v>
      </c>
      <c r="B117" s="31">
        <v>43875</v>
      </c>
      <c r="C117" s="32" t="s">
        <v>25</v>
      </c>
      <c r="D117" s="9" t="str">
        <f t="shared" si="8"/>
        <v>43875 - 1S</v>
      </c>
      <c r="E117" s="32" t="s">
        <v>12</v>
      </c>
      <c r="F117" s="2">
        <v>8000055</v>
      </c>
      <c r="G117" s="4" t="str">
        <f>IFERROR(VLOOKUP(F117,Lists!$C:$D,2,0), "N/A")</f>
        <v>916.BF FLIPZ 25 LB BULK MILK CHOC</v>
      </c>
      <c r="H117" s="26">
        <f>IFERROR(VLOOKUP(F117,Lists!$C:$F,4,0),0)</f>
        <v>1.9508160000000001</v>
      </c>
      <c r="I117" s="7">
        <f t="shared" si="12"/>
        <v>7017</v>
      </c>
      <c r="J117" s="6">
        <v>7000</v>
      </c>
      <c r="K117" s="33">
        <v>17</v>
      </c>
      <c r="L117" s="5">
        <f t="shared" si="10"/>
        <v>2.4285714285714284E-3</v>
      </c>
      <c r="M117" s="26">
        <f t="shared" si="11"/>
        <v>33.163872000000005</v>
      </c>
    </row>
    <row r="118" spans="1:13" x14ac:dyDescent="0.25">
      <c r="A118" s="16" t="str">
        <f t="shared" si="13"/>
        <v>February</v>
      </c>
      <c r="B118" s="31">
        <v>43876</v>
      </c>
      <c r="C118" s="32" t="s">
        <v>25</v>
      </c>
      <c r="D118" s="9" t="str">
        <f t="shared" si="8"/>
        <v>43876 - 1S</v>
      </c>
      <c r="E118" s="32" t="s">
        <v>12</v>
      </c>
      <c r="F118" s="2">
        <v>8000055</v>
      </c>
      <c r="G118" s="4" t="str">
        <f>IFERROR(VLOOKUP(F118,Lists!$C:$D,2,0), "N/A")</f>
        <v>916.BF FLIPZ 25 LB BULK MILK CHOC</v>
      </c>
      <c r="H118" s="26">
        <f>IFERROR(VLOOKUP(F118,Lists!$C:$F,4,0),0)</f>
        <v>1.9508160000000001</v>
      </c>
      <c r="I118" s="7">
        <f t="shared" si="12"/>
        <v>7032</v>
      </c>
      <c r="J118" s="6">
        <v>7000</v>
      </c>
      <c r="K118" s="33">
        <v>32</v>
      </c>
      <c r="L118" s="5">
        <f t="shared" si="10"/>
        <v>4.5714285714285718E-3</v>
      </c>
      <c r="M118" s="26">
        <f t="shared" si="11"/>
        <v>62.426112000000003</v>
      </c>
    </row>
    <row r="119" spans="1:13" x14ac:dyDescent="0.25">
      <c r="A119" s="16" t="str">
        <f t="shared" si="13"/>
        <v>February</v>
      </c>
      <c r="B119" s="31">
        <v>43877</v>
      </c>
      <c r="C119" s="32" t="s">
        <v>25</v>
      </c>
      <c r="D119" s="9" t="str">
        <f t="shared" si="8"/>
        <v>43877 - 1S</v>
      </c>
      <c r="E119" s="32" t="s">
        <v>12</v>
      </c>
      <c r="F119" s="2">
        <v>8000055</v>
      </c>
      <c r="G119" s="4" t="str">
        <f>IFERROR(VLOOKUP(F119,Lists!$C:$D,2,0), "N/A")</f>
        <v>916.BF FLIPZ 25 LB BULK MILK CHOC</v>
      </c>
      <c r="H119" s="26">
        <f>IFERROR(VLOOKUP(F119,Lists!$C:$F,4,0),0)</f>
        <v>1.9508160000000001</v>
      </c>
      <c r="I119" s="7">
        <f t="shared" si="12"/>
        <v>10050</v>
      </c>
      <c r="J119" s="6">
        <v>10000</v>
      </c>
      <c r="K119" s="33">
        <v>50</v>
      </c>
      <c r="L119" s="5">
        <f t="shared" si="10"/>
        <v>5.0000000000000001E-3</v>
      </c>
      <c r="M119" s="26">
        <f t="shared" si="11"/>
        <v>97.540800000000004</v>
      </c>
    </row>
    <row r="120" spans="1:13" x14ac:dyDescent="0.25">
      <c r="A120" s="16" t="str">
        <f t="shared" si="13"/>
        <v>February</v>
      </c>
      <c r="B120" s="31">
        <v>43865</v>
      </c>
      <c r="C120" s="32" t="s">
        <v>25</v>
      </c>
      <c r="D120" s="9" t="str">
        <f t="shared" si="8"/>
        <v>43865 - 1S</v>
      </c>
      <c r="E120" s="32" t="s">
        <v>15</v>
      </c>
      <c r="G120" s="4" t="str">
        <f>IFERROR(VLOOKUP(F120,Lists!$C:$D,2,0), "N/A")</f>
        <v>N/A</v>
      </c>
      <c r="H120" s="26">
        <f>IFERROR(VLOOKUP(F120,Lists!$C:$F,4,0),0)</f>
        <v>0</v>
      </c>
      <c r="I120" s="7">
        <f t="shared" si="12"/>
        <v>1</v>
      </c>
      <c r="J120" s="6">
        <v>0</v>
      </c>
      <c r="K120" s="33">
        <v>1</v>
      </c>
      <c r="L120" s="5">
        <f t="shared" si="10"/>
        <v>1</v>
      </c>
      <c r="M120" s="26">
        <f t="shared" si="11"/>
        <v>0</v>
      </c>
    </row>
    <row r="121" spans="1:13" x14ac:dyDescent="0.25">
      <c r="A121" s="16" t="str">
        <f t="shared" si="13"/>
        <v>February</v>
      </c>
      <c r="B121" s="31">
        <v>43872</v>
      </c>
      <c r="C121" s="32" t="s">
        <v>25</v>
      </c>
      <c r="D121" s="9" t="str">
        <f t="shared" si="8"/>
        <v>43872 - 1S</v>
      </c>
      <c r="E121" s="32" t="s">
        <v>15</v>
      </c>
      <c r="G121" s="4" t="str">
        <f>IFERROR(VLOOKUP(F121,Lists!$C:$D,2,0), "N/A")</f>
        <v>N/A</v>
      </c>
      <c r="H121" s="26">
        <f>IFERROR(VLOOKUP(F121,Lists!$C:$F,4,0),0)</f>
        <v>0</v>
      </c>
      <c r="I121" s="7">
        <f t="shared" si="12"/>
        <v>3</v>
      </c>
      <c r="J121" s="6">
        <v>0</v>
      </c>
      <c r="K121" s="33">
        <v>3</v>
      </c>
      <c r="L121" s="5">
        <f t="shared" si="10"/>
        <v>1</v>
      </c>
      <c r="M121" s="26">
        <f t="shared" si="11"/>
        <v>0</v>
      </c>
    </row>
    <row r="122" spans="1:13" x14ac:dyDescent="0.25">
      <c r="A122" s="16" t="str">
        <f t="shared" si="13"/>
        <v>February</v>
      </c>
      <c r="B122" s="31">
        <v>43875</v>
      </c>
      <c r="C122" s="32" t="s">
        <v>25</v>
      </c>
      <c r="D122" s="9" t="str">
        <f t="shared" si="8"/>
        <v>43875 - 1S</v>
      </c>
      <c r="E122" s="32" t="s">
        <v>15</v>
      </c>
      <c r="G122" s="4" t="str">
        <f>IFERROR(VLOOKUP(F122,Lists!$C:$D,2,0), "N/A")</f>
        <v>N/A</v>
      </c>
      <c r="H122" s="26">
        <f>IFERROR(VLOOKUP(F122,Lists!$C:$F,4,0),0)</f>
        <v>0</v>
      </c>
      <c r="I122" s="7">
        <f t="shared" si="12"/>
        <v>20</v>
      </c>
      <c r="J122" s="6">
        <v>0</v>
      </c>
      <c r="K122" s="33">
        <v>20</v>
      </c>
      <c r="L122" s="5">
        <f t="shared" si="10"/>
        <v>1</v>
      </c>
      <c r="M122" s="26">
        <f t="shared" si="11"/>
        <v>0</v>
      </c>
    </row>
    <row r="123" spans="1:13" x14ac:dyDescent="0.25">
      <c r="A123" s="16" t="str">
        <f t="shared" si="13"/>
        <v>February</v>
      </c>
      <c r="B123" s="31">
        <v>43876</v>
      </c>
      <c r="C123" s="32" t="s">
        <v>25</v>
      </c>
      <c r="D123" s="9" t="str">
        <f t="shared" si="8"/>
        <v>43876 - 1S</v>
      </c>
      <c r="E123" s="32" t="s">
        <v>15</v>
      </c>
      <c r="G123" s="4" t="str">
        <f>IFERROR(VLOOKUP(F123,Lists!$C:$D,2,0), "N/A")</f>
        <v>N/A</v>
      </c>
      <c r="H123" s="26">
        <f>IFERROR(VLOOKUP(F123,Lists!$C:$F,4,0),0)</f>
        <v>0</v>
      </c>
      <c r="I123" s="7">
        <f t="shared" ref="I123:I154" si="14">J123+K123</f>
        <v>35</v>
      </c>
      <c r="J123" s="6">
        <v>0</v>
      </c>
      <c r="K123" s="33">
        <v>35</v>
      </c>
      <c r="L123" s="5">
        <f t="shared" si="10"/>
        <v>1</v>
      </c>
      <c r="M123" s="26">
        <f t="shared" si="11"/>
        <v>0</v>
      </c>
    </row>
    <row r="124" spans="1:13" x14ac:dyDescent="0.25">
      <c r="A124" s="16" t="str">
        <f t="shared" si="13"/>
        <v>February</v>
      </c>
      <c r="B124" s="31">
        <v>43878</v>
      </c>
      <c r="C124" s="32" t="s">
        <v>25</v>
      </c>
      <c r="D124" s="9" t="str">
        <f t="shared" si="8"/>
        <v>43878 - 1S</v>
      </c>
      <c r="E124" s="32" t="s">
        <v>15</v>
      </c>
      <c r="G124" s="4" t="str">
        <f>IFERROR(VLOOKUP(F124,Lists!$C:$D,2,0), "N/A")</f>
        <v>N/A</v>
      </c>
      <c r="H124" s="26">
        <f>IFERROR(VLOOKUP(F124,Lists!$C:$F,4,0),0)</f>
        <v>0</v>
      </c>
      <c r="I124" s="7">
        <f t="shared" si="14"/>
        <v>5</v>
      </c>
      <c r="J124" s="6">
        <v>0</v>
      </c>
      <c r="K124" s="33">
        <v>5</v>
      </c>
      <c r="L124" s="5">
        <f t="shared" si="10"/>
        <v>1</v>
      </c>
      <c r="M124" s="26">
        <f t="shared" si="11"/>
        <v>0</v>
      </c>
    </row>
    <row r="125" spans="1:13" x14ac:dyDescent="0.25">
      <c r="A125" s="16" t="str">
        <f t="shared" si="13"/>
        <v>February</v>
      </c>
      <c r="B125" s="31">
        <v>43879</v>
      </c>
      <c r="C125" s="32" t="s">
        <v>25</v>
      </c>
      <c r="D125" s="9" t="str">
        <f t="shared" si="8"/>
        <v>43879 - 1S</v>
      </c>
      <c r="E125" s="32" t="s">
        <v>9</v>
      </c>
      <c r="F125" s="2">
        <v>8000035</v>
      </c>
      <c r="G125" s="4" t="str">
        <f>IFERROR(VLOOKUP(F125,Lists!$C:$D,2,0), "N/A")</f>
        <v>TURTLES MILK CHOC ORIGINAL</v>
      </c>
      <c r="H125" s="26">
        <f>IFERROR(VLOOKUP(F125,Lists!$C:$F,4,0),0)</f>
        <v>1.91178</v>
      </c>
      <c r="I125" s="7">
        <f t="shared" si="14"/>
        <v>9811</v>
      </c>
      <c r="J125" s="6">
        <v>9439</v>
      </c>
      <c r="K125" s="33">
        <v>372</v>
      </c>
      <c r="L125" s="5">
        <f t="shared" si="10"/>
        <v>3.9410954550270154E-2</v>
      </c>
      <c r="M125" s="26">
        <f t="shared" si="11"/>
        <v>711.18216000000007</v>
      </c>
    </row>
    <row r="126" spans="1:13" x14ac:dyDescent="0.25">
      <c r="A126" s="16" t="str">
        <f t="shared" si="13"/>
        <v>February</v>
      </c>
      <c r="B126" s="31">
        <v>43879</v>
      </c>
      <c r="C126" s="32" t="s">
        <v>25</v>
      </c>
      <c r="D126" s="9" t="str">
        <f t="shared" si="8"/>
        <v>43879 - 1S</v>
      </c>
      <c r="E126" s="32" t="s">
        <v>12</v>
      </c>
      <c r="F126" s="2">
        <v>8000031</v>
      </c>
      <c r="G126" s="4" t="str">
        <f>IFERROR(VLOOKUP(F126,Lists!$C:$D,2,0), "N/A")</f>
        <v>WIP.DCP FLIPZ  DARK CHOC PRETZEL</v>
      </c>
      <c r="H126" s="26">
        <f>IFERROR(VLOOKUP(F126,Lists!$C:$F,4,0),0)</f>
        <v>1.4516300000000002</v>
      </c>
      <c r="I126" s="7">
        <f t="shared" si="14"/>
        <v>5000</v>
      </c>
      <c r="J126" s="6">
        <v>5000</v>
      </c>
      <c r="K126" s="33">
        <v>0</v>
      </c>
      <c r="L126" s="5">
        <f t="shared" si="10"/>
        <v>0</v>
      </c>
      <c r="M126" s="26">
        <f t="shared" si="11"/>
        <v>0</v>
      </c>
    </row>
    <row r="127" spans="1:13" x14ac:dyDescent="0.25">
      <c r="A127" s="16" t="str">
        <f t="shared" si="13"/>
        <v>February</v>
      </c>
      <c r="B127" s="31">
        <v>43879</v>
      </c>
      <c r="C127" s="32" t="s">
        <v>25</v>
      </c>
      <c r="D127" s="9" t="str">
        <f t="shared" si="8"/>
        <v>43879 - 1S</v>
      </c>
      <c r="E127" s="32" t="s">
        <v>13</v>
      </c>
      <c r="F127" s="2">
        <v>8000040</v>
      </c>
      <c r="G127" s="4" t="str">
        <f>IFERROR(VLOOKUP(F127,Lists!$C:$D,2,0), "N/A")</f>
        <v>WIP.MSM FLIPZ MILK CHOC SUPER MINI</v>
      </c>
      <c r="H127" s="26">
        <f>IFERROR(VLOOKUP(F127,Lists!$C:$F,4,0),0)</f>
        <v>1.21353</v>
      </c>
      <c r="I127" s="7">
        <f t="shared" si="14"/>
        <v>1020</v>
      </c>
      <c r="J127" s="6">
        <v>1000</v>
      </c>
      <c r="K127" s="33">
        <v>20</v>
      </c>
      <c r="L127" s="5">
        <f t="shared" si="10"/>
        <v>0.02</v>
      </c>
      <c r="M127" s="26">
        <f t="shared" si="11"/>
        <v>24.270600000000002</v>
      </c>
    </row>
    <row r="128" spans="1:13" x14ac:dyDescent="0.25">
      <c r="A128" s="16" t="str">
        <f t="shared" si="13"/>
        <v>February</v>
      </c>
      <c r="B128" s="31">
        <v>43880</v>
      </c>
      <c r="C128" s="32" t="s">
        <v>25</v>
      </c>
      <c r="D128" s="9" t="str">
        <f t="shared" si="8"/>
        <v>43880 - 1S</v>
      </c>
      <c r="E128" s="32" t="s">
        <v>9</v>
      </c>
      <c r="F128" s="2">
        <v>8000035</v>
      </c>
      <c r="G128" s="4" t="str">
        <f>IFERROR(VLOOKUP(F128,Lists!$C:$D,2,0), "N/A")</f>
        <v>TURTLES MILK CHOC ORIGINAL</v>
      </c>
      <c r="H128" s="26">
        <f>IFERROR(VLOOKUP(F128,Lists!$C:$F,4,0),0)</f>
        <v>1.91178</v>
      </c>
      <c r="I128" s="7">
        <f t="shared" si="14"/>
        <v>9413</v>
      </c>
      <c r="J128" s="6">
        <v>9121</v>
      </c>
      <c r="K128" s="33">
        <v>292</v>
      </c>
      <c r="L128" s="5">
        <f t="shared" si="10"/>
        <v>3.2014033548952964E-2</v>
      </c>
      <c r="M128" s="26">
        <f t="shared" si="11"/>
        <v>558.23976000000005</v>
      </c>
    </row>
    <row r="129" spans="1:13" x14ac:dyDescent="0.25">
      <c r="A129" s="16" t="str">
        <f t="shared" si="13"/>
        <v>February</v>
      </c>
      <c r="B129" s="31">
        <v>43880</v>
      </c>
      <c r="C129" s="32" t="s">
        <v>25</v>
      </c>
      <c r="D129" s="9" t="str">
        <f t="shared" si="8"/>
        <v>43880 - 1S</v>
      </c>
      <c r="E129" s="32" t="s">
        <v>12</v>
      </c>
      <c r="F129" s="2">
        <v>8000031</v>
      </c>
      <c r="G129" s="4" t="str">
        <f>IFERROR(VLOOKUP(F129,Lists!$C:$D,2,0), "N/A")</f>
        <v>WIP.DCP FLIPZ  DARK CHOC PRETZEL</v>
      </c>
      <c r="H129" s="26">
        <f>IFERROR(VLOOKUP(F129,Lists!$C:$F,4,0),0)</f>
        <v>1.4516300000000002</v>
      </c>
      <c r="I129" s="7">
        <f t="shared" si="14"/>
        <v>7007</v>
      </c>
      <c r="J129" s="6">
        <v>7000</v>
      </c>
      <c r="K129" s="33">
        <v>7</v>
      </c>
      <c r="L129" s="5">
        <f t="shared" si="10"/>
        <v>1E-3</v>
      </c>
      <c r="M129" s="26">
        <f t="shared" si="11"/>
        <v>10.161410000000002</v>
      </c>
    </row>
    <row r="130" spans="1:13" x14ac:dyDescent="0.25">
      <c r="A130" s="16" t="str">
        <f t="shared" ref="A130:A157" si="15">TEXT(B130,"mmmm")</f>
        <v>February</v>
      </c>
      <c r="B130" s="31">
        <v>43880</v>
      </c>
      <c r="C130" s="32" t="s">
        <v>25</v>
      </c>
      <c r="D130" s="9" t="str">
        <f t="shared" ref="D130:D193" si="16">CONCATENATE(B130," - ",C130)</f>
        <v>43880 - 1S</v>
      </c>
      <c r="E130" s="32" t="s">
        <v>13</v>
      </c>
      <c r="F130" s="2">
        <v>8000040</v>
      </c>
      <c r="G130" s="4" t="str">
        <f>IFERROR(VLOOKUP(F130,Lists!$C:$D,2,0), "N/A")</f>
        <v>WIP.MSM FLIPZ MILK CHOC SUPER MINI</v>
      </c>
      <c r="H130" s="26">
        <f>IFERROR(VLOOKUP(F130,Lists!$C:$F,4,0),0)</f>
        <v>1.21353</v>
      </c>
      <c r="I130" s="7">
        <f t="shared" si="14"/>
        <v>1000</v>
      </c>
      <c r="J130" s="6">
        <v>1000</v>
      </c>
      <c r="K130" s="33">
        <v>0</v>
      </c>
      <c r="L130" s="5">
        <f t="shared" ref="L130:L193" si="17">IFERROR((K130/J130),1)</f>
        <v>0</v>
      </c>
      <c r="M130" s="26">
        <f t="shared" ref="M130:M193" si="18">K130*H130</f>
        <v>0</v>
      </c>
    </row>
    <row r="131" spans="1:13" x14ac:dyDescent="0.25">
      <c r="A131" s="16" t="str">
        <f t="shared" si="15"/>
        <v>February</v>
      </c>
      <c r="B131" s="31">
        <v>43880</v>
      </c>
      <c r="C131" s="32" t="s">
        <v>25</v>
      </c>
      <c r="D131" s="9" t="str">
        <f t="shared" si="16"/>
        <v>43880 - 1S</v>
      </c>
      <c r="E131" s="32" t="s">
        <v>15</v>
      </c>
      <c r="G131" s="4" t="str">
        <f>IFERROR(VLOOKUP(F131,Lists!$C:$D,2,0), "N/A")</f>
        <v>N/A</v>
      </c>
      <c r="H131" s="26">
        <f>IFERROR(VLOOKUP(F131,Lists!$C:$F,4,0),0)</f>
        <v>0</v>
      </c>
      <c r="I131" s="7">
        <f t="shared" si="14"/>
        <v>6</v>
      </c>
      <c r="K131" s="33">
        <v>6</v>
      </c>
      <c r="L131" s="5">
        <f t="shared" si="17"/>
        <v>1</v>
      </c>
      <c r="M131" s="26">
        <f t="shared" si="18"/>
        <v>0</v>
      </c>
    </row>
    <row r="132" spans="1:13" x14ac:dyDescent="0.25">
      <c r="A132" s="16" t="str">
        <f t="shared" si="15"/>
        <v>February</v>
      </c>
      <c r="B132" s="31">
        <v>43881</v>
      </c>
      <c r="C132" s="32" t="s">
        <v>25</v>
      </c>
      <c r="D132" s="9" t="str">
        <f t="shared" si="16"/>
        <v>43881 - 1S</v>
      </c>
      <c r="E132" s="32" t="s">
        <v>9</v>
      </c>
      <c r="F132" s="2">
        <v>8000035</v>
      </c>
      <c r="G132" s="4" t="str">
        <f>IFERROR(VLOOKUP(F132,Lists!$C:$D,2,0), "N/A")</f>
        <v>TURTLES MILK CHOC ORIGINAL</v>
      </c>
      <c r="H132" s="26">
        <f>IFERROR(VLOOKUP(F132,Lists!$C:$F,4,0),0)</f>
        <v>1.91178</v>
      </c>
      <c r="I132" s="7">
        <f t="shared" si="14"/>
        <v>12513</v>
      </c>
      <c r="J132" s="6">
        <v>12324</v>
      </c>
      <c r="K132" s="33">
        <v>189</v>
      </c>
      <c r="L132" s="5">
        <f t="shared" si="17"/>
        <v>1.5335929892891918E-2</v>
      </c>
      <c r="M132" s="26">
        <f t="shared" si="18"/>
        <v>361.32641999999998</v>
      </c>
    </row>
    <row r="133" spans="1:13" x14ac:dyDescent="0.25">
      <c r="A133" s="16" t="str">
        <f t="shared" si="15"/>
        <v>February</v>
      </c>
      <c r="B133" s="31">
        <v>43881</v>
      </c>
      <c r="C133" s="32" t="s">
        <v>25</v>
      </c>
      <c r="D133" s="9" t="str">
        <f t="shared" si="16"/>
        <v>43881 - 1S</v>
      </c>
      <c r="E133" s="32" t="s">
        <v>12</v>
      </c>
      <c r="F133" s="2">
        <v>8000031</v>
      </c>
      <c r="G133" s="4" t="str">
        <f>IFERROR(VLOOKUP(F133,Lists!$C:$D,2,0), "N/A")</f>
        <v>WIP.DCP FLIPZ  DARK CHOC PRETZEL</v>
      </c>
      <c r="H133" s="26">
        <f>IFERROR(VLOOKUP(F133,Lists!$C:$F,4,0),0)</f>
        <v>1.4516300000000002</v>
      </c>
      <c r="I133" s="7">
        <f t="shared" si="14"/>
        <v>8010</v>
      </c>
      <c r="J133" s="6">
        <v>8000</v>
      </c>
      <c r="K133" s="33">
        <v>10</v>
      </c>
      <c r="L133" s="5">
        <f t="shared" si="17"/>
        <v>1.25E-3</v>
      </c>
      <c r="M133" s="26">
        <f t="shared" si="18"/>
        <v>14.516300000000001</v>
      </c>
    </row>
    <row r="134" spans="1:13" x14ac:dyDescent="0.25">
      <c r="A134" s="16" t="str">
        <f t="shared" si="15"/>
        <v>February</v>
      </c>
      <c r="B134" s="31">
        <v>43881</v>
      </c>
      <c r="C134" s="32" t="s">
        <v>25</v>
      </c>
      <c r="D134" s="9" t="str">
        <f t="shared" si="16"/>
        <v>43881 - 1S</v>
      </c>
      <c r="E134" s="32" t="s">
        <v>13</v>
      </c>
      <c r="F134" s="2">
        <v>8000040</v>
      </c>
      <c r="G134" s="4" t="str">
        <f>IFERROR(VLOOKUP(F134,Lists!$C:$D,2,0), "N/A")</f>
        <v>WIP.MSM FLIPZ MILK CHOC SUPER MINI</v>
      </c>
      <c r="H134" s="26">
        <f>IFERROR(VLOOKUP(F134,Lists!$C:$F,4,0),0)</f>
        <v>1.21353</v>
      </c>
      <c r="I134" s="7">
        <f t="shared" si="14"/>
        <v>2036</v>
      </c>
      <c r="J134" s="6">
        <v>2000</v>
      </c>
      <c r="K134" s="33">
        <v>36</v>
      </c>
      <c r="L134" s="5">
        <f t="shared" si="17"/>
        <v>1.7999999999999999E-2</v>
      </c>
      <c r="M134" s="26">
        <f t="shared" si="18"/>
        <v>43.687080000000002</v>
      </c>
    </row>
    <row r="135" spans="1:13" x14ac:dyDescent="0.25">
      <c r="A135" s="16" t="str">
        <f t="shared" si="15"/>
        <v>February</v>
      </c>
      <c r="B135" s="31">
        <v>43881</v>
      </c>
      <c r="C135" s="32" t="s">
        <v>25</v>
      </c>
      <c r="D135" s="9" t="str">
        <f t="shared" si="16"/>
        <v>43881 - 1S</v>
      </c>
      <c r="E135" s="32" t="s">
        <v>15</v>
      </c>
      <c r="G135" s="4" t="str">
        <f>IFERROR(VLOOKUP(F135,Lists!$C:$D,2,0), "N/A")</f>
        <v>N/A</v>
      </c>
      <c r="H135" s="26">
        <f>IFERROR(VLOOKUP(F135,Lists!$C:$F,4,0),0)</f>
        <v>0</v>
      </c>
      <c r="I135" s="7">
        <f t="shared" si="14"/>
        <v>15</v>
      </c>
      <c r="K135" s="33">
        <v>15</v>
      </c>
      <c r="L135" s="5">
        <f t="shared" si="17"/>
        <v>1</v>
      </c>
      <c r="M135" s="26">
        <f t="shared" si="18"/>
        <v>0</v>
      </c>
    </row>
    <row r="136" spans="1:13" x14ac:dyDescent="0.25">
      <c r="A136" s="16" t="str">
        <f t="shared" si="15"/>
        <v>February</v>
      </c>
      <c r="B136" s="31">
        <v>43882</v>
      </c>
      <c r="C136" s="32" t="s">
        <v>25</v>
      </c>
      <c r="D136" s="9" t="str">
        <f t="shared" si="16"/>
        <v>43882 - 1S</v>
      </c>
      <c r="E136" s="32" t="s">
        <v>9</v>
      </c>
      <c r="F136" s="2">
        <v>8000035</v>
      </c>
      <c r="G136" s="4" t="str">
        <f>IFERROR(VLOOKUP(F136,Lists!$C:$D,2,0), "N/A")</f>
        <v>TURTLES MILK CHOC ORIGINAL</v>
      </c>
      <c r="H136" s="26">
        <f>IFERROR(VLOOKUP(F136,Lists!$C:$F,4,0),0)</f>
        <v>1.91178</v>
      </c>
      <c r="I136" s="7">
        <f t="shared" si="14"/>
        <v>8993</v>
      </c>
      <c r="J136" s="6">
        <v>8679</v>
      </c>
      <c r="K136" s="33">
        <v>314</v>
      </c>
      <c r="L136" s="5">
        <f t="shared" si="17"/>
        <v>3.6179283327572302E-2</v>
      </c>
      <c r="M136" s="26">
        <f t="shared" si="18"/>
        <v>600.29892000000007</v>
      </c>
    </row>
    <row r="137" spans="1:13" x14ac:dyDescent="0.25">
      <c r="A137" s="16" t="str">
        <f t="shared" si="15"/>
        <v>February</v>
      </c>
      <c r="B137" s="31">
        <v>43882</v>
      </c>
      <c r="C137" s="32" t="s">
        <v>25</v>
      </c>
      <c r="D137" s="9" t="str">
        <f t="shared" si="16"/>
        <v>43882 - 1S</v>
      </c>
      <c r="E137" s="32" t="s">
        <v>12</v>
      </c>
      <c r="F137" s="2">
        <v>8000031</v>
      </c>
      <c r="G137" s="4" t="str">
        <f>IFERROR(VLOOKUP(F137,Lists!$C:$D,2,0), "N/A")</f>
        <v>WIP.DCP FLIPZ  DARK CHOC PRETZEL</v>
      </c>
      <c r="H137" s="26">
        <f>IFERROR(VLOOKUP(F137,Lists!$C:$F,4,0),0)</f>
        <v>1.4516300000000002</v>
      </c>
      <c r="I137" s="7">
        <f t="shared" si="14"/>
        <v>5004</v>
      </c>
      <c r="J137" s="6">
        <v>5000</v>
      </c>
      <c r="K137" s="33">
        <v>4</v>
      </c>
      <c r="L137" s="5">
        <f t="shared" si="17"/>
        <v>8.0000000000000004E-4</v>
      </c>
      <c r="M137" s="26">
        <f t="shared" si="18"/>
        <v>5.8065200000000008</v>
      </c>
    </row>
    <row r="138" spans="1:13" x14ac:dyDescent="0.25">
      <c r="A138" s="16" t="str">
        <f t="shared" si="15"/>
        <v>February</v>
      </c>
      <c r="B138" s="31">
        <v>43882</v>
      </c>
      <c r="C138" s="32" t="s">
        <v>25</v>
      </c>
      <c r="D138" s="9" t="str">
        <f t="shared" si="16"/>
        <v>43882 - 1S</v>
      </c>
      <c r="E138" s="32" t="s">
        <v>13</v>
      </c>
      <c r="F138" s="2">
        <v>8000040</v>
      </c>
      <c r="G138" s="4" t="str">
        <f>IFERROR(VLOOKUP(F138,Lists!$C:$D,2,0), "N/A")</f>
        <v>WIP.MSM FLIPZ MILK CHOC SUPER MINI</v>
      </c>
      <c r="H138" s="26">
        <f>IFERROR(VLOOKUP(F138,Lists!$C:$F,4,0),0)</f>
        <v>1.21353</v>
      </c>
      <c r="I138" s="7">
        <f t="shared" si="14"/>
        <v>3036</v>
      </c>
      <c r="J138" s="6">
        <v>3000</v>
      </c>
      <c r="K138" s="33">
        <v>36</v>
      </c>
      <c r="L138" s="5">
        <f t="shared" si="17"/>
        <v>1.2E-2</v>
      </c>
      <c r="M138" s="26">
        <f t="shared" si="18"/>
        <v>43.687080000000002</v>
      </c>
    </row>
    <row r="139" spans="1:13" x14ac:dyDescent="0.25">
      <c r="A139" s="16" t="str">
        <f t="shared" si="15"/>
        <v>February</v>
      </c>
      <c r="B139" s="31">
        <v>43883</v>
      </c>
      <c r="C139" s="32" t="s">
        <v>25</v>
      </c>
      <c r="D139" s="9" t="str">
        <f t="shared" si="16"/>
        <v>43883 - 1S</v>
      </c>
      <c r="E139" s="32" t="s">
        <v>12</v>
      </c>
      <c r="F139" s="2">
        <v>8000055</v>
      </c>
      <c r="G139" s="4" t="str">
        <f>IFERROR(VLOOKUP(F139,Lists!$C:$D,2,0), "N/A")</f>
        <v>916.BF FLIPZ 25 LB BULK MILK CHOC</v>
      </c>
      <c r="H139" s="26">
        <f>IFERROR(VLOOKUP(F139,Lists!$C:$F,4,0),0)</f>
        <v>1.9508160000000001</v>
      </c>
      <c r="I139" s="7">
        <f t="shared" si="14"/>
        <v>9008</v>
      </c>
      <c r="J139" s="6">
        <v>9000</v>
      </c>
      <c r="K139" s="33">
        <v>8</v>
      </c>
      <c r="L139" s="5">
        <f t="shared" si="17"/>
        <v>8.8888888888888893E-4</v>
      </c>
      <c r="M139" s="26">
        <f t="shared" si="18"/>
        <v>15.606528000000001</v>
      </c>
    </row>
    <row r="140" spans="1:13" x14ac:dyDescent="0.25">
      <c r="A140" s="16" t="str">
        <f t="shared" si="15"/>
        <v>February</v>
      </c>
      <c r="B140" s="31">
        <v>43884</v>
      </c>
      <c r="C140" s="32" t="s">
        <v>25</v>
      </c>
      <c r="D140" s="9" t="str">
        <f t="shared" si="16"/>
        <v>43884 - 1S</v>
      </c>
      <c r="E140" s="32" t="s">
        <v>12</v>
      </c>
      <c r="F140" s="2">
        <v>8000055</v>
      </c>
      <c r="G140" s="4" t="str">
        <f>IFERROR(VLOOKUP(F140,Lists!$C:$D,2,0), "N/A")</f>
        <v>916.BF FLIPZ 25 LB BULK MILK CHOC</v>
      </c>
      <c r="H140" s="26">
        <f>IFERROR(VLOOKUP(F140,Lists!$C:$F,4,0),0)</f>
        <v>1.9508160000000001</v>
      </c>
      <c r="I140" s="7">
        <f t="shared" si="14"/>
        <v>9005</v>
      </c>
      <c r="J140" s="6">
        <v>9000</v>
      </c>
      <c r="K140" s="33">
        <v>5</v>
      </c>
      <c r="L140" s="5">
        <f t="shared" si="17"/>
        <v>5.5555555555555556E-4</v>
      </c>
      <c r="M140" s="26">
        <f t="shared" si="18"/>
        <v>9.7540800000000001</v>
      </c>
    </row>
    <row r="141" spans="1:13" x14ac:dyDescent="0.25">
      <c r="A141" s="16" t="str">
        <f t="shared" si="15"/>
        <v>February</v>
      </c>
      <c r="B141" s="31">
        <v>43885</v>
      </c>
      <c r="C141" s="32" t="s">
        <v>25</v>
      </c>
      <c r="D141" s="9" t="str">
        <f t="shared" si="16"/>
        <v>43885 - 1S</v>
      </c>
      <c r="E141" s="32" t="s">
        <v>9</v>
      </c>
      <c r="F141" s="2">
        <v>8000035</v>
      </c>
      <c r="G141" s="4" t="str">
        <f>IFERROR(VLOOKUP(F141,Lists!$C:$D,2,0), "N/A")</f>
        <v>TURTLES MILK CHOC ORIGINAL</v>
      </c>
      <c r="H141" s="26">
        <f>IFERROR(VLOOKUP(F141,Lists!$C:$F,4,0),0)</f>
        <v>1.91178</v>
      </c>
      <c r="I141" s="7">
        <f t="shared" si="14"/>
        <v>10831</v>
      </c>
      <c r="J141" s="6">
        <v>10422</v>
      </c>
      <c r="K141" s="33">
        <v>409</v>
      </c>
      <c r="L141" s="5">
        <f t="shared" si="17"/>
        <v>3.9243907119554791E-2</v>
      </c>
      <c r="M141" s="26">
        <f t="shared" si="18"/>
        <v>781.91802000000007</v>
      </c>
    </row>
    <row r="142" spans="1:13" x14ac:dyDescent="0.25">
      <c r="A142" s="16" t="str">
        <f t="shared" si="15"/>
        <v>February</v>
      </c>
      <c r="B142" s="31">
        <v>43885</v>
      </c>
      <c r="C142" s="32" t="s">
        <v>25</v>
      </c>
      <c r="D142" s="9" t="str">
        <f t="shared" si="16"/>
        <v>43885 - 1S</v>
      </c>
      <c r="E142" s="32" t="s">
        <v>12</v>
      </c>
      <c r="F142" s="2">
        <v>8000055</v>
      </c>
      <c r="G142" s="4" t="str">
        <f>IFERROR(VLOOKUP(F142,Lists!$C:$D,2,0), "N/A")</f>
        <v>916.BF FLIPZ 25 LB BULK MILK CHOC</v>
      </c>
      <c r="H142" s="26">
        <f>IFERROR(VLOOKUP(F142,Lists!$C:$F,4,0),0)</f>
        <v>1.9508160000000001</v>
      </c>
      <c r="I142" s="7">
        <f t="shared" si="14"/>
        <v>9027</v>
      </c>
      <c r="J142" s="6">
        <v>9000</v>
      </c>
      <c r="K142" s="33">
        <v>27</v>
      </c>
      <c r="L142" s="5">
        <f t="shared" si="17"/>
        <v>3.0000000000000001E-3</v>
      </c>
      <c r="M142" s="26">
        <f t="shared" si="18"/>
        <v>52.672032000000002</v>
      </c>
    </row>
    <row r="143" spans="1:13" x14ac:dyDescent="0.25">
      <c r="A143" s="16" t="str">
        <f t="shared" si="15"/>
        <v>February</v>
      </c>
      <c r="B143" s="31">
        <v>43885</v>
      </c>
      <c r="C143" s="32" t="s">
        <v>25</v>
      </c>
      <c r="D143" s="9" t="str">
        <f t="shared" si="16"/>
        <v>43885 - 1S</v>
      </c>
      <c r="E143" s="32" t="s">
        <v>13</v>
      </c>
      <c r="F143" s="2">
        <v>8000040</v>
      </c>
      <c r="G143" s="4" t="str">
        <f>IFERROR(VLOOKUP(F143,Lists!$C:$D,2,0), "N/A")</f>
        <v>WIP.MSM FLIPZ MILK CHOC SUPER MINI</v>
      </c>
      <c r="H143" s="26">
        <f>IFERROR(VLOOKUP(F143,Lists!$C:$F,4,0),0)</f>
        <v>1.21353</v>
      </c>
      <c r="I143" s="7">
        <f t="shared" si="14"/>
        <v>2042</v>
      </c>
      <c r="J143" s="6">
        <v>2000</v>
      </c>
      <c r="K143" s="33">
        <v>42</v>
      </c>
      <c r="L143" s="5">
        <f t="shared" si="17"/>
        <v>2.1000000000000001E-2</v>
      </c>
      <c r="M143" s="26">
        <f t="shared" si="18"/>
        <v>50.968260000000001</v>
      </c>
    </row>
    <row r="144" spans="1:13" x14ac:dyDescent="0.25">
      <c r="A144" s="16" t="str">
        <f t="shared" si="15"/>
        <v>February</v>
      </c>
      <c r="B144" s="31">
        <v>43886</v>
      </c>
      <c r="C144" s="32" t="s">
        <v>25</v>
      </c>
      <c r="D144" s="9" t="str">
        <f t="shared" si="16"/>
        <v>43886 - 1S</v>
      </c>
      <c r="E144" s="32" t="s">
        <v>9</v>
      </c>
      <c r="F144" s="2">
        <v>8000035</v>
      </c>
      <c r="G144" s="4" t="str">
        <f>IFERROR(VLOOKUP(F144,Lists!$C:$D,2,0), "N/A")</f>
        <v>TURTLES MILK CHOC ORIGINAL</v>
      </c>
      <c r="H144" s="26">
        <f>IFERROR(VLOOKUP(F144,Lists!$C:$F,4,0),0)</f>
        <v>1.91178</v>
      </c>
      <c r="I144" s="7">
        <f t="shared" si="14"/>
        <v>12943</v>
      </c>
      <c r="J144" s="6">
        <v>12564</v>
      </c>
      <c r="K144" s="33">
        <v>379</v>
      </c>
      <c r="L144" s="5">
        <f t="shared" si="17"/>
        <v>3.0165552371856096E-2</v>
      </c>
      <c r="M144" s="26">
        <f t="shared" si="18"/>
        <v>724.56461999999999</v>
      </c>
    </row>
    <row r="145" spans="1:14" ht="39" x14ac:dyDescent="0.25">
      <c r="A145" s="16" t="str">
        <f t="shared" si="15"/>
        <v>February</v>
      </c>
      <c r="B145" s="31">
        <v>43886</v>
      </c>
      <c r="C145" s="32" t="s">
        <v>25</v>
      </c>
      <c r="D145" s="9" t="str">
        <f t="shared" si="16"/>
        <v>43886 - 1S</v>
      </c>
      <c r="E145" s="32" t="s">
        <v>10</v>
      </c>
      <c r="F145" s="2">
        <v>8000039</v>
      </c>
      <c r="G145" s="4" t="str">
        <f>IFERROR(VLOOKUP(F145,Lists!$C:$D,2,0), "N/A")</f>
        <v>TURTLES MILK CHOC ORIG MINI</v>
      </c>
      <c r="H145" s="26">
        <f>IFERROR(VLOOKUP(F145,Lists!$C:$F,4,0),0)</f>
        <v>2.08013</v>
      </c>
      <c r="I145" s="7">
        <f t="shared" si="14"/>
        <v>11058</v>
      </c>
      <c r="J145" s="6">
        <v>10560</v>
      </c>
      <c r="K145" s="33">
        <v>498</v>
      </c>
      <c r="L145" s="5">
        <f t="shared" si="17"/>
        <v>4.7159090909090907E-2</v>
      </c>
      <c r="M145" s="26">
        <f t="shared" si="18"/>
        <v>1035.9047399999999</v>
      </c>
      <c r="N145" s="53" t="s">
        <v>230</v>
      </c>
    </row>
    <row r="146" spans="1:14" x14ac:dyDescent="0.25">
      <c r="A146" s="16" t="str">
        <f t="shared" si="15"/>
        <v>February</v>
      </c>
      <c r="B146" s="31">
        <v>43886</v>
      </c>
      <c r="C146" s="32" t="s">
        <v>25</v>
      </c>
      <c r="D146" s="9" t="str">
        <f t="shared" si="16"/>
        <v>43886 - 1S</v>
      </c>
      <c r="E146" s="32" t="s">
        <v>12</v>
      </c>
      <c r="F146" s="2">
        <v>8000055</v>
      </c>
      <c r="G146" s="4" t="str">
        <f>IFERROR(VLOOKUP(F146,Lists!$C:$D,2,0), "N/A")</f>
        <v>916.BF FLIPZ 25 LB BULK MILK CHOC</v>
      </c>
      <c r="H146" s="26">
        <f>IFERROR(VLOOKUP(F146,Lists!$C:$F,4,0),0)</f>
        <v>1.9508160000000001</v>
      </c>
      <c r="I146" s="7">
        <f t="shared" si="14"/>
        <v>9022</v>
      </c>
      <c r="J146" s="6">
        <v>9000</v>
      </c>
      <c r="K146" s="33">
        <v>22</v>
      </c>
      <c r="L146" s="5">
        <f t="shared" si="17"/>
        <v>2.4444444444444444E-3</v>
      </c>
      <c r="M146" s="26">
        <f t="shared" si="18"/>
        <v>42.917952</v>
      </c>
    </row>
    <row r="147" spans="1:14" x14ac:dyDescent="0.25">
      <c r="A147" s="16" t="str">
        <f t="shared" si="15"/>
        <v>February</v>
      </c>
      <c r="B147" s="31">
        <v>43886</v>
      </c>
      <c r="C147" s="32" t="s">
        <v>25</v>
      </c>
      <c r="D147" s="9" t="str">
        <f t="shared" si="16"/>
        <v>43886 - 1S</v>
      </c>
      <c r="E147" s="32" t="s">
        <v>13</v>
      </c>
      <c r="F147" s="2">
        <v>8000040</v>
      </c>
      <c r="G147" s="4" t="str">
        <f>IFERROR(VLOOKUP(F147,Lists!$C:$D,2,0), "N/A")</f>
        <v>WIP.MSM FLIPZ MILK CHOC SUPER MINI</v>
      </c>
      <c r="H147" s="26">
        <f>IFERROR(VLOOKUP(F147,Lists!$C:$F,4,0),0)</f>
        <v>1.21353</v>
      </c>
      <c r="I147" s="7">
        <f t="shared" si="14"/>
        <v>2052</v>
      </c>
      <c r="J147" s="6">
        <v>2000</v>
      </c>
      <c r="K147" s="33">
        <v>52</v>
      </c>
      <c r="L147" s="5">
        <f t="shared" si="17"/>
        <v>2.5999999999999999E-2</v>
      </c>
      <c r="M147" s="26">
        <f t="shared" si="18"/>
        <v>63.103560000000002</v>
      </c>
    </row>
    <row r="148" spans="1:14" x14ac:dyDescent="0.25">
      <c r="A148" s="16" t="str">
        <f t="shared" si="15"/>
        <v>February</v>
      </c>
      <c r="B148" s="31">
        <v>43886</v>
      </c>
      <c r="C148" s="32" t="s">
        <v>25</v>
      </c>
      <c r="D148" s="9" t="str">
        <f t="shared" si="16"/>
        <v>43886 - 1S</v>
      </c>
      <c r="E148" s="32" t="s">
        <v>15</v>
      </c>
      <c r="G148" s="4" t="str">
        <f>IFERROR(VLOOKUP(F148,Lists!$C:$D,2,0), "N/A")</f>
        <v>N/A</v>
      </c>
      <c r="H148" s="26">
        <f>IFERROR(VLOOKUP(F148,Lists!$C:$F,4,0),0)</f>
        <v>0</v>
      </c>
      <c r="I148" s="7">
        <f t="shared" si="14"/>
        <v>20</v>
      </c>
      <c r="K148" s="33">
        <v>20</v>
      </c>
      <c r="L148" s="5">
        <f t="shared" si="17"/>
        <v>1</v>
      </c>
      <c r="M148" s="26">
        <f t="shared" si="18"/>
        <v>0</v>
      </c>
    </row>
    <row r="149" spans="1:14" x14ac:dyDescent="0.25">
      <c r="A149" s="16" t="str">
        <f t="shared" si="15"/>
        <v>February</v>
      </c>
      <c r="B149" s="31">
        <v>43887</v>
      </c>
      <c r="C149" s="32" t="s">
        <v>25</v>
      </c>
      <c r="D149" s="9" t="str">
        <f t="shared" si="16"/>
        <v>43887 - 1S</v>
      </c>
      <c r="E149" s="32" t="s">
        <v>9</v>
      </c>
      <c r="F149" s="2">
        <v>8000035</v>
      </c>
      <c r="G149" s="4" t="str">
        <f>IFERROR(VLOOKUP(F149,Lists!$C:$D,2,0), "N/A")</f>
        <v>TURTLES MILK CHOC ORIGINAL</v>
      </c>
      <c r="H149" s="26">
        <f>IFERROR(VLOOKUP(F149,Lists!$C:$F,4,0),0)</f>
        <v>1.91178</v>
      </c>
      <c r="I149" s="7">
        <f t="shared" si="14"/>
        <v>13671</v>
      </c>
      <c r="J149" s="6">
        <v>13246</v>
      </c>
      <c r="K149" s="33">
        <v>425</v>
      </c>
      <c r="L149" s="5">
        <f t="shared" si="17"/>
        <v>3.2085157783481803E-2</v>
      </c>
      <c r="M149" s="26">
        <f t="shared" si="18"/>
        <v>812.50649999999996</v>
      </c>
    </row>
    <row r="150" spans="1:14" x14ac:dyDescent="0.25">
      <c r="A150" s="16" t="str">
        <f t="shared" si="15"/>
        <v>February</v>
      </c>
      <c r="B150" s="31">
        <v>43887</v>
      </c>
      <c r="C150" s="32" t="s">
        <v>25</v>
      </c>
      <c r="D150" s="9" t="str">
        <f t="shared" si="16"/>
        <v>43887 - 1S</v>
      </c>
      <c r="E150" s="32" t="s">
        <v>10</v>
      </c>
      <c r="F150" s="2">
        <v>8000039</v>
      </c>
      <c r="G150" s="4" t="str">
        <f>IFERROR(VLOOKUP(F150,Lists!$C:$D,2,0), "N/A")</f>
        <v>TURTLES MILK CHOC ORIG MINI</v>
      </c>
      <c r="H150" s="26">
        <f>IFERROR(VLOOKUP(F150,Lists!$C:$F,4,0),0)</f>
        <v>2.08013</v>
      </c>
      <c r="I150" s="7">
        <f t="shared" si="14"/>
        <v>9772</v>
      </c>
      <c r="J150" s="6">
        <v>9600</v>
      </c>
      <c r="K150" s="33">
        <v>172</v>
      </c>
      <c r="L150" s="5">
        <f t="shared" si="17"/>
        <v>1.7916666666666668E-2</v>
      </c>
      <c r="M150" s="26">
        <f t="shared" si="18"/>
        <v>357.78235999999998</v>
      </c>
    </row>
    <row r="151" spans="1:14" x14ac:dyDescent="0.25">
      <c r="A151" s="16" t="str">
        <f t="shared" si="15"/>
        <v>February</v>
      </c>
      <c r="B151" s="31">
        <v>43887</v>
      </c>
      <c r="C151" s="32" t="s">
        <v>25</v>
      </c>
      <c r="D151" s="9" t="str">
        <f t="shared" si="16"/>
        <v>43887 - 1S</v>
      </c>
      <c r="E151" s="32" t="s">
        <v>12</v>
      </c>
      <c r="F151" s="2">
        <v>8000055</v>
      </c>
      <c r="G151" s="4" t="str">
        <f>IFERROR(VLOOKUP(F151,Lists!$C:$D,2,0), "N/A")</f>
        <v>916.BF FLIPZ 25 LB BULK MILK CHOC</v>
      </c>
      <c r="H151" s="26">
        <f>IFERROR(VLOOKUP(F151,Lists!$C:$F,4,0),0)</f>
        <v>1.9508160000000001</v>
      </c>
      <c r="I151" s="7">
        <f t="shared" si="14"/>
        <v>11015</v>
      </c>
      <c r="J151" s="6">
        <f>440*25</f>
        <v>11000</v>
      </c>
      <c r="K151" s="33">
        <v>15</v>
      </c>
      <c r="L151" s="5">
        <f t="shared" si="17"/>
        <v>1.3636363636363637E-3</v>
      </c>
      <c r="M151" s="26">
        <f t="shared" si="18"/>
        <v>29.262240000000002</v>
      </c>
    </row>
    <row r="152" spans="1:14" x14ac:dyDescent="0.25">
      <c r="A152" s="16" t="str">
        <f t="shared" si="15"/>
        <v>February</v>
      </c>
      <c r="B152" s="31">
        <v>43887</v>
      </c>
      <c r="C152" s="32" t="s">
        <v>25</v>
      </c>
      <c r="D152" s="9" t="str">
        <f t="shared" si="16"/>
        <v>43887 - 1S</v>
      </c>
      <c r="E152" s="32" t="s">
        <v>13</v>
      </c>
      <c r="F152" s="2">
        <v>8000040</v>
      </c>
      <c r="G152" s="4" t="str">
        <f>IFERROR(VLOOKUP(F152,Lists!$C:$D,2,0), "N/A")</f>
        <v>WIP.MSM FLIPZ MILK CHOC SUPER MINI</v>
      </c>
      <c r="H152" s="26">
        <f>IFERROR(VLOOKUP(F152,Lists!$C:$F,4,0),0)</f>
        <v>1.21353</v>
      </c>
      <c r="I152" s="7">
        <f t="shared" si="14"/>
        <v>1040</v>
      </c>
      <c r="J152" s="6">
        <f>40*25</f>
        <v>1000</v>
      </c>
      <c r="K152" s="33">
        <v>40</v>
      </c>
      <c r="L152" s="5">
        <f t="shared" si="17"/>
        <v>0.04</v>
      </c>
      <c r="M152" s="26">
        <f t="shared" si="18"/>
        <v>48.541200000000003</v>
      </c>
    </row>
    <row r="153" spans="1:14" x14ac:dyDescent="0.25">
      <c r="A153" s="16" t="str">
        <f t="shared" si="15"/>
        <v>February</v>
      </c>
      <c r="B153" s="31">
        <v>43887</v>
      </c>
      <c r="C153" s="32" t="s">
        <v>25</v>
      </c>
      <c r="D153" s="9" t="str">
        <f t="shared" si="16"/>
        <v>43887 - 1S</v>
      </c>
      <c r="E153" s="32" t="s">
        <v>15</v>
      </c>
      <c r="G153" s="4" t="str">
        <f>IFERROR(VLOOKUP(F153,Lists!$C:$D,2,0), "N/A")</f>
        <v>N/A</v>
      </c>
      <c r="H153" s="26">
        <f>IFERROR(VLOOKUP(F153,Lists!$C:$F,4,0),0)</f>
        <v>0</v>
      </c>
      <c r="I153" s="7">
        <f t="shared" si="14"/>
        <v>2</v>
      </c>
      <c r="K153" s="33">
        <v>2</v>
      </c>
      <c r="L153" s="5">
        <f t="shared" si="17"/>
        <v>1</v>
      </c>
      <c r="M153" s="26">
        <f t="shared" si="18"/>
        <v>0</v>
      </c>
    </row>
    <row r="154" spans="1:14" x14ac:dyDescent="0.25">
      <c r="A154" s="16" t="str">
        <f t="shared" si="15"/>
        <v>February</v>
      </c>
      <c r="B154" s="31">
        <v>43888</v>
      </c>
      <c r="C154" s="32" t="s">
        <v>25</v>
      </c>
      <c r="D154" s="9" t="str">
        <f t="shared" si="16"/>
        <v>43888 - 1S</v>
      </c>
      <c r="E154" s="32" t="s">
        <v>9</v>
      </c>
      <c r="F154" s="2">
        <v>8000035</v>
      </c>
      <c r="G154" s="4" t="str">
        <f>IFERROR(VLOOKUP(F154,Lists!$C:$D,2,0), "N/A")</f>
        <v>TURTLES MILK CHOC ORIGINAL</v>
      </c>
      <c r="H154" s="26">
        <f>IFERROR(VLOOKUP(F154,Lists!$C:$F,4,0),0)</f>
        <v>1.91178</v>
      </c>
      <c r="I154" s="7">
        <f t="shared" si="14"/>
        <v>10134</v>
      </c>
      <c r="J154" s="6">
        <v>9461</v>
      </c>
      <c r="K154" s="33">
        <v>673</v>
      </c>
      <c r="L154" s="5">
        <f t="shared" si="17"/>
        <v>7.1134129584610503E-2</v>
      </c>
      <c r="M154" s="26">
        <f t="shared" si="18"/>
        <v>1286.6279400000001</v>
      </c>
      <c r="N154" s="53" t="s">
        <v>242</v>
      </c>
    </row>
    <row r="155" spans="1:14" x14ac:dyDescent="0.25">
      <c r="A155" s="16" t="str">
        <f t="shared" si="15"/>
        <v>February</v>
      </c>
      <c r="B155" s="31">
        <v>43888</v>
      </c>
      <c r="C155" s="32" t="s">
        <v>25</v>
      </c>
      <c r="D155" s="9" t="str">
        <f t="shared" si="16"/>
        <v>43888 - 1S</v>
      </c>
      <c r="E155" s="32" t="s">
        <v>12</v>
      </c>
      <c r="F155" s="2">
        <v>8000055</v>
      </c>
      <c r="G155" s="4" t="str">
        <f>IFERROR(VLOOKUP(F155,Lists!$C:$D,2,0), "N/A")</f>
        <v>916.BF FLIPZ 25 LB BULK MILK CHOC</v>
      </c>
      <c r="H155" s="26">
        <f>IFERROR(VLOOKUP(F155,Lists!$C:$F,4,0),0)</f>
        <v>1.9508160000000001</v>
      </c>
      <c r="I155" s="7">
        <f t="shared" ref="I155:I184" si="19">J155+K155</f>
        <v>8024</v>
      </c>
      <c r="J155" s="6">
        <f>320*25</f>
        <v>8000</v>
      </c>
      <c r="K155" s="33">
        <v>24</v>
      </c>
      <c r="L155" s="5">
        <f t="shared" si="17"/>
        <v>3.0000000000000001E-3</v>
      </c>
      <c r="M155" s="26">
        <f t="shared" si="18"/>
        <v>46.819584000000006</v>
      </c>
    </row>
    <row r="156" spans="1:14" x14ac:dyDescent="0.25">
      <c r="A156" s="16" t="str">
        <f t="shared" si="15"/>
        <v>February</v>
      </c>
      <c r="B156" s="31">
        <v>43888</v>
      </c>
      <c r="C156" s="32" t="s">
        <v>25</v>
      </c>
      <c r="D156" s="9" t="str">
        <f t="shared" si="16"/>
        <v>43888 - 1S</v>
      </c>
      <c r="E156" s="32" t="s">
        <v>13</v>
      </c>
      <c r="F156" s="2">
        <v>8000055</v>
      </c>
      <c r="G156" s="4" t="str">
        <f>IFERROR(VLOOKUP(F156,Lists!$C:$D,2,0), "N/A")</f>
        <v>916.BF FLIPZ 25 LB BULK MILK CHOC</v>
      </c>
      <c r="H156" s="26">
        <f>IFERROR(VLOOKUP(F156,Lists!$C:$F,4,0),0)</f>
        <v>1.9508160000000001</v>
      </c>
      <c r="I156" s="7">
        <f t="shared" si="19"/>
        <v>2037</v>
      </c>
      <c r="J156" s="6">
        <f>80*25</f>
        <v>2000</v>
      </c>
      <c r="K156" s="33">
        <v>37</v>
      </c>
      <c r="L156" s="5">
        <f t="shared" si="17"/>
        <v>1.8499999999999999E-2</v>
      </c>
      <c r="M156" s="26">
        <f t="shared" si="18"/>
        <v>72.180192000000005</v>
      </c>
    </row>
    <row r="157" spans="1:14" x14ac:dyDescent="0.25">
      <c r="A157" s="16" t="str">
        <f t="shared" si="15"/>
        <v>February</v>
      </c>
      <c r="B157" s="31">
        <v>43888</v>
      </c>
      <c r="C157" s="32" t="s">
        <v>25</v>
      </c>
      <c r="D157" s="9" t="str">
        <f t="shared" si="16"/>
        <v>43888 - 1S</v>
      </c>
      <c r="E157" s="32" t="s">
        <v>15</v>
      </c>
      <c r="G157" s="4" t="str">
        <f>IFERROR(VLOOKUP(F157,Lists!$C:$D,2,0), "N/A")</f>
        <v>N/A</v>
      </c>
      <c r="H157" s="26">
        <f>IFERROR(VLOOKUP(F157,Lists!$C:$F,4,0),0)</f>
        <v>0</v>
      </c>
      <c r="I157" s="7">
        <f t="shared" si="19"/>
        <v>3</v>
      </c>
      <c r="K157" s="33">
        <v>3</v>
      </c>
      <c r="L157" s="5">
        <f t="shared" si="17"/>
        <v>1</v>
      </c>
      <c r="M157" s="26">
        <f t="shared" si="18"/>
        <v>0</v>
      </c>
    </row>
    <row r="158" spans="1:14" x14ac:dyDescent="0.25">
      <c r="A158" s="16" t="s">
        <v>52</v>
      </c>
      <c r="B158" s="31">
        <v>43889</v>
      </c>
      <c r="C158" s="32" t="s">
        <v>25</v>
      </c>
      <c r="D158" s="9" t="str">
        <f t="shared" si="16"/>
        <v>43889 - 1S</v>
      </c>
      <c r="E158" s="32" t="s">
        <v>10</v>
      </c>
      <c r="F158" s="2">
        <v>8000039</v>
      </c>
      <c r="G158" s="4" t="str">
        <f>IFERROR(VLOOKUP(F158,Lists!$C:$D,2,0), "N/A")</f>
        <v>TURTLES MILK CHOC ORIG MINI</v>
      </c>
      <c r="H158" s="26">
        <f>IFERROR(VLOOKUP(F158,Lists!$C:$F,4,0),0)</f>
        <v>2.08013</v>
      </c>
      <c r="I158" s="7">
        <f t="shared" si="19"/>
        <v>7823</v>
      </c>
      <c r="J158" s="6">
        <v>7680</v>
      </c>
      <c r="K158" s="33">
        <v>143</v>
      </c>
      <c r="L158" s="5">
        <f t="shared" si="17"/>
        <v>1.8619791666666666E-2</v>
      </c>
      <c r="M158" s="26">
        <f t="shared" si="18"/>
        <v>297.45859000000002</v>
      </c>
    </row>
    <row r="159" spans="1:14" x14ac:dyDescent="0.25">
      <c r="A159" s="16" t="s">
        <v>52</v>
      </c>
      <c r="B159" s="31">
        <v>43889</v>
      </c>
      <c r="C159" s="32" t="s">
        <v>25</v>
      </c>
      <c r="D159" s="9" t="str">
        <f t="shared" si="16"/>
        <v>43889 - 1S</v>
      </c>
      <c r="E159" s="32" t="s">
        <v>12</v>
      </c>
      <c r="F159" s="2">
        <v>8000055</v>
      </c>
      <c r="G159" s="4" t="str">
        <f>IFERROR(VLOOKUP(F159,Lists!$C:$D,2,0), "N/A")</f>
        <v>916.BF FLIPZ 25 LB BULK MILK CHOC</v>
      </c>
      <c r="H159" s="26">
        <f>IFERROR(VLOOKUP(F159,Lists!$C:$F,4,0),0)</f>
        <v>1.9508160000000001</v>
      </c>
      <c r="I159" s="7">
        <f t="shared" si="19"/>
        <v>9006</v>
      </c>
      <c r="J159" s="6">
        <f>360*25</f>
        <v>9000</v>
      </c>
      <c r="K159" s="33">
        <v>6</v>
      </c>
      <c r="L159" s="5">
        <f t="shared" si="17"/>
        <v>6.6666666666666664E-4</v>
      </c>
      <c r="M159" s="26">
        <f t="shared" si="18"/>
        <v>11.704896000000002</v>
      </c>
    </row>
    <row r="160" spans="1:14" x14ac:dyDescent="0.25">
      <c r="A160" s="16" t="s">
        <v>52</v>
      </c>
      <c r="B160" s="31">
        <v>43889</v>
      </c>
      <c r="C160" s="32" t="s">
        <v>25</v>
      </c>
      <c r="D160" s="9" t="str">
        <f t="shared" si="16"/>
        <v>43889 - 1S</v>
      </c>
      <c r="E160" s="32" t="s">
        <v>13</v>
      </c>
      <c r="F160" s="2">
        <v>8000055</v>
      </c>
      <c r="G160" s="4" t="str">
        <f>IFERROR(VLOOKUP(F160,Lists!$C:$D,2,0), "N/A")</f>
        <v>916.BF FLIPZ 25 LB BULK MILK CHOC</v>
      </c>
      <c r="H160" s="26">
        <f>IFERROR(VLOOKUP(F160,Lists!$C:$F,4,0),0)</f>
        <v>1.9508160000000001</v>
      </c>
      <c r="I160" s="7">
        <f t="shared" si="19"/>
        <v>225</v>
      </c>
      <c r="J160" s="6">
        <f>9*25</f>
        <v>225</v>
      </c>
      <c r="K160" s="33">
        <v>0</v>
      </c>
      <c r="L160" s="5">
        <f t="shared" si="17"/>
        <v>0</v>
      </c>
      <c r="M160" s="26">
        <f t="shared" si="18"/>
        <v>0</v>
      </c>
    </row>
    <row r="161" spans="1:14" x14ac:dyDescent="0.25">
      <c r="A161" s="16" t="s">
        <v>52</v>
      </c>
      <c r="B161" s="31">
        <v>43889</v>
      </c>
      <c r="C161" s="32" t="s">
        <v>25</v>
      </c>
      <c r="D161" s="9" t="str">
        <f t="shared" si="16"/>
        <v>43889 - 1S</v>
      </c>
      <c r="E161" s="32" t="s">
        <v>15</v>
      </c>
      <c r="G161" s="4" t="str">
        <f>IFERROR(VLOOKUP(F161,Lists!$C:$D,2,0), "N/A")</f>
        <v>N/A</v>
      </c>
      <c r="H161" s="26">
        <f>IFERROR(VLOOKUP(F161,Lists!$C:$F,4,0),0)</f>
        <v>0</v>
      </c>
      <c r="I161" s="7">
        <f t="shared" si="19"/>
        <v>30</v>
      </c>
      <c r="K161" s="33">
        <v>30</v>
      </c>
      <c r="L161" s="5">
        <f t="shared" si="17"/>
        <v>1</v>
      </c>
      <c r="M161" s="26">
        <f t="shared" si="18"/>
        <v>0</v>
      </c>
    </row>
    <row r="162" spans="1:14" x14ac:dyDescent="0.25">
      <c r="A162" s="16" t="str">
        <f t="shared" ref="A162:A182" si="20">TEXT(B162,"mmmm")</f>
        <v>February</v>
      </c>
      <c r="B162" s="31">
        <v>43890</v>
      </c>
      <c r="C162" s="32" t="s">
        <v>25</v>
      </c>
      <c r="D162" s="9" t="str">
        <f t="shared" si="16"/>
        <v>43890 - 1S</v>
      </c>
      <c r="E162" s="32" t="s">
        <v>12</v>
      </c>
      <c r="F162" s="2">
        <v>8000055</v>
      </c>
      <c r="G162" s="4" t="str">
        <f>IFERROR(VLOOKUP(F162,Lists!$C:$D,2,0), "N/A")</f>
        <v>916.BF FLIPZ 25 LB BULK MILK CHOC</v>
      </c>
      <c r="H162" s="26">
        <f>IFERROR(VLOOKUP(F162,Lists!$C:$F,4,0),0)</f>
        <v>1.9508160000000001</v>
      </c>
      <c r="I162" s="7">
        <f t="shared" si="19"/>
        <v>11014</v>
      </c>
      <c r="J162" s="6">
        <f>440*25</f>
        <v>11000</v>
      </c>
      <c r="K162" s="33">
        <v>14</v>
      </c>
      <c r="L162" s="5">
        <f t="shared" si="17"/>
        <v>1.2727272727272728E-3</v>
      </c>
      <c r="M162" s="26">
        <f t="shared" si="18"/>
        <v>27.311424000000002</v>
      </c>
    </row>
    <row r="163" spans="1:14" x14ac:dyDescent="0.25">
      <c r="A163" s="16" t="str">
        <f t="shared" si="20"/>
        <v>February</v>
      </c>
      <c r="B163" s="31">
        <v>43890</v>
      </c>
      <c r="C163" s="32" t="s">
        <v>25</v>
      </c>
      <c r="D163" s="9" t="str">
        <f t="shared" si="16"/>
        <v>43890 - 1S</v>
      </c>
      <c r="E163" s="32" t="s">
        <v>15</v>
      </c>
      <c r="G163" s="4" t="str">
        <f>IFERROR(VLOOKUP(F163,Lists!$C:$D,2,0), "N/A")</f>
        <v>N/A</v>
      </c>
      <c r="H163" s="26">
        <f>IFERROR(VLOOKUP(F163,Lists!$C:$F,4,0),0)</f>
        <v>0</v>
      </c>
      <c r="I163" s="7">
        <f t="shared" si="19"/>
        <v>70</v>
      </c>
      <c r="K163" s="33">
        <v>70</v>
      </c>
      <c r="L163" s="5">
        <f t="shared" si="17"/>
        <v>1</v>
      </c>
      <c r="M163" s="26">
        <f t="shared" si="18"/>
        <v>0</v>
      </c>
    </row>
    <row r="164" spans="1:14" x14ac:dyDescent="0.25">
      <c r="A164" s="16" t="str">
        <f t="shared" si="20"/>
        <v>March</v>
      </c>
      <c r="B164" s="31">
        <v>43891</v>
      </c>
      <c r="C164" s="32" t="s">
        <v>25</v>
      </c>
      <c r="D164" s="9" t="str">
        <f t="shared" si="16"/>
        <v>43891 - 1S</v>
      </c>
      <c r="E164" s="32" t="s">
        <v>12</v>
      </c>
      <c r="F164" s="2">
        <v>8000055</v>
      </c>
      <c r="G164" s="4" t="str">
        <f>IFERROR(VLOOKUP(F164,Lists!$C:$D,2,0), "N/A")</f>
        <v>916.BF FLIPZ 25 LB BULK MILK CHOC</v>
      </c>
      <c r="H164" s="26">
        <f>IFERROR(VLOOKUP(F164,Lists!$C:$F,4,0),0)</f>
        <v>1.9508160000000001</v>
      </c>
      <c r="I164" s="7">
        <f t="shared" si="19"/>
        <v>11030</v>
      </c>
      <c r="J164" s="6">
        <f>440*25</f>
        <v>11000</v>
      </c>
      <c r="K164" s="33">
        <v>30</v>
      </c>
      <c r="L164" s="5">
        <f t="shared" si="17"/>
        <v>2.7272727272727275E-3</v>
      </c>
      <c r="M164" s="26">
        <f t="shared" si="18"/>
        <v>58.524480000000004</v>
      </c>
    </row>
    <row r="165" spans="1:14" ht="26.25" x14ac:dyDescent="0.25">
      <c r="A165" s="16" t="str">
        <f t="shared" si="20"/>
        <v>March</v>
      </c>
      <c r="B165" s="31">
        <v>43892</v>
      </c>
      <c r="C165" s="32" t="s">
        <v>25</v>
      </c>
      <c r="D165" s="9" t="str">
        <f t="shared" si="16"/>
        <v>43892 - 1S</v>
      </c>
      <c r="E165" s="32" t="s">
        <v>9</v>
      </c>
      <c r="F165" s="2">
        <v>8000038</v>
      </c>
      <c r="G165" s="4" t="str">
        <f>IFERROR(VLOOKUP(F165,Lists!$C:$D,2,0), "N/A")</f>
        <v>TURTLES MILK CHOC PEC BITE SZ</v>
      </c>
      <c r="H165" s="26">
        <f>IFERROR(VLOOKUP(F165,Lists!$C:$F,4,0),0)</f>
        <v>1.96</v>
      </c>
      <c r="I165" s="7">
        <f t="shared" si="19"/>
        <v>5261</v>
      </c>
      <c r="J165" s="6">
        <v>5040</v>
      </c>
      <c r="K165" s="33">
        <v>221</v>
      </c>
      <c r="L165" s="5">
        <f t="shared" si="17"/>
        <v>4.3849206349206346E-2</v>
      </c>
      <c r="M165" s="26">
        <f t="shared" si="18"/>
        <v>433.15999999999997</v>
      </c>
      <c r="N165" s="53" t="s">
        <v>263</v>
      </c>
    </row>
    <row r="166" spans="1:14" x14ac:dyDescent="0.25">
      <c r="A166" s="16" t="str">
        <f t="shared" si="20"/>
        <v>March</v>
      </c>
      <c r="B166" s="31">
        <v>43892</v>
      </c>
      <c r="C166" s="32" t="s">
        <v>25</v>
      </c>
      <c r="D166" s="9" t="str">
        <f t="shared" si="16"/>
        <v>43892 - 1S</v>
      </c>
      <c r="E166" s="32" t="s">
        <v>11</v>
      </c>
      <c r="F166" s="2">
        <v>8000034</v>
      </c>
      <c r="G166" s="4" t="str">
        <f>IFERROR(VLOOKUP(F166,Lists!$C:$D,2,0), "N/A")</f>
        <v>KS MILK CHOC MACADAMIA</v>
      </c>
      <c r="H166" s="26">
        <f>IFERROR(VLOOKUP(F166,Lists!$C:$F,4,0),0)</f>
        <v>3.8943099999999999</v>
      </c>
      <c r="I166" s="7">
        <f t="shared" si="19"/>
        <v>6467</v>
      </c>
      <c r="J166" s="6">
        <v>6400</v>
      </c>
      <c r="K166" s="33">
        <v>67</v>
      </c>
      <c r="L166" s="5">
        <f t="shared" si="17"/>
        <v>1.0468750000000001E-2</v>
      </c>
      <c r="M166" s="26">
        <f t="shared" si="18"/>
        <v>260.91876999999999</v>
      </c>
    </row>
    <row r="167" spans="1:14" x14ac:dyDescent="0.25">
      <c r="A167" s="16" t="str">
        <f t="shared" si="20"/>
        <v>March</v>
      </c>
      <c r="B167" s="31">
        <v>43892</v>
      </c>
      <c r="C167" s="32" t="s">
        <v>25</v>
      </c>
      <c r="D167" s="9" t="str">
        <f t="shared" si="16"/>
        <v>43892 - 1S</v>
      </c>
      <c r="E167" s="32" t="s">
        <v>12</v>
      </c>
      <c r="F167" s="2">
        <v>8000055</v>
      </c>
      <c r="G167" s="4" t="str">
        <f>IFERROR(VLOOKUP(F167,Lists!$C:$D,2,0), "N/A")</f>
        <v>916.BF FLIPZ 25 LB BULK MILK CHOC</v>
      </c>
      <c r="H167" s="26">
        <f>IFERROR(VLOOKUP(F167,Lists!$C:$F,4,0),0)</f>
        <v>1.9508160000000001</v>
      </c>
      <c r="I167" s="7">
        <f t="shared" si="19"/>
        <v>10010</v>
      </c>
      <c r="J167" s="6">
        <f>400*25</f>
        <v>10000</v>
      </c>
      <c r="K167" s="33">
        <v>10</v>
      </c>
      <c r="L167" s="5">
        <f t="shared" si="17"/>
        <v>1E-3</v>
      </c>
      <c r="M167" s="26">
        <f t="shared" si="18"/>
        <v>19.50816</v>
      </c>
    </row>
    <row r="168" spans="1:14" x14ac:dyDescent="0.25">
      <c r="A168" s="16" t="str">
        <f t="shared" si="20"/>
        <v>March</v>
      </c>
      <c r="B168" s="31">
        <v>43892</v>
      </c>
      <c r="C168" s="32" t="s">
        <v>25</v>
      </c>
      <c r="D168" s="9" t="str">
        <f t="shared" si="16"/>
        <v>43892 - 1S</v>
      </c>
      <c r="E168" s="32" t="s">
        <v>13</v>
      </c>
      <c r="F168" s="2">
        <v>8000055</v>
      </c>
      <c r="G168" s="4" t="str">
        <f>IFERROR(VLOOKUP(F168,Lists!$C:$D,2,0), "N/A")</f>
        <v>916.BF FLIPZ 25 LB BULK MILK CHOC</v>
      </c>
      <c r="H168" s="26">
        <f>IFERROR(VLOOKUP(F168,Lists!$C:$F,4,0),0)</f>
        <v>1.9508160000000001</v>
      </c>
      <c r="I168" s="7">
        <f t="shared" si="19"/>
        <v>2005</v>
      </c>
      <c r="J168" s="6">
        <v>2000</v>
      </c>
      <c r="K168" s="33">
        <v>5</v>
      </c>
      <c r="L168" s="5">
        <f t="shared" si="17"/>
        <v>2.5000000000000001E-3</v>
      </c>
      <c r="M168" s="26">
        <f t="shared" si="18"/>
        <v>9.7540800000000001</v>
      </c>
    </row>
    <row r="169" spans="1:14" x14ac:dyDescent="0.25">
      <c r="A169" s="16" t="str">
        <f t="shared" si="20"/>
        <v>March</v>
      </c>
      <c r="B169" s="31">
        <v>43892</v>
      </c>
      <c r="C169" s="32" t="s">
        <v>25</v>
      </c>
      <c r="D169" s="9" t="str">
        <f t="shared" si="16"/>
        <v>43892 - 1S</v>
      </c>
      <c r="E169" s="32" t="s">
        <v>15</v>
      </c>
      <c r="G169" s="4" t="str">
        <f>IFERROR(VLOOKUP(F169,Lists!$C:$D,2,0), "N/A")</f>
        <v>N/A</v>
      </c>
      <c r="H169" s="26">
        <f>IFERROR(VLOOKUP(F169,Lists!$C:$F,4,0),0)</f>
        <v>0</v>
      </c>
      <c r="I169" s="7">
        <f t="shared" si="19"/>
        <v>10</v>
      </c>
      <c r="K169" s="33">
        <v>10</v>
      </c>
      <c r="L169" s="5">
        <f t="shared" si="17"/>
        <v>1</v>
      </c>
      <c r="M169" s="26">
        <f t="shared" si="18"/>
        <v>0</v>
      </c>
    </row>
    <row r="170" spans="1:14" x14ac:dyDescent="0.25">
      <c r="A170" s="16" t="str">
        <f t="shared" si="20"/>
        <v>March</v>
      </c>
      <c r="B170" s="31">
        <v>43893</v>
      </c>
      <c r="C170" s="32" t="s">
        <v>25</v>
      </c>
      <c r="D170" s="9" t="str">
        <f t="shared" si="16"/>
        <v>43893 - 1S</v>
      </c>
      <c r="E170" s="32" t="s">
        <v>9</v>
      </c>
      <c r="F170" s="46">
        <v>8000038</v>
      </c>
      <c r="G170" s="4" t="str">
        <f>IFERROR(VLOOKUP(F170,Lists!$C:$D,2,0), "N/A")</f>
        <v>TURTLES MILK CHOC PEC BITE SZ</v>
      </c>
      <c r="H170" s="26">
        <f>IFERROR(VLOOKUP(F170,Lists!$C:$F,4,0),0)</f>
        <v>1.96</v>
      </c>
      <c r="I170" s="7">
        <f t="shared" si="19"/>
        <v>9074</v>
      </c>
      <c r="J170" s="6">
        <v>8640</v>
      </c>
      <c r="K170" s="33">
        <v>434</v>
      </c>
      <c r="L170" s="5">
        <f t="shared" si="17"/>
        <v>5.0231481481481481E-2</v>
      </c>
      <c r="M170" s="26">
        <f t="shared" si="18"/>
        <v>850.64</v>
      </c>
      <c r="N170" s="53" t="s">
        <v>265</v>
      </c>
    </row>
    <row r="171" spans="1:14" x14ac:dyDescent="0.25">
      <c r="A171" s="16" t="str">
        <f t="shared" si="20"/>
        <v>March</v>
      </c>
      <c r="B171" s="31">
        <v>43893</v>
      </c>
      <c r="C171" s="32" t="s">
        <v>25</v>
      </c>
      <c r="D171" s="9" t="str">
        <f t="shared" si="16"/>
        <v>43893 - 1S</v>
      </c>
      <c r="E171" s="32" t="s">
        <v>11</v>
      </c>
      <c r="F171" s="46">
        <v>8000034</v>
      </c>
      <c r="G171" s="4" t="str">
        <f>IFERROR(VLOOKUP(F171,Lists!$C:$D,2,0), "N/A")</f>
        <v>KS MILK CHOC MACADAMIA</v>
      </c>
      <c r="H171" s="26">
        <f>IFERROR(VLOOKUP(F171,Lists!$C:$F,4,0),0)</f>
        <v>3.8943099999999999</v>
      </c>
      <c r="I171" s="7">
        <f t="shared" si="19"/>
        <v>8944</v>
      </c>
      <c r="J171" s="6">
        <v>8800</v>
      </c>
      <c r="K171" s="33">
        <v>144</v>
      </c>
      <c r="L171" s="5">
        <f t="shared" si="17"/>
        <v>1.6363636363636365E-2</v>
      </c>
      <c r="M171" s="26">
        <f t="shared" si="18"/>
        <v>560.78063999999995</v>
      </c>
    </row>
    <row r="172" spans="1:14" x14ac:dyDescent="0.25">
      <c r="A172" s="16" t="str">
        <f t="shared" si="20"/>
        <v>March</v>
      </c>
      <c r="B172" s="31">
        <v>43893</v>
      </c>
      <c r="C172" s="32" t="s">
        <v>25</v>
      </c>
      <c r="D172" s="9" t="str">
        <f t="shared" si="16"/>
        <v>43893 - 1S</v>
      </c>
      <c r="E172" s="32" t="s">
        <v>12</v>
      </c>
      <c r="F172" s="46">
        <v>8000055</v>
      </c>
      <c r="G172" s="4" t="str">
        <f>IFERROR(VLOOKUP(F172,Lists!$C:$D,2,0), "N/A")</f>
        <v>916.BF FLIPZ 25 LB BULK MILK CHOC</v>
      </c>
      <c r="H172" s="26">
        <f>IFERROR(VLOOKUP(F172,Lists!$C:$F,4,0),0)</f>
        <v>1.9508160000000001</v>
      </c>
      <c r="I172" s="7">
        <f t="shared" si="19"/>
        <v>9013</v>
      </c>
      <c r="J172" s="6">
        <f>360*25</f>
        <v>9000</v>
      </c>
      <c r="K172" s="33">
        <v>13</v>
      </c>
      <c r="L172" s="5">
        <f t="shared" si="17"/>
        <v>1.4444444444444444E-3</v>
      </c>
      <c r="M172" s="26">
        <f t="shared" si="18"/>
        <v>25.360608000000003</v>
      </c>
    </row>
    <row r="173" spans="1:14" x14ac:dyDescent="0.25">
      <c r="A173" s="16" t="str">
        <f t="shared" si="20"/>
        <v>March</v>
      </c>
      <c r="B173" s="31">
        <v>43893</v>
      </c>
      <c r="C173" s="32" t="s">
        <v>25</v>
      </c>
      <c r="D173" s="9" t="str">
        <f t="shared" si="16"/>
        <v>43893 - 1S</v>
      </c>
      <c r="E173" s="32" t="s">
        <v>13</v>
      </c>
      <c r="F173" s="46">
        <v>8000055</v>
      </c>
      <c r="G173" s="4" t="str">
        <f>IFERROR(VLOOKUP(F173,Lists!$C:$D,2,0), "N/A")</f>
        <v>916.BF FLIPZ 25 LB BULK MILK CHOC</v>
      </c>
      <c r="H173" s="26">
        <f>IFERROR(VLOOKUP(F173,Lists!$C:$F,4,0),0)</f>
        <v>1.9508160000000001</v>
      </c>
      <c r="I173" s="7">
        <f t="shared" si="19"/>
        <v>2032</v>
      </c>
      <c r="J173" s="6">
        <v>2000</v>
      </c>
      <c r="K173" s="33">
        <v>32</v>
      </c>
      <c r="L173" s="5">
        <f t="shared" si="17"/>
        <v>1.6E-2</v>
      </c>
      <c r="M173" s="26">
        <f t="shared" si="18"/>
        <v>62.426112000000003</v>
      </c>
    </row>
    <row r="174" spans="1:14" x14ac:dyDescent="0.25">
      <c r="A174" s="16" t="str">
        <f t="shared" si="20"/>
        <v>March</v>
      </c>
      <c r="B174" s="31">
        <v>43893</v>
      </c>
      <c r="C174" s="32" t="s">
        <v>25</v>
      </c>
      <c r="D174" s="9" t="str">
        <f t="shared" si="16"/>
        <v>43893 - 1S</v>
      </c>
      <c r="E174" s="32" t="s">
        <v>15</v>
      </c>
      <c r="G174" s="4" t="str">
        <f>IFERROR(VLOOKUP(F174,Lists!$C:$D,2,0), "N/A")</f>
        <v>N/A</v>
      </c>
      <c r="H174" s="26">
        <f>IFERROR(VLOOKUP(F174,Lists!$C:$F,4,0),0)</f>
        <v>0</v>
      </c>
      <c r="I174" s="7">
        <f t="shared" si="19"/>
        <v>10</v>
      </c>
      <c r="K174" s="33">
        <v>10</v>
      </c>
      <c r="L174" s="5">
        <f t="shared" si="17"/>
        <v>1</v>
      </c>
      <c r="M174" s="26">
        <f t="shared" si="18"/>
        <v>0</v>
      </c>
    </row>
    <row r="175" spans="1:14" x14ac:dyDescent="0.25">
      <c r="A175" s="16" t="str">
        <f t="shared" si="20"/>
        <v>March</v>
      </c>
      <c r="B175" s="31">
        <v>43894</v>
      </c>
      <c r="C175" s="32" t="s">
        <v>25</v>
      </c>
      <c r="D175" s="9" t="str">
        <f t="shared" si="16"/>
        <v>43894 - 1S</v>
      </c>
      <c r="E175" s="32" t="s">
        <v>9</v>
      </c>
      <c r="F175" s="46">
        <v>8000038</v>
      </c>
      <c r="G175" s="4" t="str">
        <f>IFERROR(VLOOKUP(F175,Lists!$C:$D,2,0), "N/A")</f>
        <v>TURTLES MILK CHOC PEC BITE SZ</v>
      </c>
      <c r="H175" s="26">
        <f>IFERROR(VLOOKUP(F175,Lists!$C:$F,4,0),0)</f>
        <v>1.96</v>
      </c>
      <c r="I175" s="7">
        <f t="shared" si="19"/>
        <v>8251</v>
      </c>
      <c r="J175" s="20">
        <v>7956</v>
      </c>
      <c r="K175" s="33">
        <v>295</v>
      </c>
      <c r="L175" s="5">
        <f t="shared" si="17"/>
        <v>3.7078934137757667E-2</v>
      </c>
      <c r="M175" s="26">
        <f t="shared" si="18"/>
        <v>578.20000000000005</v>
      </c>
    </row>
    <row r="176" spans="1:14" x14ac:dyDescent="0.25">
      <c r="A176" s="16" t="str">
        <f t="shared" si="20"/>
        <v>March</v>
      </c>
      <c r="B176" s="31">
        <v>43894</v>
      </c>
      <c r="C176" s="32" t="s">
        <v>25</v>
      </c>
      <c r="D176" s="9" t="str">
        <f t="shared" si="16"/>
        <v>43894 - 1S</v>
      </c>
      <c r="E176" s="32" t="s">
        <v>11</v>
      </c>
      <c r="F176" s="46">
        <v>8000034</v>
      </c>
      <c r="G176" s="4" t="str">
        <f>IFERROR(VLOOKUP(F176,Lists!$C:$D,2,0), "N/A")</f>
        <v>KS MILK CHOC MACADAMIA</v>
      </c>
      <c r="H176" s="26">
        <f>IFERROR(VLOOKUP(F176,Lists!$C:$F,4,0),0)</f>
        <v>3.8943099999999999</v>
      </c>
      <c r="I176" s="7">
        <f t="shared" si="19"/>
        <v>8938</v>
      </c>
      <c r="J176" s="20">
        <v>8800</v>
      </c>
      <c r="K176" s="33">
        <v>138</v>
      </c>
      <c r="L176" s="5">
        <f t="shared" si="17"/>
        <v>1.5681818181818182E-2</v>
      </c>
      <c r="M176" s="26">
        <f t="shared" si="18"/>
        <v>537.41477999999995</v>
      </c>
    </row>
    <row r="177" spans="1:14" x14ac:dyDescent="0.25">
      <c r="A177" s="16" t="str">
        <f t="shared" si="20"/>
        <v>March</v>
      </c>
      <c r="B177" s="31">
        <v>43894</v>
      </c>
      <c r="C177" s="32" t="s">
        <v>25</v>
      </c>
      <c r="D177" s="9" t="str">
        <f t="shared" si="16"/>
        <v>43894 - 1S</v>
      </c>
      <c r="E177" s="32" t="s">
        <v>12</v>
      </c>
      <c r="F177" s="46">
        <v>8000055</v>
      </c>
      <c r="G177" s="4" t="str">
        <f>IFERROR(VLOOKUP(F177,Lists!$C:$D,2,0), "N/A")</f>
        <v>916.BF FLIPZ 25 LB BULK MILK CHOC</v>
      </c>
      <c r="H177" s="26">
        <f>IFERROR(VLOOKUP(F177,Lists!$C:$F,4,0),0)</f>
        <v>1.9508160000000001</v>
      </c>
      <c r="I177" s="7">
        <f t="shared" si="19"/>
        <v>10008</v>
      </c>
      <c r="J177" s="20">
        <f>400*25</f>
        <v>10000</v>
      </c>
      <c r="K177" s="33">
        <v>8</v>
      </c>
      <c r="L177" s="5">
        <f t="shared" si="17"/>
        <v>8.0000000000000004E-4</v>
      </c>
      <c r="M177" s="26">
        <f t="shared" si="18"/>
        <v>15.606528000000001</v>
      </c>
    </row>
    <row r="178" spans="1:14" x14ac:dyDescent="0.25">
      <c r="A178" s="16" t="str">
        <f t="shared" si="20"/>
        <v>March</v>
      </c>
      <c r="B178" s="31">
        <v>43894</v>
      </c>
      <c r="C178" s="32" t="s">
        <v>25</v>
      </c>
      <c r="D178" s="9" t="str">
        <f t="shared" si="16"/>
        <v>43894 - 1S</v>
      </c>
      <c r="E178" s="32" t="s">
        <v>13</v>
      </c>
      <c r="F178" s="46">
        <v>8000055</v>
      </c>
      <c r="G178" s="4" t="str">
        <f>IFERROR(VLOOKUP(F178,Lists!$C:$D,2,0), "N/A")</f>
        <v>916.BF FLIPZ 25 LB BULK MILK CHOC</v>
      </c>
      <c r="H178" s="26">
        <f>IFERROR(VLOOKUP(F178,Lists!$C:$F,4,0),0)</f>
        <v>1.9508160000000001</v>
      </c>
      <c r="I178" s="7">
        <f t="shared" si="19"/>
        <v>2047</v>
      </c>
      <c r="J178" s="6">
        <v>2000</v>
      </c>
      <c r="K178" s="33">
        <v>47</v>
      </c>
      <c r="L178" s="5">
        <f t="shared" si="17"/>
        <v>2.35E-2</v>
      </c>
      <c r="M178" s="26">
        <f t="shared" si="18"/>
        <v>91.688352000000009</v>
      </c>
    </row>
    <row r="179" spans="1:14" x14ac:dyDescent="0.25">
      <c r="A179" s="16" t="str">
        <f t="shared" si="20"/>
        <v>March</v>
      </c>
      <c r="B179" s="31">
        <v>43895</v>
      </c>
      <c r="C179" s="32" t="s">
        <v>25</v>
      </c>
      <c r="D179" s="9" t="str">
        <f t="shared" si="16"/>
        <v>43895 - 1S</v>
      </c>
      <c r="E179" s="32" t="s">
        <v>9</v>
      </c>
      <c r="F179" s="2">
        <v>8000038</v>
      </c>
      <c r="G179" s="4" t="str">
        <f>IFERROR(VLOOKUP(F179,Lists!$C:$D,2,0), "N/A")</f>
        <v>TURTLES MILK CHOC PEC BITE SZ</v>
      </c>
      <c r="H179" s="26">
        <f>IFERROR(VLOOKUP(F179,Lists!$C:$F,4,0),0)</f>
        <v>1.96</v>
      </c>
      <c r="I179" s="7">
        <f t="shared" si="19"/>
        <v>4359</v>
      </c>
      <c r="J179" s="6">
        <v>4178</v>
      </c>
      <c r="K179" s="33">
        <v>181</v>
      </c>
      <c r="L179" s="5">
        <f t="shared" si="17"/>
        <v>4.3322163714696028E-2</v>
      </c>
      <c r="M179" s="26">
        <f t="shared" si="18"/>
        <v>354.76</v>
      </c>
      <c r="N179" s="53" t="s">
        <v>274</v>
      </c>
    </row>
    <row r="180" spans="1:14" x14ac:dyDescent="0.25">
      <c r="A180" s="16" t="str">
        <f t="shared" si="20"/>
        <v>March</v>
      </c>
      <c r="B180" s="31">
        <v>43895</v>
      </c>
      <c r="C180" s="32" t="s">
        <v>25</v>
      </c>
      <c r="D180" s="9" t="str">
        <f t="shared" si="16"/>
        <v>43895 - 1S</v>
      </c>
      <c r="E180" s="32" t="s">
        <v>11</v>
      </c>
      <c r="F180" s="2">
        <v>8000034</v>
      </c>
      <c r="G180" s="4" t="str">
        <f>IFERROR(VLOOKUP(F180,Lists!$C:$D,2,0), "N/A")</f>
        <v>KS MILK CHOC MACADAMIA</v>
      </c>
      <c r="H180" s="26">
        <f>IFERROR(VLOOKUP(F180,Lists!$C:$F,4,0),0)</f>
        <v>3.8943099999999999</v>
      </c>
      <c r="I180" s="7">
        <f t="shared" si="19"/>
        <v>8925</v>
      </c>
      <c r="J180" s="6">
        <v>8800</v>
      </c>
      <c r="K180" s="33">
        <v>125</v>
      </c>
      <c r="L180" s="5">
        <f t="shared" si="17"/>
        <v>1.4204545454545454E-2</v>
      </c>
      <c r="M180" s="26">
        <f t="shared" si="18"/>
        <v>486.78874999999999</v>
      </c>
    </row>
    <row r="181" spans="1:14" x14ac:dyDescent="0.25">
      <c r="A181" s="16" t="str">
        <f t="shared" si="20"/>
        <v>March</v>
      </c>
      <c r="B181" s="31">
        <v>43895</v>
      </c>
      <c r="C181" s="32" t="s">
        <v>25</v>
      </c>
      <c r="D181" s="9" t="str">
        <f t="shared" si="16"/>
        <v>43895 - 1S</v>
      </c>
      <c r="E181" s="32" t="s">
        <v>12</v>
      </c>
      <c r="F181" s="2">
        <v>8000055</v>
      </c>
      <c r="G181" s="4" t="str">
        <f>IFERROR(VLOOKUP(F181,Lists!$C:$D,2,0), "N/A")</f>
        <v>916.BF FLIPZ 25 LB BULK MILK CHOC</v>
      </c>
      <c r="H181" s="26">
        <f>IFERROR(VLOOKUP(F181,Lists!$C:$F,4,0),0)</f>
        <v>1.9508160000000001</v>
      </c>
      <c r="I181" s="7">
        <f t="shared" si="19"/>
        <v>9002</v>
      </c>
      <c r="J181" s="6">
        <f>360*25</f>
        <v>9000</v>
      </c>
      <c r="K181" s="33">
        <v>2</v>
      </c>
      <c r="L181" s="5">
        <f t="shared" si="17"/>
        <v>2.2222222222222223E-4</v>
      </c>
      <c r="M181" s="26">
        <f t="shared" si="18"/>
        <v>3.9016320000000002</v>
      </c>
    </row>
    <row r="182" spans="1:14" x14ac:dyDescent="0.25">
      <c r="A182" s="16" t="str">
        <f t="shared" si="20"/>
        <v>March</v>
      </c>
      <c r="B182" s="31">
        <v>43895</v>
      </c>
      <c r="C182" s="32" t="s">
        <v>25</v>
      </c>
      <c r="D182" s="9" t="str">
        <f t="shared" si="16"/>
        <v>43895 - 1S</v>
      </c>
      <c r="E182" s="32" t="s">
        <v>13</v>
      </c>
      <c r="F182" s="2">
        <v>8000055</v>
      </c>
      <c r="G182" s="4" t="str">
        <f>IFERROR(VLOOKUP(F182,Lists!$C:$D,2,0), "N/A")</f>
        <v>916.BF FLIPZ 25 LB BULK MILK CHOC</v>
      </c>
      <c r="H182" s="26">
        <f>IFERROR(VLOOKUP(F182,Lists!$C:$F,4,0),0)</f>
        <v>1.9508160000000001</v>
      </c>
      <c r="I182" s="7">
        <f t="shared" si="19"/>
        <v>1011</v>
      </c>
      <c r="J182" s="6">
        <v>1000</v>
      </c>
      <c r="K182" s="33">
        <v>11</v>
      </c>
      <c r="L182" s="5">
        <f t="shared" si="17"/>
        <v>1.0999999999999999E-2</v>
      </c>
      <c r="M182" s="26">
        <f t="shared" si="18"/>
        <v>21.458976</v>
      </c>
    </row>
    <row r="183" spans="1:14" x14ac:dyDescent="0.25">
      <c r="A183" s="16" t="s">
        <v>247</v>
      </c>
      <c r="B183" s="31">
        <v>43896</v>
      </c>
      <c r="C183" s="32" t="s">
        <v>25</v>
      </c>
      <c r="D183" s="9" t="str">
        <f t="shared" si="16"/>
        <v>43896 - 1S</v>
      </c>
      <c r="E183" s="32" t="s">
        <v>9</v>
      </c>
      <c r="F183" s="2">
        <v>8000038</v>
      </c>
      <c r="G183" s="4" t="str">
        <f>IFERROR(VLOOKUP(F183,Lists!$C:$D,2,0), "N/A")</f>
        <v>TURTLES MILK CHOC PEC BITE SZ</v>
      </c>
      <c r="H183" s="26">
        <f>IFERROR(VLOOKUP(F183,Lists!$C:$F,4,0),0)</f>
        <v>1.96</v>
      </c>
      <c r="I183" s="7">
        <f t="shared" si="19"/>
        <v>3638</v>
      </c>
      <c r="J183" s="45">
        <v>3407</v>
      </c>
      <c r="K183" s="33">
        <v>231</v>
      </c>
      <c r="L183" s="5">
        <f t="shared" si="17"/>
        <v>6.7801584972116233E-2</v>
      </c>
      <c r="M183" s="26">
        <f t="shared" si="18"/>
        <v>452.76</v>
      </c>
    </row>
    <row r="184" spans="1:14" x14ac:dyDescent="0.25">
      <c r="A184" s="16" t="s">
        <v>247</v>
      </c>
      <c r="B184" s="31">
        <v>43896</v>
      </c>
      <c r="C184" s="32" t="s">
        <v>25</v>
      </c>
      <c r="D184" s="9" t="str">
        <f t="shared" si="16"/>
        <v>43896 - 1S</v>
      </c>
      <c r="E184" s="32" t="s">
        <v>11</v>
      </c>
      <c r="F184" s="2">
        <v>8000034</v>
      </c>
      <c r="G184" s="4" t="str">
        <f>IFERROR(VLOOKUP(F184,Lists!$C:$D,2,0), "N/A")</f>
        <v>KS MILK CHOC MACADAMIA</v>
      </c>
      <c r="H184" s="26">
        <f>IFERROR(VLOOKUP(F184,Lists!$C:$F,4,0),0)</f>
        <v>3.8943099999999999</v>
      </c>
      <c r="I184" s="7">
        <f t="shared" si="19"/>
        <v>6518</v>
      </c>
      <c r="J184" s="45">
        <v>6400</v>
      </c>
      <c r="K184" s="33">
        <v>118</v>
      </c>
      <c r="L184" s="5">
        <f t="shared" si="17"/>
        <v>1.8437499999999999E-2</v>
      </c>
      <c r="M184" s="26">
        <f t="shared" si="18"/>
        <v>459.52857999999998</v>
      </c>
    </row>
    <row r="185" spans="1:14" x14ac:dyDescent="0.25">
      <c r="A185" s="16" t="str">
        <f t="shared" ref="A185:A216" si="21">TEXT(B185,"mmmm")</f>
        <v>January</v>
      </c>
      <c r="B185" s="31">
        <v>43832</v>
      </c>
      <c r="C185" s="32" t="s">
        <v>26</v>
      </c>
      <c r="D185" s="9" t="str">
        <f t="shared" si="16"/>
        <v>43832 - 2S</v>
      </c>
      <c r="E185" s="32" t="s">
        <v>9</v>
      </c>
      <c r="F185" s="2">
        <v>8000038</v>
      </c>
      <c r="G185" s="4" t="str">
        <f>IFERROR(VLOOKUP(F185,Lists!$C:$D,2,0), "N/A")</f>
        <v>TURTLES MILK CHOC PEC BITE SZ</v>
      </c>
      <c r="H185" s="26">
        <f>IFERROR(VLOOKUP(F185,Lists!$C:$E,3,0),0)</f>
        <v>1.9453399999999998</v>
      </c>
      <c r="I185" s="7">
        <f t="shared" ref="I185:I216" si="22">J185</f>
        <v>4542.72</v>
      </c>
      <c r="J185" s="6">
        <v>4542.72</v>
      </c>
      <c r="K185" s="33">
        <v>452</v>
      </c>
      <c r="L185" s="5">
        <f t="shared" si="17"/>
        <v>9.9499859115243727E-2</v>
      </c>
      <c r="M185" s="26">
        <f t="shared" si="18"/>
        <v>879.29367999999988</v>
      </c>
      <c r="N185" s="53" t="s">
        <v>44</v>
      </c>
    </row>
    <row r="186" spans="1:14" x14ac:dyDescent="0.25">
      <c r="A186" s="16" t="str">
        <f t="shared" si="21"/>
        <v>January</v>
      </c>
      <c r="B186" s="31">
        <v>43833</v>
      </c>
      <c r="C186" s="32" t="s">
        <v>26</v>
      </c>
      <c r="D186" s="9" t="str">
        <f t="shared" si="16"/>
        <v>43833 - 2S</v>
      </c>
      <c r="E186" s="32" t="s">
        <v>9</v>
      </c>
      <c r="F186" s="2">
        <v>8000038</v>
      </c>
      <c r="G186" s="4" t="str">
        <f>IFERROR(VLOOKUP(F186,Lists!$C:$D,2,0), "N/A")</f>
        <v>TURTLES MILK CHOC PEC BITE SZ</v>
      </c>
      <c r="H186" s="26">
        <f>IFERROR(VLOOKUP(F186,Lists!$C:$E,3,0),0)</f>
        <v>1.9453399999999998</v>
      </c>
      <c r="I186" s="7">
        <f t="shared" si="22"/>
        <v>4943.25</v>
      </c>
      <c r="J186" s="6">
        <v>4943.25</v>
      </c>
      <c r="K186" s="33">
        <v>329</v>
      </c>
      <c r="L186" s="5">
        <f t="shared" si="17"/>
        <v>6.6555403833510343E-2</v>
      </c>
      <c r="M186" s="26">
        <f t="shared" si="18"/>
        <v>640.01685999999995</v>
      </c>
      <c r="N186" s="53" t="s">
        <v>30</v>
      </c>
    </row>
    <row r="187" spans="1:14" x14ac:dyDescent="0.25">
      <c r="A187" s="16" t="str">
        <f t="shared" si="21"/>
        <v>January</v>
      </c>
      <c r="B187" s="31">
        <v>43836</v>
      </c>
      <c r="C187" s="32" t="s">
        <v>26</v>
      </c>
      <c r="D187" s="9" t="str">
        <f t="shared" si="16"/>
        <v>43836 - 2S</v>
      </c>
      <c r="E187" s="32" t="s">
        <v>9</v>
      </c>
      <c r="F187" s="2">
        <v>8000035</v>
      </c>
      <c r="G187" s="4" t="str">
        <f>IFERROR(VLOOKUP(F187,Lists!$C:$D,2,0), "N/A")</f>
        <v>TURTLES MILK CHOC ORIGINAL</v>
      </c>
      <c r="H187" s="26">
        <f>IFERROR(VLOOKUP(F187,Lists!$C:$E,3,0),0)</f>
        <v>1.89697</v>
      </c>
      <c r="I187" s="7">
        <f t="shared" si="22"/>
        <v>10502.4</v>
      </c>
      <c r="J187" s="6">
        <v>10502.4</v>
      </c>
      <c r="K187" s="33">
        <v>305</v>
      </c>
      <c r="L187" s="5">
        <f t="shared" si="17"/>
        <v>2.9040981109079829E-2</v>
      </c>
      <c r="M187" s="26">
        <f t="shared" si="18"/>
        <v>578.57585000000006</v>
      </c>
    </row>
    <row r="188" spans="1:14" x14ac:dyDescent="0.25">
      <c r="A188" s="16" t="str">
        <f t="shared" si="21"/>
        <v>January</v>
      </c>
      <c r="B188" s="31">
        <v>43837</v>
      </c>
      <c r="C188" s="32" t="s">
        <v>26</v>
      </c>
      <c r="D188" s="9" t="str">
        <f t="shared" si="16"/>
        <v>43837 - 2S</v>
      </c>
      <c r="E188" s="32" t="s">
        <v>9</v>
      </c>
      <c r="F188" s="2">
        <v>8000035</v>
      </c>
      <c r="G188" s="4" t="str">
        <f>IFERROR(VLOOKUP(F188,Lists!$C:$D,2,0), "N/A")</f>
        <v>TURTLES MILK CHOC ORIGINAL</v>
      </c>
      <c r="H188" s="26">
        <f>IFERROR(VLOOKUP(F188,Lists!$C:$E,3,0),0)</f>
        <v>1.89697</v>
      </c>
      <c r="I188" s="7">
        <f t="shared" si="22"/>
        <v>9702.4</v>
      </c>
      <c r="J188" s="6">
        <v>9702.4</v>
      </c>
      <c r="K188" s="33">
        <v>331</v>
      </c>
      <c r="L188" s="5">
        <f t="shared" si="17"/>
        <v>3.4115270448548812E-2</v>
      </c>
      <c r="M188" s="26">
        <f t="shared" si="18"/>
        <v>627.89706999999999</v>
      </c>
    </row>
    <row r="189" spans="1:14" x14ac:dyDescent="0.25">
      <c r="A189" s="16" t="str">
        <f t="shared" si="21"/>
        <v>January</v>
      </c>
      <c r="B189" s="31">
        <v>43838</v>
      </c>
      <c r="C189" s="32" t="s">
        <v>26</v>
      </c>
      <c r="D189" s="9" t="str">
        <f t="shared" si="16"/>
        <v>43838 - 2S</v>
      </c>
      <c r="E189" s="32" t="s">
        <v>9</v>
      </c>
      <c r="F189" s="2">
        <v>8000035</v>
      </c>
      <c r="G189" s="4" t="str">
        <f>IFERROR(VLOOKUP(F189,Lists!$C:$D,2,0), "N/A")</f>
        <v>TURTLES MILK CHOC ORIGINAL</v>
      </c>
      <c r="H189" s="26">
        <f>IFERROR(VLOOKUP(F189,Lists!$C:$E,3,0),0)</f>
        <v>1.89697</v>
      </c>
      <c r="I189" s="7">
        <f t="shared" si="22"/>
        <v>7564</v>
      </c>
      <c r="J189" s="6">
        <v>7564</v>
      </c>
      <c r="K189" s="33">
        <v>651</v>
      </c>
      <c r="L189" s="5">
        <f t="shared" si="17"/>
        <v>8.6065573770491802E-2</v>
      </c>
      <c r="M189" s="26">
        <f t="shared" si="18"/>
        <v>1234.9274700000001</v>
      </c>
      <c r="N189" s="53" t="s">
        <v>31</v>
      </c>
    </row>
    <row r="190" spans="1:14" x14ac:dyDescent="0.25">
      <c r="A190" s="16" t="str">
        <f t="shared" si="21"/>
        <v>January</v>
      </c>
      <c r="B190" s="31">
        <v>43839</v>
      </c>
      <c r="C190" s="32" t="s">
        <v>26</v>
      </c>
      <c r="D190" s="9" t="str">
        <f t="shared" si="16"/>
        <v>43839 - 2S</v>
      </c>
      <c r="E190" s="32" t="s">
        <v>9</v>
      </c>
      <c r="F190" s="2">
        <v>8000035</v>
      </c>
      <c r="G190" s="4" t="str">
        <f>IFERROR(VLOOKUP(F190,Lists!$C:$D,2,0), "N/A")</f>
        <v>TURTLES MILK CHOC ORIGINAL</v>
      </c>
      <c r="H190" s="26">
        <f>IFERROR(VLOOKUP(F190,Lists!$C:$E,3,0),0)</f>
        <v>1.89697</v>
      </c>
      <c r="I190" s="7">
        <f t="shared" si="22"/>
        <v>7564</v>
      </c>
      <c r="J190" s="6">
        <v>7564</v>
      </c>
      <c r="K190" s="33">
        <v>299</v>
      </c>
      <c r="L190" s="5">
        <f t="shared" si="17"/>
        <v>3.9529349550502378E-2</v>
      </c>
      <c r="M190" s="26">
        <f t="shared" si="18"/>
        <v>567.19403</v>
      </c>
    </row>
    <row r="191" spans="1:14" x14ac:dyDescent="0.25">
      <c r="A191" s="16" t="str">
        <f t="shared" si="21"/>
        <v>January</v>
      </c>
      <c r="B191" s="31">
        <v>43840</v>
      </c>
      <c r="C191" s="32" t="s">
        <v>26</v>
      </c>
      <c r="D191" s="9" t="str">
        <f t="shared" si="16"/>
        <v>43840 - 2S</v>
      </c>
      <c r="E191" s="32" t="s">
        <v>9</v>
      </c>
      <c r="F191" s="2">
        <v>8000035</v>
      </c>
      <c r="G191" s="4" t="str">
        <f>IFERROR(VLOOKUP(F191,Lists!$C:$D,2,0), "N/A")</f>
        <v>TURTLES MILK CHOC ORIGINAL</v>
      </c>
      <c r="H191" s="26">
        <f>IFERROR(VLOOKUP(F191,Lists!$C:$E,3,0),0)</f>
        <v>1.89697</v>
      </c>
      <c r="I191" s="7">
        <f t="shared" si="22"/>
        <v>0</v>
      </c>
      <c r="J191" s="6">
        <v>0</v>
      </c>
      <c r="K191" s="33">
        <v>148</v>
      </c>
      <c r="L191" s="5">
        <f t="shared" si="17"/>
        <v>1</v>
      </c>
      <c r="M191" s="26">
        <f t="shared" si="18"/>
        <v>280.75155999999998</v>
      </c>
    </row>
    <row r="192" spans="1:14" x14ac:dyDescent="0.25">
      <c r="A192" s="16" t="str">
        <f t="shared" si="21"/>
        <v>January</v>
      </c>
      <c r="B192" s="31">
        <v>43843</v>
      </c>
      <c r="C192" s="32" t="s">
        <v>26</v>
      </c>
      <c r="D192" s="9" t="str">
        <f t="shared" si="16"/>
        <v>43843 - 2S</v>
      </c>
      <c r="E192" s="32" t="s">
        <v>9</v>
      </c>
      <c r="F192" s="2">
        <v>8000035</v>
      </c>
      <c r="G192" s="4" t="str">
        <f>IFERROR(VLOOKUP(F192,Lists!$C:$D,2,0), "N/A")</f>
        <v>TURTLES MILK CHOC ORIGINAL</v>
      </c>
      <c r="H192" s="26">
        <f>IFERROR(VLOOKUP(F192,Lists!$C:$E,3,0),0)</f>
        <v>1.89697</v>
      </c>
      <c r="I192" s="7">
        <f t="shared" si="22"/>
        <v>7840.8</v>
      </c>
      <c r="J192" s="6">
        <v>7840.8</v>
      </c>
      <c r="K192" s="33">
        <v>505</v>
      </c>
      <c r="L192" s="5">
        <f t="shared" si="17"/>
        <v>6.4406693194571984E-2</v>
      </c>
      <c r="M192" s="26">
        <f t="shared" si="18"/>
        <v>957.96985000000006</v>
      </c>
    </row>
    <row r="193" spans="1:14" x14ac:dyDescent="0.25">
      <c r="A193" s="16" t="str">
        <f t="shared" si="21"/>
        <v>January</v>
      </c>
      <c r="B193" s="31">
        <v>43844</v>
      </c>
      <c r="C193" s="32" t="s">
        <v>26</v>
      </c>
      <c r="D193" s="9" t="str">
        <f t="shared" si="16"/>
        <v>43844 - 2S</v>
      </c>
      <c r="E193" s="32" t="s">
        <v>9</v>
      </c>
      <c r="F193" s="2">
        <v>8000035</v>
      </c>
      <c r="G193" s="4" t="str">
        <f>IFERROR(VLOOKUP(F193,Lists!$C:$D,2,0), "N/A")</f>
        <v>TURTLES MILK CHOC ORIGINAL</v>
      </c>
      <c r="H193" s="26">
        <f>IFERROR(VLOOKUP(F193,Lists!$C:$E,3,0),0)</f>
        <v>1.89697</v>
      </c>
      <c r="I193" s="7">
        <f t="shared" si="22"/>
        <v>4989.6000000000004</v>
      </c>
      <c r="J193" s="6">
        <v>4989.6000000000004</v>
      </c>
      <c r="K193" s="33">
        <v>525</v>
      </c>
      <c r="L193" s="5">
        <f t="shared" si="17"/>
        <v>0.10521885521885521</v>
      </c>
      <c r="M193" s="26">
        <f t="shared" si="18"/>
        <v>995.90925000000004</v>
      </c>
      <c r="N193" s="53" t="s">
        <v>33</v>
      </c>
    </row>
    <row r="194" spans="1:14" x14ac:dyDescent="0.25">
      <c r="A194" s="16" t="str">
        <f t="shared" si="21"/>
        <v>January</v>
      </c>
      <c r="B194" s="31">
        <v>43845</v>
      </c>
      <c r="C194" s="32" t="s">
        <v>26</v>
      </c>
      <c r="D194" s="9" t="str">
        <f t="shared" ref="D194:D257" si="23">CONCATENATE(B194," - ",C194)</f>
        <v>43845 - 2S</v>
      </c>
      <c r="E194" s="32" t="s">
        <v>9</v>
      </c>
      <c r="F194" s="2">
        <v>8000035</v>
      </c>
      <c r="G194" s="4" t="str">
        <f>IFERROR(VLOOKUP(F194,Lists!$C:$D,2,0), "N/A")</f>
        <v>TURTLES MILK CHOC ORIGINAL</v>
      </c>
      <c r="H194" s="26">
        <f>IFERROR(VLOOKUP(F194,Lists!$C:$E,3,0),0)</f>
        <v>1.89697</v>
      </c>
      <c r="I194" s="7">
        <f t="shared" si="22"/>
        <v>6415.2</v>
      </c>
      <c r="J194" s="6">
        <v>6415.2</v>
      </c>
      <c r="K194" s="33">
        <v>380</v>
      </c>
      <c r="L194" s="5">
        <f t="shared" ref="L194:L257" si="24">IFERROR((K194/J194),1)</f>
        <v>5.9234318493577756E-2</v>
      </c>
      <c r="M194" s="26">
        <f t="shared" ref="M194:M257" si="25">K194*H194</f>
        <v>720.84860000000003</v>
      </c>
    </row>
    <row r="195" spans="1:14" x14ac:dyDescent="0.25">
      <c r="A195" s="16" t="str">
        <f t="shared" si="21"/>
        <v>January</v>
      </c>
      <c r="B195" s="31">
        <v>43846</v>
      </c>
      <c r="C195" s="32" t="s">
        <v>26</v>
      </c>
      <c r="D195" s="9" t="str">
        <f t="shared" si="23"/>
        <v>43846 - 2S</v>
      </c>
      <c r="E195" s="32" t="s">
        <v>9</v>
      </c>
      <c r="F195" s="2">
        <v>8000035</v>
      </c>
      <c r="G195" s="4" t="str">
        <f>IFERROR(VLOOKUP(F195,Lists!$C:$D,2,0), "N/A")</f>
        <v>TURTLES MILK CHOC ORIGINAL</v>
      </c>
      <c r="H195" s="26">
        <f>IFERROR(VLOOKUP(F195,Lists!$C:$E,3,0),0)</f>
        <v>1.89697</v>
      </c>
      <c r="I195" s="7">
        <f t="shared" si="22"/>
        <v>5702.4</v>
      </c>
      <c r="J195" s="6">
        <v>5702.4</v>
      </c>
      <c r="K195" s="33">
        <v>396</v>
      </c>
      <c r="L195" s="5">
        <f t="shared" si="24"/>
        <v>6.9444444444444448E-2</v>
      </c>
      <c r="M195" s="26">
        <f t="shared" si="25"/>
        <v>751.20011999999997</v>
      </c>
    </row>
    <row r="196" spans="1:14" x14ac:dyDescent="0.25">
      <c r="A196" s="16" t="str">
        <f t="shared" si="21"/>
        <v>January</v>
      </c>
      <c r="B196" s="31">
        <v>43851</v>
      </c>
      <c r="C196" s="32" t="s">
        <v>26</v>
      </c>
      <c r="D196" s="9" t="str">
        <f t="shared" si="23"/>
        <v>43851 - 2S</v>
      </c>
      <c r="E196" s="32" t="s">
        <v>9</v>
      </c>
      <c r="F196" s="2">
        <v>8000038</v>
      </c>
      <c r="G196" s="4" t="str">
        <f>IFERROR(VLOOKUP(F196,Lists!$C:$D,2,0), "N/A")</f>
        <v>TURTLES MILK CHOC PEC BITE SZ</v>
      </c>
      <c r="H196" s="26">
        <f>IFERROR(VLOOKUP(F196,Lists!$C:$E,3,0),0)</f>
        <v>1.9453399999999998</v>
      </c>
      <c r="I196" s="7">
        <f t="shared" si="22"/>
        <v>567.84</v>
      </c>
      <c r="J196" s="6">
        <v>567.84</v>
      </c>
      <c r="K196" s="33">
        <v>270</v>
      </c>
      <c r="L196" s="5">
        <f t="shared" si="24"/>
        <v>0.47548605240912928</v>
      </c>
      <c r="M196" s="26">
        <f t="shared" si="25"/>
        <v>525.24180000000001</v>
      </c>
      <c r="N196" s="53" t="s">
        <v>38</v>
      </c>
    </row>
    <row r="197" spans="1:14" x14ac:dyDescent="0.25">
      <c r="A197" s="16" t="str">
        <f t="shared" si="21"/>
        <v>January</v>
      </c>
      <c r="B197" s="31">
        <v>43852</v>
      </c>
      <c r="C197" s="32" t="s">
        <v>26</v>
      </c>
      <c r="D197" s="9" t="str">
        <f t="shared" si="23"/>
        <v>43852 - 2S</v>
      </c>
      <c r="E197" s="32" t="s">
        <v>9</v>
      </c>
      <c r="F197" s="2">
        <v>8000038</v>
      </c>
      <c r="G197" s="4" t="str">
        <f>IFERROR(VLOOKUP(F197,Lists!$C:$D,2,0), "N/A")</f>
        <v>TURTLES MILK CHOC PEC BITE SZ</v>
      </c>
      <c r="H197" s="26">
        <f>IFERROR(VLOOKUP(F197,Lists!$C:$E,3,0),0)</f>
        <v>1.9453399999999998</v>
      </c>
      <c r="I197" s="7">
        <f t="shared" si="22"/>
        <v>3974.88</v>
      </c>
      <c r="J197" s="6">
        <v>3974.88</v>
      </c>
      <c r="K197" s="33">
        <v>205</v>
      </c>
      <c r="L197" s="5">
        <f t="shared" si="24"/>
        <v>5.157388399146641E-2</v>
      </c>
      <c r="M197" s="26">
        <f t="shared" si="25"/>
        <v>398.79469999999998</v>
      </c>
    </row>
    <row r="198" spans="1:14" x14ac:dyDescent="0.25">
      <c r="A198" s="16" t="str">
        <f t="shared" si="21"/>
        <v>January</v>
      </c>
      <c r="B198" s="31">
        <v>43853</v>
      </c>
      <c r="C198" s="32" t="s">
        <v>26</v>
      </c>
      <c r="D198" s="9" t="str">
        <f t="shared" si="23"/>
        <v>43853 - 2S</v>
      </c>
      <c r="E198" s="32" t="s">
        <v>9</v>
      </c>
      <c r="F198" s="2">
        <v>8000038</v>
      </c>
      <c r="G198" s="4" t="str">
        <f>IFERROR(VLOOKUP(F198,Lists!$C:$D,2,0), "N/A")</f>
        <v>TURTLES MILK CHOC PEC BITE SZ</v>
      </c>
      <c r="H198" s="26">
        <f>IFERROR(VLOOKUP(F198,Lists!$C:$E,3,0),0)</f>
        <v>1.9453399999999998</v>
      </c>
      <c r="I198" s="7">
        <f t="shared" si="22"/>
        <v>3407.04</v>
      </c>
      <c r="J198" s="6">
        <v>3407.04</v>
      </c>
      <c r="K198" s="33">
        <v>562</v>
      </c>
      <c r="L198" s="5">
        <f t="shared" si="24"/>
        <v>0.16495256879872264</v>
      </c>
      <c r="M198" s="26">
        <f t="shared" si="25"/>
        <v>1093.28108</v>
      </c>
    </row>
    <row r="199" spans="1:14" x14ac:dyDescent="0.25">
      <c r="A199" s="16" t="str">
        <f t="shared" si="21"/>
        <v>January</v>
      </c>
      <c r="B199" s="31">
        <v>43857</v>
      </c>
      <c r="C199" s="32" t="s">
        <v>26</v>
      </c>
      <c r="D199" s="9" t="str">
        <f t="shared" si="23"/>
        <v>43857 - 2S</v>
      </c>
      <c r="E199" s="32" t="s">
        <v>9</v>
      </c>
      <c r="F199" s="2">
        <v>8000038</v>
      </c>
      <c r="G199" s="4" t="str">
        <f>IFERROR(VLOOKUP(F199,Lists!$C:$D,2,0), "N/A")</f>
        <v>TURTLES MILK CHOC PEC BITE SZ</v>
      </c>
      <c r="H199" s="26">
        <f>IFERROR(VLOOKUP(F199,Lists!$C:$E,3,0),0)</f>
        <v>1.9453399999999998</v>
      </c>
      <c r="I199" s="7">
        <f t="shared" si="22"/>
        <v>3420</v>
      </c>
      <c r="J199" s="6">
        <v>3420</v>
      </c>
      <c r="K199" s="33">
        <v>531</v>
      </c>
      <c r="L199" s="5">
        <f t="shared" si="24"/>
        <v>0.15526315789473685</v>
      </c>
      <c r="M199" s="26">
        <f t="shared" si="25"/>
        <v>1032.9755399999999</v>
      </c>
    </row>
    <row r="200" spans="1:14" ht="64.5" x14ac:dyDescent="0.25">
      <c r="A200" s="16" t="str">
        <f t="shared" si="21"/>
        <v>January</v>
      </c>
      <c r="B200" s="31">
        <v>43858</v>
      </c>
      <c r="C200" s="32" t="s">
        <v>26</v>
      </c>
      <c r="D200" s="9" t="str">
        <f t="shared" si="23"/>
        <v>43858 - 2S</v>
      </c>
      <c r="E200" s="32" t="s">
        <v>9</v>
      </c>
      <c r="F200" s="2">
        <v>8000038</v>
      </c>
      <c r="G200" s="4" t="str">
        <f>IFERROR(VLOOKUP(F200,Lists!$C:$D,2,0), "N/A")</f>
        <v>TURTLES MILK CHOC PEC BITE SZ</v>
      </c>
      <c r="H200" s="26">
        <f>IFERROR(VLOOKUP(F200,Lists!$C:$E,3,0),0)</f>
        <v>1.9453399999999998</v>
      </c>
      <c r="I200" s="7">
        <f t="shared" si="22"/>
        <v>7200</v>
      </c>
      <c r="J200" s="6">
        <v>7200</v>
      </c>
      <c r="K200" s="33">
        <v>433</v>
      </c>
      <c r="L200" s="5">
        <f t="shared" si="24"/>
        <v>6.0138888888888888E-2</v>
      </c>
      <c r="M200" s="26">
        <f t="shared" si="25"/>
        <v>842.33221999999989</v>
      </c>
      <c r="N200" s="53" t="s">
        <v>42</v>
      </c>
    </row>
    <row r="201" spans="1:14" ht="51.75" x14ac:dyDescent="0.25">
      <c r="A201" s="16" t="str">
        <f t="shared" si="21"/>
        <v>January</v>
      </c>
      <c r="B201" s="31">
        <v>43859</v>
      </c>
      <c r="C201" s="32" t="s">
        <v>26</v>
      </c>
      <c r="D201" s="9" t="str">
        <f t="shared" si="23"/>
        <v>43859 - 2S</v>
      </c>
      <c r="E201" s="32" t="s">
        <v>9</v>
      </c>
      <c r="F201" s="2">
        <v>8000038</v>
      </c>
      <c r="G201" s="4" t="str">
        <f>IFERROR(VLOOKUP(F201,Lists!$C:$D,2,0), "N/A")</f>
        <v>TURTLES MILK CHOC PEC BITE SZ</v>
      </c>
      <c r="H201" s="26">
        <f>IFERROR(VLOOKUP(F201,Lists!$C:$E,3,0),0)</f>
        <v>1.9453399999999998</v>
      </c>
      <c r="I201" s="7">
        <f t="shared" si="22"/>
        <v>5760</v>
      </c>
      <c r="J201" s="6">
        <v>5760</v>
      </c>
      <c r="K201" s="33">
        <v>466</v>
      </c>
      <c r="L201" s="5">
        <f t="shared" si="24"/>
        <v>8.0902777777777782E-2</v>
      </c>
      <c r="M201" s="26">
        <f t="shared" si="25"/>
        <v>906.52843999999993</v>
      </c>
      <c r="N201" s="53" t="s">
        <v>43</v>
      </c>
    </row>
    <row r="202" spans="1:14" x14ac:dyDescent="0.25">
      <c r="A202" s="16" t="str">
        <f t="shared" si="21"/>
        <v>January</v>
      </c>
      <c r="B202" s="31">
        <v>43860</v>
      </c>
      <c r="C202" s="32" t="s">
        <v>26</v>
      </c>
      <c r="D202" s="9" t="str">
        <f t="shared" si="23"/>
        <v>43860 - 2S</v>
      </c>
      <c r="E202" s="32" t="s">
        <v>9</v>
      </c>
      <c r="F202" s="2">
        <v>8000038</v>
      </c>
      <c r="G202" s="4" t="str">
        <f>IFERROR(VLOOKUP(F202,Lists!$C:$D,2,0), "N/A")</f>
        <v>TURTLES MILK CHOC PEC BITE SZ</v>
      </c>
      <c r="H202" s="26">
        <f>IFERROR(VLOOKUP(F202,Lists!$C:$E,3,0),0)</f>
        <v>1.9453399999999998</v>
      </c>
      <c r="I202" s="7">
        <f t="shared" si="22"/>
        <v>7200</v>
      </c>
      <c r="J202" s="6">
        <v>7200</v>
      </c>
      <c r="K202" s="33">
        <v>350</v>
      </c>
      <c r="L202" s="5">
        <f t="shared" si="24"/>
        <v>4.8611111111111112E-2</v>
      </c>
      <c r="M202" s="26">
        <f t="shared" si="25"/>
        <v>680.86899999999991</v>
      </c>
    </row>
    <row r="203" spans="1:14" x14ac:dyDescent="0.25">
      <c r="A203" s="16" t="str">
        <f t="shared" si="21"/>
        <v>January</v>
      </c>
      <c r="B203" s="31">
        <v>43845</v>
      </c>
      <c r="C203" s="32" t="s">
        <v>26</v>
      </c>
      <c r="D203" s="9" t="str">
        <f t="shared" si="23"/>
        <v>43845 - 2S</v>
      </c>
      <c r="E203" s="32" t="s">
        <v>10</v>
      </c>
      <c r="F203" s="2">
        <v>8000039</v>
      </c>
      <c r="G203" s="4" t="str">
        <f>IFERROR(VLOOKUP(F203,Lists!$C:$D,2,0), "N/A")</f>
        <v>TURTLES MILK CHOC ORIG MINI</v>
      </c>
      <c r="H203" s="26">
        <f>IFERROR(VLOOKUP(F203,Lists!$C:$E,3,0),0)</f>
        <v>2.0602900000000002</v>
      </c>
      <c r="I203" s="7">
        <f t="shared" si="22"/>
        <v>7200</v>
      </c>
      <c r="J203" s="6">
        <v>7200</v>
      </c>
      <c r="K203" s="33">
        <v>169</v>
      </c>
      <c r="L203" s="5">
        <f t="shared" si="24"/>
        <v>2.3472222222222221E-2</v>
      </c>
      <c r="M203" s="26">
        <f t="shared" si="25"/>
        <v>348.18901000000005</v>
      </c>
    </row>
    <row r="204" spans="1:14" x14ac:dyDescent="0.25">
      <c r="A204" s="16" t="str">
        <f t="shared" si="21"/>
        <v>January</v>
      </c>
      <c r="B204" s="31">
        <v>43846</v>
      </c>
      <c r="C204" s="32" t="s">
        <v>26</v>
      </c>
      <c r="D204" s="9" t="str">
        <f t="shared" si="23"/>
        <v>43846 - 2S</v>
      </c>
      <c r="E204" s="32" t="s">
        <v>10</v>
      </c>
      <c r="F204" s="2">
        <v>8000039</v>
      </c>
      <c r="G204" s="4" t="str">
        <f>IFERROR(VLOOKUP(F204,Lists!$C:$D,2,0), "N/A")</f>
        <v>TURTLES MILK CHOC ORIG MINI</v>
      </c>
      <c r="H204" s="26">
        <f>IFERROR(VLOOKUP(F204,Lists!$C:$E,3,0),0)</f>
        <v>2.0602900000000002</v>
      </c>
      <c r="I204" s="7">
        <f t="shared" si="22"/>
        <v>9600</v>
      </c>
      <c r="J204" s="6">
        <v>9600</v>
      </c>
      <c r="K204" s="33">
        <v>267</v>
      </c>
      <c r="L204" s="5">
        <f t="shared" si="24"/>
        <v>2.78125E-2</v>
      </c>
      <c r="M204" s="26">
        <f t="shared" si="25"/>
        <v>550.09743000000003</v>
      </c>
    </row>
    <row r="205" spans="1:14" x14ac:dyDescent="0.25">
      <c r="A205" s="16" t="str">
        <f t="shared" si="21"/>
        <v>January</v>
      </c>
      <c r="B205" s="31">
        <v>43847</v>
      </c>
      <c r="C205" s="32" t="s">
        <v>26</v>
      </c>
      <c r="D205" s="9" t="str">
        <f t="shared" si="23"/>
        <v>43847 - 2S</v>
      </c>
      <c r="E205" s="32" t="s">
        <v>10</v>
      </c>
      <c r="F205" s="2">
        <v>8000039</v>
      </c>
      <c r="G205" s="4" t="str">
        <f>IFERROR(VLOOKUP(F205,Lists!$C:$D,2,0), "N/A")</f>
        <v>TURTLES MILK CHOC ORIG MINI</v>
      </c>
      <c r="H205" s="26">
        <f>IFERROR(VLOOKUP(F205,Lists!$C:$E,3,0),0)</f>
        <v>2.0602900000000002</v>
      </c>
      <c r="I205" s="7">
        <f t="shared" si="22"/>
        <v>6720</v>
      </c>
      <c r="J205" s="6">
        <v>6720</v>
      </c>
      <c r="K205" s="33">
        <v>282</v>
      </c>
      <c r="L205" s="5">
        <f t="shared" si="24"/>
        <v>4.1964285714285711E-2</v>
      </c>
      <c r="M205" s="26">
        <f t="shared" si="25"/>
        <v>581.00178000000005</v>
      </c>
    </row>
    <row r="206" spans="1:14" x14ac:dyDescent="0.25">
      <c r="A206" s="16" t="str">
        <f t="shared" si="21"/>
        <v>January</v>
      </c>
      <c r="B206" s="31">
        <v>43852</v>
      </c>
      <c r="C206" s="32" t="s">
        <v>26</v>
      </c>
      <c r="D206" s="9" t="str">
        <f t="shared" si="23"/>
        <v>43852 - 2S</v>
      </c>
      <c r="E206" s="32" t="s">
        <v>10</v>
      </c>
      <c r="F206" s="2">
        <v>8000039</v>
      </c>
      <c r="G206" s="4" t="str">
        <f>IFERROR(VLOOKUP(F206,Lists!$C:$D,2,0), "N/A")</f>
        <v>TURTLES MILK CHOC ORIG MINI</v>
      </c>
      <c r="H206" s="26">
        <f>IFERROR(VLOOKUP(F206,Lists!$C:$E,3,0),0)</f>
        <v>2.0602900000000002</v>
      </c>
      <c r="I206" s="7">
        <f t="shared" si="22"/>
        <v>3840</v>
      </c>
      <c r="J206" s="6">
        <v>3840</v>
      </c>
      <c r="K206" s="33">
        <v>75</v>
      </c>
      <c r="L206" s="5">
        <f t="shared" si="24"/>
        <v>1.953125E-2</v>
      </c>
      <c r="M206" s="26">
        <f t="shared" si="25"/>
        <v>154.52175000000003</v>
      </c>
    </row>
    <row r="207" spans="1:14" x14ac:dyDescent="0.25">
      <c r="A207" s="16" t="str">
        <f t="shared" si="21"/>
        <v>January</v>
      </c>
      <c r="B207" s="31">
        <v>43843</v>
      </c>
      <c r="C207" s="32" t="s">
        <v>26</v>
      </c>
      <c r="D207" s="9" t="str">
        <f t="shared" si="23"/>
        <v>43843 - 2S</v>
      </c>
      <c r="E207" s="32" t="s">
        <v>11</v>
      </c>
      <c r="F207" s="2">
        <v>8000034</v>
      </c>
      <c r="G207" s="4" t="str">
        <f>IFERROR(VLOOKUP(F207,Lists!$C:$D,2,0), "N/A")</f>
        <v>KS MILK CHOC MACADAMIA</v>
      </c>
      <c r="H207" s="26">
        <f>IFERROR(VLOOKUP(F207,Lists!$C:$E,3,0),0)</f>
        <v>3.8560100000000004</v>
      </c>
      <c r="I207" s="7">
        <f t="shared" si="22"/>
        <v>1600</v>
      </c>
      <c r="J207" s="6">
        <v>1600</v>
      </c>
      <c r="K207" s="33">
        <v>33</v>
      </c>
      <c r="L207" s="5">
        <f t="shared" si="24"/>
        <v>2.0625000000000001E-2</v>
      </c>
      <c r="M207" s="26">
        <f t="shared" si="25"/>
        <v>127.24833000000001</v>
      </c>
    </row>
    <row r="208" spans="1:14" x14ac:dyDescent="0.25">
      <c r="A208" s="16" t="str">
        <f t="shared" si="21"/>
        <v>January</v>
      </c>
      <c r="B208" s="31">
        <v>43844</v>
      </c>
      <c r="C208" s="32" t="s">
        <v>26</v>
      </c>
      <c r="D208" s="9" t="str">
        <f t="shared" si="23"/>
        <v>43844 - 2S</v>
      </c>
      <c r="E208" s="32" t="s">
        <v>11</v>
      </c>
      <c r="F208" s="2">
        <v>8000034</v>
      </c>
      <c r="G208" s="4" t="str">
        <f>IFERROR(VLOOKUP(F208,Lists!$C:$D,2,0), "N/A")</f>
        <v>KS MILK CHOC MACADAMIA</v>
      </c>
      <c r="H208" s="26">
        <f>IFERROR(VLOOKUP(F208,Lists!$C:$E,3,0),0)</f>
        <v>3.8560100000000004</v>
      </c>
      <c r="I208" s="7">
        <f t="shared" si="22"/>
        <v>4800</v>
      </c>
      <c r="J208" s="6">
        <v>4800</v>
      </c>
      <c r="K208" s="33">
        <v>75</v>
      </c>
      <c r="L208" s="5">
        <f t="shared" si="24"/>
        <v>1.5625E-2</v>
      </c>
      <c r="M208" s="26">
        <f t="shared" si="25"/>
        <v>289.20075000000003</v>
      </c>
    </row>
    <row r="209" spans="1:14" x14ac:dyDescent="0.25">
      <c r="A209" s="16" t="str">
        <f t="shared" si="21"/>
        <v>January</v>
      </c>
      <c r="B209" s="31">
        <v>43845</v>
      </c>
      <c r="C209" s="32" t="s">
        <v>26</v>
      </c>
      <c r="D209" s="9" t="str">
        <f t="shared" si="23"/>
        <v>43845 - 2S</v>
      </c>
      <c r="E209" s="32" t="s">
        <v>11</v>
      </c>
      <c r="F209" s="2">
        <v>8000034</v>
      </c>
      <c r="G209" s="4" t="str">
        <f>IFERROR(VLOOKUP(F209,Lists!$C:$D,2,0), "N/A")</f>
        <v>KS MILK CHOC MACADAMIA</v>
      </c>
      <c r="H209" s="26">
        <f>IFERROR(VLOOKUP(F209,Lists!$C:$E,3,0),0)</f>
        <v>3.8560100000000004</v>
      </c>
      <c r="I209" s="7">
        <f t="shared" si="22"/>
        <v>7200</v>
      </c>
      <c r="J209" s="6">
        <v>7200</v>
      </c>
      <c r="K209" s="33">
        <v>113</v>
      </c>
      <c r="L209" s="5">
        <f t="shared" si="24"/>
        <v>1.5694444444444445E-2</v>
      </c>
      <c r="M209" s="26">
        <f t="shared" si="25"/>
        <v>435.72913000000005</v>
      </c>
    </row>
    <row r="210" spans="1:14" x14ac:dyDescent="0.25">
      <c r="A210" s="16" t="str">
        <f t="shared" si="21"/>
        <v>January</v>
      </c>
      <c r="B210" s="31">
        <v>43846</v>
      </c>
      <c r="C210" s="32" t="s">
        <v>26</v>
      </c>
      <c r="D210" s="9" t="str">
        <f t="shared" si="23"/>
        <v>43846 - 2S</v>
      </c>
      <c r="E210" s="32" t="s">
        <v>11</v>
      </c>
      <c r="F210" s="2">
        <v>8000034</v>
      </c>
      <c r="G210" s="4" t="str">
        <f>IFERROR(VLOOKUP(F210,Lists!$C:$D,2,0), "N/A")</f>
        <v>KS MILK CHOC MACADAMIA</v>
      </c>
      <c r="H210" s="26">
        <f>IFERROR(VLOOKUP(F210,Lists!$C:$E,3,0),0)</f>
        <v>3.8560100000000004</v>
      </c>
      <c r="I210" s="7">
        <f t="shared" si="22"/>
        <v>6400</v>
      </c>
      <c r="J210" s="6">
        <v>6400</v>
      </c>
      <c r="K210" s="33">
        <v>8</v>
      </c>
      <c r="L210" s="5">
        <f t="shared" si="24"/>
        <v>1.25E-3</v>
      </c>
      <c r="M210" s="26">
        <f t="shared" si="25"/>
        <v>30.848080000000003</v>
      </c>
    </row>
    <row r="211" spans="1:14" x14ac:dyDescent="0.25">
      <c r="A211" s="16" t="str">
        <f t="shared" si="21"/>
        <v>January</v>
      </c>
      <c r="B211" s="31">
        <v>43851</v>
      </c>
      <c r="C211" s="32" t="s">
        <v>26</v>
      </c>
      <c r="D211" s="9" t="str">
        <f t="shared" si="23"/>
        <v>43851 - 2S</v>
      </c>
      <c r="E211" s="32" t="s">
        <v>11</v>
      </c>
      <c r="F211" s="2">
        <v>8000034</v>
      </c>
      <c r="G211" s="4" t="str">
        <f>IFERROR(VLOOKUP(F211,Lists!$C:$D,2,0), "N/A")</f>
        <v>KS MILK CHOC MACADAMIA</v>
      </c>
      <c r="H211" s="26">
        <f>IFERROR(VLOOKUP(F211,Lists!$C:$E,3,0),0)</f>
        <v>3.8560100000000004</v>
      </c>
      <c r="I211" s="7">
        <f t="shared" si="22"/>
        <v>3200</v>
      </c>
      <c r="J211" s="6">
        <v>3200</v>
      </c>
      <c r="K211" s="33">
        <v>45</v>
      </c>
      <c r="L211" s="5">
        <f t="shared" si="24"/>
        <v>1.40625E-2</v>
      </c>
      <c r="M211" s="26">
        <f t="shared" si="25"/>
        <v>173.52045000000001</v>
      </c>
    </row>
    <row r="212" spans="1:14" x14ac:dyDescent="0.25">
      <c r="A212" s="16" t="str">
        <f t="shared" si="21"/>
        <v>January</v>
      </c>
      <c r="B212" s="31">
        <v>43852</v>
      </c>
      <c r="C212" s="32" t="s">
        <v>26</v>
      </c>
      <c r="D212" s="9" t="str">
        <f t="shared" si="23"/>
        <v>43852 - 2S</v>
      </c>
      <c r="E212" s="32" t="s">
        <v>11</v>
      </c>
      <c r="F212" s="2">
        <v>8000034</v>
      </c>
      <c r="G212" s="4" t="str">
        <f>IFERROR(VLOOKUP(F212,Lists!$C:$D,2,0), "N/A")</f>
        <v>KS MILK CHOC MACADAMIA</v>
      </c>
      <c r="H212" s="26">
        <f>IFERROR(VLOOKUP(F212,Lists!$C:$E,3,0),0)</f>
        <v>3.8560100000000004</v>
      </c>
      <c r="I212" s="7">
        <f t="shared" si="22"/>
        <v>7200</v>
      </c>
      <c r="J212" s="6">
        <v>7200</v>
      </c>
      <c r="K212" s="33">
        <v>85</v>
      </c>
      <c r="L212" s="5">
        <f t="shared" si="24"/>
        <v>1.1805555555555555E-2</v>
      </c>
      <c r="M212" s="26">
        <f t="shared" si="25"/>
        <v>327.76085</v>
      </c>
    </row>
    <row r="213" spans="1:14" ht="26.25" x14ac:dyDescent="0.25">
      <c r="A213" s="16" t="str">
        <f t="shared" si="21"/>
        <v>January</v>
      </c>
      <c r="B213" s="31">
        <v>43853</v>
      </c>
      <c r="C213" s="32" t="s">
        <v>26</v>
      </c>
      <c r="D213" s="9" t="str">
        <f t="shared" si="23"/>
        <v>43853 - 2S</v>
      </c>
      <c r="E213" s="32" t="s">
        <v>11</v>
      </c>
      <c r="F213" s="2">
        <v>8000034</v>
      </c>
      <c r="G213" s="4" t="str">
        <f>IFERROR(VLOOKUP(F213,Lists!$C:$D,2,0), "N/A")</f>
        <v>KS MILK CHOC MACADAMIA</v>
      </c>
      <c r="H213" s="26">
        <f>IFERROR(VLOOKUP(F213,Lists!$C:$E,3,0),0)</f>
        <v>3.8560100000000004</v>
      </c>
      <c r="I213" s="7">
        <f t="shared" si="22"/>
        <v>4000</v>
      </c>
      <c r="J213" s="6">
        <v>4000</v>
      </c>
      <c r="K213" s="33">
        <v>93</v>
      </c>
      <c r="L213" s="5">
        <f t="shared" si="24"/>
        <v>2.325E-2</v>
      </c>
      <c r="M213" s="26">
        <f t="shared" si="25"/>
        <v>358.60893000000004</v>
      </c>
      <c r="N213" s="54" t="s">
        <v>40</v>
      </c>
    </row>
    <row r="214" spans="1:14" x14ac:dyDescent="0.25">
      <c r="A214" s="16" t="str">
        <f t="shared" si="21"/>
        <v>January</v>
      </c>
      <c r="B214" s="31">
        <v>43854</v>
      </c>
      <c r="C214" s="32" t="s">
        <v>26</v>
      </c>
      <c r="D214" s="9" t="str">
        <f t="shared" si="23"/>
        <v>43854 - 2S</v>
      </c>
      <c r="E214" s="32" t="s">
        <v>11</v>
      </c>
      <c r="F214" s="2">
        <v>8000034</v>
      </c>
      <c r="G214" s="4" t="str">
        <f>IFERROR(VLOOKUP(F214,Lists!$C:$D,2,0), "N/A")</f>
        <v>KS MILK CHOC MACADAMIA</v>
      </c>
      <c r="H214" s="26">
        <f>IFERROR(VLOOKUP(F214,Lists!$C:$E,3,0),0)</f>
        <v>3.8560100000000004</v>
      </c>
      <c r="I214" s="7">
        <f t="shared" si="22"/>
        <v>3200</v>
      </c>
      <c r="J214" s="6">
        <v>3200</v>
      </c>
      <c r="K214" s="33">
        <v>30</v>
      </c>
      <c r="L214" s="5">
        <f t="shared" si="24"/>
        <v>9.3749999999999997E-3</v>
      </c>
      <c r="M214" s="26">
        <f t="shared" si="25"/>
        <v>115.68030000000002</v>
      </c>
    </row>
    <row r="215" spans="1:14" x14ac:dyDescent="0.25">
      <c r="A215" s="16" t="str">
        <f t="shared" si="21"/>
        <v>January</v>
      </c>
      <c r="B215" s="31">
        <v>43858</v>
      </c>
      <c r="C215" s="32" t="s">
        <v>26</v>
      </c>
      <c r="D215" s="9" t="str">
        <f t="shared" si="23"/>
        <v>43858 - 2S</v>
      </c>
      <c r="E215" s="32" t="s">
        <v>11</v>
      </c>
      <c r="F215" s="2">
        <v>8000034</v>
      </c>
      <c r="G215" s="4" t="str">
        <f>IFERROR(VLOOKUP(F215,Lists!$C:$D,2,0), "N/A")</f>
        <v>KS MILK CHOC MACADAMIA</v>
      </c>
      <c r="H215" s="26">
        <f>IFERROR(VLOOKUP(F215,Lists!$C:$E,3,0),0)</f>
        <v>3.8560100000000004</v>
      </c>
      <c r="I215" s="7">
        <f t="shared" si="22"/>
        <v>4000</v>
      </c>
      <c r="J215" s="6">
        <v>4000</v>
      </c>
      <c r="K215" s="33">
        <v>156</v>
      </c>
      <c r="L215" s="5">
        <f t="shared" si="24"/>
        <v>3.9E-2</v>
      </c>
      <c r="M215" s="26">
        <f t="shared" si="25"/>
        <v>601.5375600000001</v>
      </c>
    </row>
    <row r="216" spans="1:14" x14ac:dyDescent="0.25">
      <c r="A216" s="16" t="str">
        <f t="shared" si="21"/>
        <v>January</v>
      </c>
      <c r="B216" s="31">
        <v>43859</v>
      </c>
      <c r="C216" s="32" t="s">
        <v>26</v>
      </c>
      <c r="D216" s="9" t="str">
        <f t="shared" si="23"/>
        <v>43859 - 2S</v>
      </c>
      <c r="E216" s="32" t="s">
        <v>11</v>
      </c>
      <c r="F216" s="2">
        <v>8000034</v>
      </c>
      <c r="G216" s="4" t="str">
        <f>IFERROR(VLOOKUP(F216,Lists!$C:$D,2,0), "N/A")</f>
        <v>KS MILK CHOC MACADAMIA</v>
      </c>
      <c r="H216" s="26">
        <f>IFERROR(VLOOKUP(F216,Lists!$C:$E,3,0),0)</f>
        <v>3.8560100000000004</v>
      </c>
      <c r="I216" s="7">
        <f t="shared" si="22"/>
        <v>7200</v>
      </c>
      <c r="J216" s="6">
        <v>7200</v>
      </c>
      <c r="K216" s="33">
        <v>207</v>
      </c>
      <c r="L216" s="5">
        <f t="shared" si="24"/>
        <v>2.8750000000000001E-2</v>
      </c>
      <c r="M216" s="26">
        <f t="shared" si="25"/>
        <v>798.19407000000012</v>
      </c>
    </row>
    <row r="217" spans="1:14" ht="26.25" x14ac:dyDescent="0.25">
      <c r="A217" s="16" t="str">
        <f t="shared" ref="A217:A248" si="26">TEXT(B217,"mmmm")</f>
        <v>January</v>
      </c>
      <c r="B217" s="31">
        <v>43860</v>
      </c>
      <c r="C217" s="32" t="s">
        <v>26</v>
      </c>
      <c r="D217" s="9" t="str">
        <f t="shared" si="23"/>
        <v>43860 - 2S</v>
      </c>
      <c r="E217" s="32" t="s">
        <v>11</v>
      </c>
      <c r="F217" s="2">
        <v>8000034</v>
      </c>
      <c r="G217" s="4" t="str">
        <f>IFERROR(VLOOKUP(F217,Lists!$C:$D,2,0), "N/A")</f>
        <v>KS MILK CHOC MACADAMIA</v>
      </c>
      <c r="H217" s="26">
        <f>IFERROR(VLOOKUP(F217,Lists!$C:$E,3,0),0)</f>
        <v>3.8560100000000004</v>
      </c>
      <c r="I217" s="7">
        <f t="shared" ref="I217:I248" si="27">J217</f>
        <v>8000</v>
      </c>
      <c r="J217" s="6">
        <v>8000</v>
      </c>
      <c r="K217" s="33">
        <v>163</v>
      </c>
      <c r="L217" s="5">
        <f t="shared" si="24"/>
        <v>2.0375000000000001E-2</v>
      </c>
      <c r="M217" s="26">
        <f t="shared" si="25"/>
        <v>628.52963000000011</v>
      </c>
      <c r="N217" s="53" t="s">
        <v>40</v>
      </c>
    </row>
    <row r="218" spans="1:14" x14ac:dyDescent="0.25">
      <c r="A218" s="16" t="str">
        <f t="shared" si="26"/>
        <v>January</v>
      </c>
      <c r="B218" s="31">
        <v>43861</v>
      </c>
      <c r="C218" s="32" t="s">
        <v>26</v>
      </c>
      <c r="D218" s="9" t="str">
        <f t="shared" si="23"/>
        <v>43861 - 2S</v>
      </c>
      <c r="E218" s="32" t="s">
        <v>11</v>
      </c>
      <c r="F218" s="2">
        <v>8000034</v>
      </c>
      <c r="G218" s="4" t="str">
        <f>IFERROR(VLOOKUP(F218,Lists!$C:$D,2,0), "N/A")</f>
        <v>KS MILK CHOC MACADAMIA</v>
      </c>
      <c r="H218" s="26">
        <f>IFERROR(VLOOKUP(F218,Lists!$C:$E,3,0),0)</f>
        <v>3.8560100000000004</v>
      </c>
      <c r="I218" s="7">
        <f t="shared" si="27"/>
        <v>800</v>
      </c>
      <c r="J218" s="6">
        <v>800</v>
      </c>
      <c r="K218" s="33">
        <v>192</v>
      </c>
      <c r="L218" s="5">
        <f t="shared" si="24"/>
        <v>0.24</v>
      </c>
      <c r="M218" s="26">
        <f t="shared" si="25"/>
        <v>740.35392000000002</v>
      </c>
    </row>
    <row r="219" spans="1:14" x14ac:dyDescent="0.25">
      <c r="A219" s="16" t="str">
        <f t="shared" si="26"/>
        <v>January</v>
      </c>
      <c r="B219" s="31">
        <v>43832</v>
      </c>
      <c r="C219" s="32" t="s">
        <v>26</v>
      </c>
      <c r="D219" s="9" t="str">
        <f t="shared" si="23"/>
        <v>43832 - 2S</v>
      </c>
      <c r="E219" s="32" t="s">
        <v>12</v>
      </c>
      <c r="F219" s="2">
        <v>8000055</v>
      </c>
      <c r="G219" s="4" t="str">
        <f>IFERROR(VLOOKUP(F219,Lists!$C:$D,2,0), "N/A")</f>
        <v>916.BF FLIPZ 25 LB BULK MILK CHOC</v>
      </c>
      <c r="H219" s="26">
        <f>IFERROR(VLOOKUP(F219,Lists!$C:$E,3,0),0)</f>
        <v>1.1520708</v>
      </c>
      <c r="I219" s="7">
        <f t="shared" si="27"/>
        <v>9000</v>
      </c>
      <c r="J219" s="6">
        <v>9000</v>
      </c>
      <c r="K219" s="33">
        <v>156</v>
      </c>
      <c r="L219" s="5">
        <f t="shared" si="24"/>
        <v>1.7333333333333333E-2</v>
      </c>
      <c r="M219" s="26">
        <f t="shared" si="25"/>
        <v>179.7230448</v>
      </c>
    </row>
    <row r="220" spans="1:14" x14ac:dyDescent="0.25">
      <c r="A220" s="16" t="str">
        <f t="shared" si="26"/>
        <v>January</v>
      </c>
      <c r="B220" s="31">
        <v>43833</v>
      </c>
      <c r="C220" s="32" t="s">
        <v>26</v>
      </c>
      <c r="D220" s="9" t="str">
        <f t="shared" si="23"/>
        <v>43833 - 2S</v>
      </c>
      <c r="E220" s="32" t="s">
        <v>12</v>
      </c>
      <c r="F220" s="2">
        <v>8000055</v>
      </c>
      <c r="G220" s="4" t="str">
        <f>IFERROR(VLOOKUP(F220,Lists!$C:$D,2,0), "N/A")</f>
        <v>916.BF FLIPZ 25 LB BULK MILK CHOC</v>
      </c>
      <c r="H220" s="26">
        <f>IFERROR(VLOOKUP(F220,Lists!$C:$E,3,0),0)</f>
        <v>1.1520708</v>
      </c>
      <c r="I220" s="7">
        <f t="shared" si="27"/>
        <v>11000</v>
      </c>
      <c r="J220" s="6">
        <v>11000</v>
      </c>
      <c r="K220" s="33">
        <v>0</v>
      </c>
      <c r="L220" s="5">
        <f t="shared" si="24"/>
        <v>0</v>
      </c>
      <c r="M220" s="26">
        <f t="shared" si="25"/>
        <v>0</v>
      </c>
    </row>
    <row r="221" spans="1:14" x14ac:dyDescent="0.25">
      <c r="A221" s="16" t="str">
        <f t="shared" si="26"/>
        <v>January</v>
      </c>
      <c r="B221" s="31">
        <v>43834</v>
      </c>
      <c r="C221" s="32" t="s">
        <v>26</v>
      </c>
      <c r="D221" s="9" t="str">
        <f t="shared" si="23"/>
        <v>43834 - 2S</v>
      </c>
      <c r="E221" s="32" t="s">
        <v>12</v>
      </c>
      <c r="F221" s="2">
        <v>8000055</v>
      </c>
      <c r="G221" s="4" t="str">
        <f>IFERROR(VLOOKUP(F221,Lists!$C:$D,2,0), "N/A")</f>
        <v>916.BF FLIPZ 25 LB BULK MILK CHOC</v>
      </c>
      <c r="H221" s="26">
        <f>IFERROR(VLOOKUP(F221,Lists!$C:$E,3,0),0)</f>
        <v>1.1520708</v>
      </c>
      <c r="I221" s="7">
        <f t="shared" si="27"/>
        <v>9000</v>
      </c>
      <c r="J221" s="6">
        <v>9000</v>
      </c>
      <c r="K221" s="33">
        <v>10</v>
      </c>
      <c r="L221" s="5">
        <f t="shared" si="24"/>
        <v>1.1111111111111111E-3</v>
      </c>
      <c r="M221" s="26">
        <f t="shared" si="25"/>
        <v>11.520707999999999</v>
      </c>
    </row>
    <row r="222" spans="1:14" x14ac:dyDescent="0.25">
      <c r="A222" s="16" t="str">
        <f t="shared" si="26"/>
        <v>January</v>
      </c>
      <c r="B222" s="31">
        <v>43835</v>
      </c>
      <c r="C222" s="32" t="s">
        <v>26</v>
      </c>
      <c r="D222" s="9" t="str">
        <f t="shared" si="23"/>
        <v>43835 - 2S</v>
      </c>
      <c r="E222" s="32" t="s">
        <v>12</v>
      </c>
      <c r="F222" s="2">
        <v>8000055</v>
      </c>
      <c r="G222" s="4" t="str">
        <f>IFERROR(VLOOKUP(F222,Lists!$C:$D,2,0), "N/A")</f>
        <v>916.BF FLIPZ 25 LB BULK MILK CHOC</v>
      </c>
      <c r="H222" s="26">
        <f>IFERROR(VLOOKUP(F222,Lists!$C:$E,3,0),0)</f>
        <v>1.1520708</v>
      </c>
      <c r="I222" s="7">
        <f t="shared" si="27"/>
        <v>10000</v>
      </c>
      <c r="J222" s="6">
        <v>10000</v>
      </c>
      <c r="K222" s="33">
        <v>5</v>
      </c>
      <c r="L222" s="5">
        <f t="shared" si="24"/>
        <v>5.0000000000000001E-4</v>
      </c>
      <c r="M222" s="26">
        <f t="shared" si="25"/>
        <v>5.7603539999999995</v>
      </c>
    </row>
    <row r="223" spans="1:14" x14ac:dyDescent="0.25">
      <c r="A223" s="16" t="str">
        <f t="shared" si="26"/>
        <v>January</v>
      </c>
      <c r="B223" s="31">
        <v>43836</v>
      </c>
      <c r="C223" s="32" t="s">
        <v>26</v>
      </c>
      <c r="D223" s="9" t="str">
        <f t="shared" si="23"/>
        <v>43836 - 2S</v>
      </c>
      <c r="E223" s="32" t="s">
        <v>12</v>
      </c>
      <c r="F223" s="2">
        <v>8000055</v>
      </c>
      <c r="G223" s="4" t="str">
        <f>IFERROR(VLOOKUP(F223,Lists!$C:$D,2,0), "N/A")</f>
        <v>916.BF FLIPZ 25 LB BULK MILK CHOC</v>
      </c>
      <c r="H223" s="26">
        <f>IFERROR(VLOOKUP(F223,Lists!$C:$E,3,0),0)</f>
        <v>1.1520708</v>
      </c>
      <c r="I223" s="7">
        <f t="shared" si="27"/>
        <v>10000</v>
      </c>
      <c r="J223" s="6">
        <v>10000</v>
      </c>
      <c r="K223" s="33">
        <v>5</v>
      </c>
      <c r="L223" s="5">
        <f t="shared" si="24"/>
        <v>5.0000000000000001E-4</v>
      </c>
      <c r="M223" s="26">
        <f t="shared" si="25"/>
        <v>5.7603539999999995</v>
      </c>
    </row>
    <row r="224" spans="1:14" x14ac:dyDescent="0.25">
      <c r="A224" s="16" t="str">
        <f t="shared" si="26"/>
        <v>January</v>
      </c>
      <c r="B224" s="31">
        <v>43837</v>
      </c>
      <c r="C224" s="32" t="s">
        <v>26</v>
      </c>
      <c r="D224" s="9" t="str">
        <f t="shared" si="23"/>
        <v>43837 - 2S</v>
      </c>
      <c r="E224" s="32" t="s">
        <v>12</v>
      </c>
      <c r="F224" s="2">
        <v>8000055</v>
      </c>
      <c r="G224" s="4" t="str">
        <f>IFERROR(VLOOKUP(F224,Lists!$C:$D,2,0), "N/A")</f>
        <v>916.BF FLIPZ 25 LB BULK MILK CHOC</v>
      </c>
      <c r="H224" s="26">
        <f>IFERROR(VLOOKUP(F224,Lists!$C:$E,3,0),0)</f>
        <v>1.1520708</v>
      </c>
      <c r="I224" s="7">
        <f t="shared" si="27"/>
        <v>10000</v>
      </c>
      <c r="J224" s="6">
        <v>10000</v>
      </c>
      <c r="K224" s="33">
        <v>26</v>
      </c>
      <c r="L224" s="5">
        <f t="shared" si="24"/>
        <v>2.5999999999999999E-3</v>
      </c>
      <c r="M224" s="26">
        <f t="shared" si="25"/>
        <v>29.953840799999998</v>
      </c>
    </row>
    <row r="225" spans="1:13" x14ac:dyDescent="0.25">
      <c r="A225" s="16" t="str">
        <f t="shared" si="26"/>
        <v>January</v>
      </c>
      <c r="B225" s="31">
        <v>43838</v>
      </c>
      <c r="C225" s="32" t="s">
        <v>26</v>
      </c>
      <c r="D225" s="9" t="str">
        <f t="shared" si="23"/>
        <v>43838 - 2S</v>
      </c>
      <c r="E225" s="32" t="s">
        <v>12</v>
      </c>
      <c r="F225" s="2">
        <v>8000055</v>
      </c>
      <c r="G225" s="4" t="str">
        <f>IFERROR(VLOOKUP(F225,Lists!$C:$D,2,0), "N/A")</f>
        <v>916.BF FLIPZ 25 LB BULK MILK CHOC</v>
      </c>
      <c r="H225" s="26">
        <f>IFERROR(VLOOKUP(F225,Lists!$C:$E,3,0),0)</f>
        <v>1.1520708</v>
      </c>
      <c r="I225" s="7">
        <f t="shared" si="27"/>
        <v>4000</v>
      </c>
      <c r="J225" s="6">
        <v>4000</v>
      </c>
      <c r="K225" s="33">
        <v>2</v>
      </c>
      <c r="L225" s="5">
        <f t="shared" si="24"/>
        <v>5.0000000000000001E-4</v>
      </c>
      <c r="M225" s="26">
        <f t="shared" si="25"/>
        <v>2.3041415999999999</v>
      </c>
    </row>
    <row r="226" spans="1:13" x14ac:dyDescent="0.25">
      <c r="A226" s="16" t="str">
        <f t="shared" si="26"/>
        <v>January</v>
      </c>
      <c r="B226" s="31">
        <v>43839</v>
      </c>
      <c r="C226" s="32" t="s">
        <v>26</v>
      </c>
      <c r="D226" s="9" t="str">
        <f t="shared" si="23"/>
        <v>43839 - 2S</v>
      </c>
      <c r="E226" s="32" t="s">
        <v>12</v>
      </c>
      <c r="F226" s="2">
        <v>8000055</v>
      </c>
      <c r="G226" s="4" t="str">
        <f>IFERROR(VLOOKUP(F226,Lists!$C:$D,2,0), "N/A")</f>
        <v>916.BF FLIPZ 25 LB BULK MILK CHOC</v>
      </c>
      <c r="H226" s="26">
        <f>IFERROR(VLOOKUP(F226,Lists!$C:$E,3,0),0)</f>
        <v>1.1520708</v>
      </c>
      <c r="I226" s="7">
        <f t="shared" si="27"/>
        <v>9000</v>
      </c>
      <c r="J226" s="6">
        <v>9000</v>
      </c>
      <c r="K226" s="33">
        <v>25</v>
      </c>
      <c r="L226" s="5">
        <f t="shared" si="24"/>
        <v>2.7777777777777779E-3</v>
      </c>
      <c r="M226" s="26">
        <f t="shared" si="25"/>
        <v>28.801769999999998</v>
      </c>
    </row>
    <row r="227" spans="1:13" x14ac:dyDescent="0.25">
      <c r="A227" s="16" t="str">
        <f t="shared" si="26"/>
        <v>January</v>
      </c>
      <c r="B227" s="31">
        <v>43840</v>
      </c>
      <c r="C227" s="32" t="s">
        <v>26</v>
      </c>
      <c r="D227" s="9" t="str">
        <f t="shared" si="23"/>
        <v>43840 - 2S</v>
      </c>
      <c r="E227" s="32" t="s">
        <v>12</v>
      </c>
      <c r="F227" s="2">
        <v>8000055</v>
      </c>
      <c r="G227" s="4" t="str">
        <f>IFERROR(VLOOKUP(F227,Lists!$C:$D,2,0), "N/A")</f>
        <v>916.BF FLIPZ 25 LB BULK MILK CHOC</v>
      </c>
      <c r="H227" s="26">
        <f>IFERROR(VLOOKUP(F227,Lists!$C:$E,3,0),0)</f>
        <v>1.1520708</v>
      </c>
      <c r="I227" s="7">
        <f t="shared" si="27"/>
        <v>8000</v>
      </c>
      <c r="J227" s="6">
        <v>8000</v>
      </c>
      <c r="K227" s="33">
        <v>15</v>
      </c>
      <c r="L227" s="5">
        <f t="shared" si="24"/>
        <v>1.8749999999999999E-3</v>
      </c>
      <c r="M227" s="26">
        <f t="shared" si="25"/>
        <v>17.281061999999999</v>
      </c>
    </row>
    <row r="228" spans="1:13" x14ac:dyDescent="0.25">
      <c r="A228" s="16" t="str">
        <f t="shared" si="26"/>
        <v>January</v>
      </c>
      <c r="B228" s="31">
        <v>43841</v>
      </c>
      <c r="C228" s="32" t="s">
        <v>26</v>
      </c>
      <c r="D228" s="9" t="str">
        <f t="shared" si="23"/>
        <v>43841 - 2S</v>
      </c>
      <c r="E228" s="32" t="s">
        <v>12</v>
      </c>
      <c r="F228" s="2">
        <v>8000055</v>
      </c>
      <c r="G228" s="4" t="str">
        <f>IFERROR(VLOOKUP(F228,Lists!$C:$D,2,0), "N/A")</f>
        <v>916.BF FLIPZ 25 LB BULK MILK CHOC</v>
      </c>
      <c r="H228" s="26">
        <f>IFERROR(VLOOKUP(F228,Lists!$C:$E,3,0),0)</f>
        <v>1.1520708</v>
      </c>
      <c r="I228" s="7">
        <f t="shared" si="27"/>
        <v>6000</v>
      </c>
      <c r="J228" s="6">
        <v>6000</v>
      </c>
      <c r="K228" s="33">
        <v>18</v>
      </c>
      <c r="L228" s="5">
        <f t="shared" si="24"/>
        <v>3.0000000000000001E-3</v>
      </c>
      <c r="M228" s="26">
        <f t="shared" si="25"/>
        <v>20.7372744</v>
      </c>
    </row>
    <row r="229" spans="1:13" x14ac:dyDescent="0.25">
      <c r="A229" s="16" t="str">
        <f t="shared" si="26"/>
        <v>January</v>
      </c>
      <c r="B229" s="31">
        <v>43842</v>
      </c>
      <c r="C229" s="32" t="s">
        <v>26</v>
      </c>
      <c r="D229" s="9" t="str">
        <f t="shared" si="23"/>
        <v>43842 - 2S</v>
      </c>
      <c r="E229" s="32" t="s">
        <v>12</v>
      </c>
      <c r="F229" s="2">
        <v>8000055</v>
      </c>
      <c r="G229" s="4" t="str">
        <f>IFERROR(VLOOKUP(F229,Lists!$C:$D,2,0), "N/A")</f>
        <v>916.BF FLIPZ 25 LB BULK MILK CHOC</v>
      </c>
      <c r="H229" s="26">
        <f>IFERROR(VLOOKUP(F229,Lists!$C:$E,3,0),0)</f>
        <v>1.1520708</v>
      </c>
      <c r="I229" s="7">
        <f t="shared" si="27"/>
        <v>10000</v>
      </c>
      <c r="J229" s="6">
        <v>10000</v>
      </c>
      <c r="K229" s="33">
        <v>0</v>
      </c>
      <c r="L229" s="5">
        <f t="shared" si="24"/>
        <v>0</v>
      </c>
      <c r="M229" s="26">
        <f t="shared" si="25"/>
        <v>0</v>
      </c>
    </row>
    <row r="230" spans="1:13" x14ac:dyDescent="0.25">
      <c r="A230" s="16" t="str">
        <f t="shared" si="26"/>
        <v>January</v>
      </c>
      <c r="B230" s="31">
        <v>43843</v>
      </c>
      <c r="C230" s="32" t="s">
        <v>26</v>
      </c>
      <c r="D230" s="9" t="str">
        <f t="shared" si="23"/>
        <v>43843 - 2S</v>
      </c>
      <c r="E230" s="32" t="s">
        <v>12</v>
      </c>
      <c r="F230" s="2">
        <v>8000055</v>
      </c>
      <c r="G230" s="4" t="str">
        <f>IFERROR(VLOOKUP(F230,Lists!$C:$D,2,0), "N/A")</f>
        <v>916.BF FLIPZ 25 LB BULK MILK CHOC</v>
      </c>
      <c r="H230" s="26">
        <f>IFERROR(VLOOKUP(F230,Lists!$C:$E,3,0),0)</f>
        <v>1.1520708</v>
      </c>
      <c r="I230" s="7">
        <f t="shared" si="27"/>
        <v>8000</v>
      </c>
      <c r="J230" s="6">
        <v>8000</v>
      </c>
      <c r="K230" s="33">
        <v>16</v>
      </c>
      <c r="L230" s="5">
        <f t="shared" si="24"/>
        <v>2E-3</v>
      </c>
      <c r="M230" s="26">
        <f t="shared" si="25"/>
        <v>18.433132799999999</v>
      </c>
    </row>
    <row r="231" spans="1:13" x14ac:dyDescent="0.25">
      <c r="A231" s="16" t="str">
        <f t="shared" si="26"/>
        <v>January</v>
      </c>
      <c r="B231" s="31">
        <v>43844</v>
      </c>
      <c r="C231" s="32" t="s">
        <v>26</v>
      </c>
      <c r="D231" s="9" t="str">
        <f t="shared" si="23"/>
        <v>43844 - 2S</v>
      </c>
      <c r="E231" s="32" t="s">
        <v>12</v>
      </c>
      <c r="F231" s="2">
        <v>8000055</v>
      </c>
      <c r="G231" s="4" t="str">
        <f>IFERROR(VLOOKUP(F231,Lists!$C:$D,2,0), "N/A")</f>
        <v>916.BF FLIPZ 25 LB BULK MILK CHOC</v>
      </c>
      <c r="H231" s="26">
        <f>IFERROR(VLOOKUP(F231,Lists!$C:$E,3,0),0)</f>
        <v>1.1520708</v>
      </c>
      <c r="I231" s="7">
        <f t="shared" si="27"/>
        <v>7000</v>
      </c>
      <c r="J231" s="6">
        <v>7000</v>
      </c>
      <c r="K231" s="33">
        <v>18</v>
      </c>
      <c r="L231" s="5">
        <f t="shared" si="24"/>
        <v>2.5714285714285713E-3</v>
      </c>
      <c r="M231" s="26">
        <f t="shared" si="25"/>
        <v>20.7372744</v>
      </c>
    </row>
    <row r="232" spans="1:13" x14ac:dyDescent="0.25">
      <c r="A232" s="16" t="str">
        <f t="shared" si="26"/>
        <v>January</v>
      </c>
      <c r="B232" s="31">
        <v>43845</v>
      </c>
      <c r="C232" s="32" t="s">
        <v>26</v>
      </c>
      <c r="D232" s="9" t="str">
        <f t="shared" si="23"/>
        <v>43845 - 2S</v>
      </c>
      <c r="E232" s="32" t="s">
        <v>12</v>
      </c>
      <c r="F232" s="2">
        <v>8000055</v>
      </c>
      <c r="G232" s="4" t="str">
        <f>IFERROR(VLOOKUP(F232,Lists!$C:$D,2,0), "N/A")</f>
        <v>916.BF FLIPZ 25 LB BULK MILK CHOC</v>
      </c>
      <c r="H232" s="26">
        <f>IFERROR(VLOOKUP(F232,Lists!$C:$E,3,0),0)</f>
        <v>1.1520708</v>
      </c>
      <c r="I232" s="7">
        <f t="shared" si="27"/>
        <v>10000</v>
      </c>
      <c r="J232" s="6">
        <v>10000</v>
      </c>
      <c r="K232" s="33">
        <v>9</v>
      </c>
      <c r="L232" s="5">
        <f t="shared" si="24"/>
        <v>8.9999999999999998E-4</v>
      </c>
      <c r="M232" s="26">
        <f t="shared" si="25"/>
        <v>10.3686372</v>
      </c>
    </row>
    <row r="233" spans="1:13" x14ac:dyDescent="0.25">
      <c r="A233" s="16" t="str">
        <f t="shared" si="26"/>
        <v>January</v>
      </c>
      <c r="B233" s="31">
        <v>43846</v>
      </c>
      <c r="C233" s="32" t="s">
        <v>26</v>
      </c>
      <c r="D233" s="9" t="str">
        <f t="shared" si="23"/>
        <v>43846 - 2S</v>
      </c>
      <c r="E233" s="32" t="s">
        <v>12</v>
      </c>
      <c r="F233" s="2">
        <v>8000055</v>
      </c>
      <c r="G233" s="4" t="str">
        <f>IFERROR(VLOOKUP(F233,Lists!$C:$D,2,0), "N/A")</f>
        <v>916.BF FLIPZ 25 LB BULK MILK CHOC</v>
      </c>
      <c r="H233" s="26">
        <f>IFERROR(VLOOKUP(F233,Lists!$C:$E,3,0),0)</f>
        <v>1.1520708</v>
      </c>
      <c r="I233" s="7">
        <f t="shared" si="27"/>
        <v>9000</v>
      </c>
      <c r="J233" s="6">
        <v>9000</v>
      </c>
      <c r="K233" s="33">
        <v>17</v>
      </c>
      <c r="L233" s="5">
        <f t="shared" si="24"/>
        <v>1.888888888888889E-3</v>
      </c>
      <c r="M233" s="26">
        <f t="shared" si="25"/>
        <v>19.5852036</v>
      </c>
    </row>
    <row r="234" spans="1:13" x14ac:dyDescent="0.25">
      <c r="A234" s="16" t="str">
        <f t="shared" si="26"/>
        <v>January</v>
      </c>
      <c r="B234" s="31">
        <v>43847</v>
      </c>
      <c r="C234" s="32" t="s">
        <v>26</v>
      </c>
      <c r="D234" s="9" t="str">
        <f t="shared" si="23"/>
        <v>43847 - 2S</v>
      </c>
      <c r="E234" s="32" t="s">
        <v>12</v>
      </c>
      <c r="F234" s="2">
        <v>8000055</v>
      </c>
      <c r="G234" s="4" t="str">
        <f>IFERROR(VLOOKUP(F234,Lists!$C:$D,2,0), "N/A")</f>
        <v>916.BF FLIPZ 25 LB BULK MILK CHOC</v>
      </c>
      <c r="H234" s="26">
        <f>IFERROR(VLOOKUP(F234,Lists!$C:$E,3,0),0)</f>
        <v>1.1520708</v>
      </c>
      <c r="I234" s="7">
        <f t="shared" si="27"/>
        <v>9000</v>
      </c>
      <c r="J234" s="6">
        <v>9000</v>
      </c>
      <c r="K234" s="33">
        <v>5</v>
      </c>
      <c r="L234" s="5">
        <f t="shared" si="24"/>
        <v>5.5555555555555556E-4</v>
      </c>
      <c r="M234" s="26">
        <f t="shared" si="25"/>
        <v>5.7603539999999995</v>
      </c>
    </row>
    <row r="235" spans="1:13" x14ac:dyDescent="0.25">
      <c r="A235" s="16" t="str">
        <f t="shared" si="26"/>
        <v>January</v>
      </c>
      <c r="B235" s="31">
        <v>43848</v>
      </c>
      <c r="C235" s="32" t="s">
        <v>26</v>
      </c>
      <c r="D235" s="9" t="str">
        <f t="shared" si="23"/>
        <v>43848 - 2S</v>
      </c>
      <c r="E235" s="32" t="s">
        <v>12</v>
      </c>
      <c r="F235" s="2">
        <v>8000055</v>
      </c>
      <c r="G235" s="4" t="str">
        <f>IFERROR(VLOOKUP(F235,Lists!$C:$D,2,0), "N/A")</f>
        <v>916.BF FLIPZ 25 LB BULK MILK CHOC</v>
      </c>
      <c r="H235" s="26">
        <f>IFERROR(VLOOKUP(F235,Lists!$C:$E,3,0),0)</f>
        <v>1.1520708</v>
      </c>
      <c r="I235" s="7">
        <f t="shared" si="27"/>
        <v>7000</v>
      </c>
      <c r="J235" s="6">
        <v>7000</v>
      </c>
      <c r="K235" s="33">
        <v>115</v>
      </c>
      <c r="L235" s="5">
        <f t="shared" si="24"/>
        <v>1.6428571428571428E-2</v>
      </c>
      <c r="M235" s="26">
        <f t="shared" si="25"/>
        <v>132.48814199999998</v>
      </c>
    </row>
    <row r="236" spans="1:13" x14ac:dyDescent="0.25">
      <c r="A236" s="16" t="str">
        <f t="shared" si="26"/>
        <v>January</v>
      </c>
      <c r="B236" s="31">
        <v>43849</v>
      </c>
      <c r="C236" s="32" t="s">
        <v>26</v>
      </c>
      <c r="D236" s="9" t="str">
        <f t="shared" si="23"/>
        <v>43849 - 2S</v>
      </c>
      <c r="E236" s="32" t="s">
        <v>12</v>
      </c>
      <c r="F236" s="2">
        <v>8000055</v>
      </c>
      <c r="G236" s="4" t="str">
        <f>IFERROR(VLOOKUP(F236,Lists!$C:$D,2,0), "N/A")</f>
        <v>916.BF FLIPZ 25 LB BULK MILK CHOC</v>
      </c>
      <c r="H236" s="26">
        <f>IFERROR(VLOOKUP(F236,Lists!$C:$E,3,0),0)</f>
        <v>1.1520708</v>
      </c>
      <c r="I236" s="7">
        <f t="shared" si="27"/>
        <v>7000</v>
      </c>
      <c r="J236" s="6">
        <v>7000</v>
      </c>
      <c r="K236" s="33">
        <v>24</v>
      </c>
      <c r="L236" s="5">
        <f t="shared" si="24"/>
        <v>3.4285714285714284E-3</v>
      </c>
      <c r="M236" s="26">
        <f t="shared" si="25"/>
        <v>27.649699200000001</v>
      </c>
    </row>
    <row r="237" spans="1:13" x14ac:dyDescent="0.25">
      <c r="A237" s="16" t="str">
        <f t="shared" si="26"/>
        <v>January</v>
      </c>
      <c r="B237" s="31">
        <v>43850</v>
      </c>
      <c r="C237" s="32" t="s">
        <v>26</v>
      </c>
      <c r="D237" s="9" t="str">
        <f t="shared" si="23"/>
        <v>43850 - 2S</v>
      </c>
      <c r="E237" s="32" t="s">
        <v>12</v>
      </c>
      <c r="F237" s="2">
        <v>8000055</v>
      </c>
      <c r="G237" s="4" t="str">
        <f>IFERROR(VLOOKUP(F237,Lists!$C:$D,2,0), "N/A")</f>
        <v>916.BF FLIPZ 25 LB BULK MILK CHOC</v>
      </c>
      <c r="H237" s="26">
        <f>IFERROR(VLOOKUP(F237,Lists!$C:$E,3,0),0)</f>
        <v>1.1520708</v>
      </c>
      <c r="I237" s="7">
        <f t="shared" si="27"/>
        <v>4000</v>
      </c>
      <c r="J237" s="6">
        <v>4000</v>
      </c>
      <c r="K237" s="33">
        <v>73</v>
      </c>
      <c r="L237" s="5">
        <f t="shared" si="24"/>
        <v>1.8249999999999999E-2</v>
      </c>
      <c r="M237" s="26">
        <f t="shared" si="25"/>
        <v>84.101168399999992</v>
      </c>
    </row>
    <row r="238" spans="1:13" x14ac:dyDescent="0.25">
      <c r="A238" s="16" t="str">
        <f t="shared" si="26"/>
        <v>January</v>
      </c>
      <c r="B238" s="31">
        <v>43851</v>
      </c>
      <c r="C238" s="32" t="s">
        <v>26</v>
      </c>
      <c r="D238" s="9" t="str">
        <f t="shared" si="23"/>
        <v>43851 - 2S</v>
      </c>
      <c r="E238" s="32" t="s">
        <v>12</v>
      </c>
      <c r="F238" s="2">
        <v>8000055</v>
      </c>
      <c r="G238" s="4" t="str">
        <f>IFERROR(VLOOKUP(F238,Lists!$C:$D,2,0), "N/A")</f>
        <v>916.BF FLIPZ 25 LB BULK MILK CHOC</v>
      </c>
      <c r="H238" s="26">
        <f>IFERROR(VLOOKUP(F238,Lists!$C:$E,3,0),0)</f>
        <v>1.1520708</v>
      </c>
      <c r="I238" s="7">
        <f t="shared" si="27"/>
        <v>7000</v>
      </c>
      <c r="J238" s="6">
        <v>7000</v>
      </c>
      <c r="K238" s="33">
        <v>17</v>
      </c>
      <c r="L238" s="5">
        <f t="shared" si="24"/>
        <v>2.4285714285714284E-3</v>
      </c>
      <c r="M238" s="26">
        <f t="shared" si="25"/>
        <v>19.5852036</v>
      </c>
    </row>
    <row r="239" spans="1:13" x14ac:dyDescent="0.25">
      <c r="A239" s="16" t="str">
        <f t="shared" si="26"/>
        <v>January</v>
      </c>
      <c r="B239" s="31">
        <v>43852</v>
      </c>
      <c r="C239" s="32" t="s">
        <v>26</v>
      </c>
      <c r="D239" s="9" t="str">
        <f t="shared" si="23"/>
        <v>43852 - 2S</v>
      </c>
      <c r="E239" s="32" t="s">
        <v>12</v>
      </c>
      <c r="F239" s="2">
        <v>8000055</v>
      </c>
      <c r="G239" s="4" t="str">
        <f>IFERROR(VLOOKUP(F239,Lists!$C:$D,2,0), "N/A")</f>
        <v>916.BF FLIPZ 25 LB BULK MILK CHOC</v>
      </c>
      <c r="H239" s="26">
        <f>IFERROR(VLOOKUP(F239,Lists!$C:$E,3,0),0)</f>
        <v>1.1520708</v>
      </c>
      <c r="I239" s="7">
        <f t="shared" si="27"/>
        <v>10000</v>
      </c>
      <c r="J239" s="6">
        <v>10000</v>
      </c>
      <c r="K239" s="33">
        <v>13</v>
      </c>
      <c r="L239" s="5">
        <f t="shared" si="24"/>
        <v>1.2999999999999999E-3</v>
      </c>
      <c r="M239" s="26">
        <f t="shared" si="25"/>
        <v>14.976920399999999</v>
      </c>
    </row>
    <row r="240" spans="1:13" x14ac:dyDescent="0.25">
      <c r="A240" s="16" t="str">
        <f t="shared" si="26"/>
        <v>January</v>
      </c>
      <c r="B240" s="31">
        <v>43853</v>
      </c>
      <c r="C240" s="32" t="s">
        <v>26</v>
      </c>
      <c r="D240" s="9" t="str">
        <f t="shared" si="23"/>
        <v>43853 - 2S</v>
      </c>
      <c r="E240" s="32" t="s">
        <v>12</v>
      </c>
      <c r="F240" s="2">
        <v>8000055</v>
      </c>
      <c r="G240" s="4" t="str">
        <f>IFERROR(VLOOKUP(F240,Lists!$C:$D,2,0), "N/A")</f>
        <v>916.BF FLIPZ 25 LB BULK MILK CHOC</v>
      </c>
      <c r="H240" s="26">
        <f>IFERROR(VLOOKUP(F240,Lists!$C:$E,3,0),0)</f>
        <v>1.1520708</v>
      </c>
      <c r="I240" s="7">
        <f t="shared" si="27"/>
        <v>9000</v>
      </c>
      <c r="J240" s="6">
        <v>9000</v>
      </c>
      <c r="K240" s="33">
        <v>31</v>
      </c>
      <c r="L240" s="5">
        <f t="shared" si="24"/>
        <v>3.4444444444444444E-3</v>
      </c>
      <c r="M240" s="26">
        <f t="shared" si="25"/>
        <v>35.714194800000001</v>
      </c>
    </row>
    <row r="241" spans="1:13" x14ac:dyDescent="0.25">
      <c r="A241" s="16" t="str">
        <f t="shared" si="26"/>
        <v>January</v>
      </c>
      <c r="B241" s="31">
        <v>43854</v>
      </c>
      <c r="C241" s="32" t="s">
        <v>26</v>
      </c>
      <c r="D241" s="9" t="str">
        <f t="shared" si="23"/>
        <v>43854 - 2S</v>
      </c>
      <c r="E241" s="32" t="s">
        <v>12</v>
      </c>
      <c r="F241" s="2">
        <v>8000055</v>
      </c>
      <c r="G241" s="4" t="str">
        <f>IFERROR(VLOOKUP(F241,Lists!$C:$D,2,0), "N/A")</f>
        <v>916.BF FLIPZ 25 LB BULK MILK CHOC</v>
      </c>
      <c r="H241" s="26">
        <f>IFERROR(VLOOKUP(F241,Lists!$C:$E,3,0),0)</f>
        <v>1.1520708</v>
      </c>
      <c r="I241" s="7">
        <f t="shared" si="27"/>
        <v>8000</v>
      </c>
      <c r="J241" s="6">
        <v>8000</v>
      </c>
      <c r="K241" s="33">
        <v>25</v>
      </c>
      <c r="L241" s="5">
        <f t="shared" si="24"/>
        <v>3.1250000000000002E-3</v>
      </c>
      <c r="M241" s="26">
        <f t="shared" si="25"/>
        <v>28.801769999999998</v>
      </c>
    </row>
    <row r="242" spans="1:13" x14ac:dyDescent="0.25">
      <c r="A242" s="16" t="str">
        <f t="shared" si="26"/>
        <v>January</v>
      </c>
      <c r="B242" s="31">
        <v>43855</v>
      </c>
      <c r="C242" s="32" t="s">
        <v>26</v>
      </c>
      <c r="D242" s="9" t="str">
        <f t="shared" si="23"/>
        <v>43855 - 2S</v>
      </c>
      <c r="E242" s="32" t="s">
        <v>12</v>
      </c>
      <c r="F242" s="2">
        <v>8000055</v>
      </c>
      <c r="G242" s="4" t="str">
        <f>IFERROR(VLOOKUP(F242,Lists!$C:$D,2,0), "N/A")</f>
        <v>916.BF FLIPZ 25 LB BULK MILK CHOC</v>
      </c>
      <c r="H242" s="26">
        <f>IFERROR(VLOOKUP(F242,Lists!$C:$E,3,0),0)</f>
        <v>1.1520708</v>
      </c>
      <c r="I242" s="7">
        <f t="shared" si="27"/>
        <v>12000</v>
      </c>
      <c r="J242" s="6">
        <v>12000</v>
      </c>
      <c r="K242" s="33">
        <v>207</v>
      </c>
      <c r="L242" s="5">
        <f t="shared" si="24"/>
        <v>1.7250000000000001E-2</v>
      </c>
      <c r="M242" s="26">
        <f t="shared" si="25"/>
        <v>238.4786556</v>
      </c>
    </row>
    <row r="243" spans="1:13" x14ac:dyDescent="0.25">
      <c r="A243" s="16" t="str">
        <f t="shared" si="26"/>
        <v>January</v>
      </c>
      <c r="B243" s="31">
        <v>43856</v>
      </c>
      <c r="C243" s="32" t="s">
        <v>26</v>
      </c>
      <c r="D243" s="9" t="str">
        <f t="shared" si="23"/>
        <v>43856 - 2S</v>
      </c>
      <c r="E243" s="32" t="s">
        <v>12</v>
      </c>
      <c r="F243" s="2">
        <v>8000055</v>
      </c>
      <c r="G243" s="4" t="str">
        <f>IFERROR(VLOOKUP(F243,Lists!$C:$D,2,0), "N/A")</f>
        <v>916.BF FLIPZ 25 LB BULK MILK CHOC</v>
      </c>
      <c r="H243" s="26">
        <f>IFERROR(VLOOKUP(F243,Lists!$C:$E,3,0),0)</f>
        <v>1.1520708</v>
      </c>
      <c r="I243" s="7">
        <f t="shared" si="27"/>
        <v>10000</v>
      </c>
      <c r="J243" s="6">
        <v>10000</v>
      </c>
      <c r="K243" s="33">
        <v>21</v>
      </c>
      <c r="L243" s="5">
        <f t="shared" si="24"/>
        <v>2.0999999999999999E-3</v>
      </c>
      <c r="M243" s="26">
        <f t="shared" si="25"/>
        <v>24.193486799999999</v>
      </c>
    </row>
    <row r="244" spans="1:13" x14ac:dyDescent="0.25">
      <c r="A244" s="16" t="str">
        <f t="shared" si="26"/>
        <v>January</v>
      </c>
      <c r="B244" s="31">
        <v>43857</v>
      </c>
      <c r="C244" s="32" t="s">
        <v>26</v>
      </c>
      <c r="D244" s="9" t="str">
        <f t="shared" si="23"/>
        <v>43857 - 2S</v>
      </c>
      <c r="E244" s="32" t="s">
        <v>12</v>
      </c>
      <c r="F244" s="2">
        <v>8000055</v>
      </c>
      <c r="G244" s="4" t="str">
        <f>IFERROR(VLOOKUP(F244,Lists!$C:$D,2,0), "N/A")</f>
        <v>916.BF FLIPZ 25 LB BULK MILK CHOC</v>
      </c>
      <c r="H244" s="26">
        <f>IFERROR(VLOOKUP(F244,Lists!$C:$E,3,0),0)</f>
        <v>1.1520708</v>
      </c>
      <c r="I244" s="7">
        <f t="shared" si="27"/>
        <v>3000</v>
      </c>
      <c r="J244" s="6">
        <v>3000</v>
      </c>
      <c r="K244" s="33">
        <v>5</v>
      </c>
      <c r="L244" s="5">
        <f t="shared" si="24"/>
        <v>1.6666666666666668E-3</v>
      </c>
      <c r="M244" s="26">
        <f t="shared" si="25"/>
        <v>5.7603539999999995</v>
      </c>
    </row>
    <row r="245" spans="1:13" x14ac:dyDescent="0.25">
      <c r="A245" s="16" t="str">
        <f t="shared" si="26"/>
        <v>January</v>
      </c>
      <c r="B245" s="31">
        <v>43858</v>
      </c>
      <c r="C245" s="32" t="s">
        <v>26</v>
      </c>
      <c r="D245" s="9" t="str">
        <f t="shared" si="23"/>
        <v>43858 - 2S</v>
      </c>
      <c r="E245" s="32" t="s">
        <v>12</v>
      </c>
      <c r="F245" s="2">
        <v>8000055</v>
      </c>
      <c r="G245" s="4" t="str">
        <f>IFERROR(VLOOKUP(F245,Lists!$C:$D,2,0), "N/A")</f>
        <v>916.BF FLIPZ 25 LB BULK MILK CHOC</v>
      </c>
      <c r="H245" s="26">
        <f>IFERROR(VLOOKUP(F245,Lists!$C:$E,3,0),0)</f>
        <v>1.1520708</v>
      </c>
      <c r="I245" s="7">
        <f t="shared" si="27"/>
        <v>0</v>
      </c>
      <c r="J245" s="6">
        <v>0</v>
      </c>
      <c r="K245" s="33">
        <v>5</v>
      </c>
      <c r="L245" s="5">
        <f t="shared" si="24"/>
        <v>1</v>
      </c>
      <c r="M245" s="26">
        <f t="shared" si="25"/>
        <v>5.7603539999999995</v>
      </c>
    </row>
    <row r="246" spans="1:13" x14ac:dyDescent="0.25">
      <c r="A246" s="16" t="str">
        <f t="shared" si="26"/>
        <v>January</v>
      </c>
      <c r="B246" s="31">
        <v>43859</v>
      </c>
      <c r="C246" s="32" t="s">
        <v>26</v>
      </c>
      <c r="D246" s="9" t="str">
        <f t="shared" si="23"/>
        <v>43859 - 2S</v>
      </c>
      <c r="E246" s="32" t="s">
        <v>12</v>
      </c>
      <c r="F246" s="2">
        <v>8000055</v>
      </c>
      <c r="G246" s="4" t="str">
        <f>IFERROR(VLOOKUP(F246,Lists!$C:$D,2,0), "N/A")</f>
        <v>916.BF FLIPZ 25 LB BULK MILK CHOC</v>
      </c>
      <c r="H246" s="26">
        <f>IFERROR(VLOOKUP(F246,Lists!$C:$E,3,0),0)</f>
        <v>1.1520708</v>
      </c>
      <c r="I246" s="7">
        <f t="shared" si="27"/>
        <v>12000</v>
      </c>
      <c r="J246" s="6">
        <v>12000</v>
      </c>
      <c r="K246" s="33">
        <v>15</v>
      </c>
      <c r="L246" s="5">
        <f t="shared" si="24"/>
        <v>1.25E-3</v>
      </c>
      <c r="M246" s="26">
        <f t="shared" si="25"/>
        <v>17.281061999999999</v>
      </c>
    </row>
    <row r="247" spans="1:13" x14ac:dyDescent="0.25">
      <c r="A247" s="16" t="str">
        <f t="shared" si="26"/>
        <v>January</v>
      </c>
      <c r="B247" s="31">
        <v>43860</v>
      </c>
      <c r="C247" s="32" t="s">
        <v>26</v>
      </c>
      <c r="D247" s="9" t="str">
        <f t="shared" si="23"/>
        <v>43860 - 2S</v>
      </c>
      <c r="E247" s="32" t="s">
        <v>12</v>
      </c>
      <c r="F247" s="2">
        <v>8000055</v>
      </c>
      <c r="G247" s="4" t="str">
        <f>IFERROR(VLOOKUP(F247,Lists!$C:$D,2,0), "N/A")</f>
        <v>916.BF FLIPZ 25 LB BULK MILK CHOC</v>
      </c>
      <c r="H247" s="26">
        <f>IFERROR(VLOOKUP(F247,Lists!$C:$E,3,0),0)</f>
        <v>1.1520708</v>
      </c>
      <c r="I247" s="7">
        <f t="shared" si="27"/>
        <v>12000</v>
      </c>
      <c r="J247" s="6">
        <v>12000</v>
      </c>
      <c r="K247" s="33">
        <v>14</v>
      </c>
      <c r="L247" s="5">
        <f t="shared" si="24"/>
        <v>1.1666666666666668E-3</v>
      </c>
      <c r="M247" s="26">
        <f t="shared" si="25"/>
        <v>16.128991199999998</v>
      </c>
    </row>
    <row r="248" spans="1:13" x14ac:dyDescent="0.25">
      <c r="A248" s="16" t="str">
        <f t="shared" si="26"/>
        <v>January</v>
      </c>
      <c r="B248" s="31">
        <v>43832</v>
      </c>
      <c r="C248" s="32" t="s">
        <v>26</v>
      </c>
      <c r="D248" s="9" t="str">
        <f t="shared" si="23"/>
        <v>43832 - 2S</v>
      </c>
      <c r="E248" s="32" t="s">
        <v>13</v>
      </c>
      <c r="F248" s="2">
        <v>8000055</v>
      </c>
      <c r="G248" s="4" t="str">
        <f>IFERROR(VLOOKUP(F248,Lists!$C:$D,2,0), "N/A")</f>
        <v>916.BF FLIPZ 25 LB BULK MILK CHOC</v>
      </c>
      <c r="H248" s="26">
        <f>IFERROR(VLOOKUP(F248,Lists!$C:$E,3,0),0)</f>
        <v>1.1520708</v>
      </c>
      <c r="I248" s="7">
        <f t="shared" si="27"/>
        <v>2000</v>
      </c>
      <c r="J248" s="6">
        <v>2000</v>
      </c>
      <c r="K248" s="33">
        <v>43</v>
      </c>
      <c r="L248" s="5">
        <f t="shared" si="24"/>
        <v>2.1499999999999998E-2</v>
      </c>
      <c r="M248" s="26">
        <f t="shared" si="25"/>
        <v>49.539044399999995</v>
      </c>
    </row>
    <row r="249" spans="1:13" x14ac:dyDescent="0.25">
      <c r="A249" s="16" t="str">
        <f t="shared" ref="A249:A280" si="28">TEXT(B249,"mmmm")</f>
        <v>January</v>
      </c>
      <c r="B249" s="31">
        <v>43836</v>
      </c>
      <c r="C249" s="32" t="s">
        <v>26</v>
      </c>
      <c r="D249" s="9" t="str">
        <f t="shared" si="23"/>
        <v>43836 - 2S</v>
      </c>
      <c r="E249" s="32" t="s">
        <v>13</v>
      </c>
      <c r="F249" s="2">
        <v>8000055</v>
      </c>
      <c r="G249" s="4" t="str">
        <f>IFERROR(VLOOKUP(F249,Lists!$C:$D,2,0), "N/A")</f>
        <v>916.BF FLIPZ 25 LB BULK MILK CHOC</v>
      </c>
      <c r="H249" s="26">
        <f>IFERROR(VLOOKUP(F249,Lists!$C:$E,3,0),0)</f>
        <v>1.1520708</v>
      </c>
      <c r="I249" s="7">
        <f t="shared" ref="I249:I270" si="29">J249</f>
        <v>0</v>
      </c>
      <c r="J249" s="6">
        <v>0</v>
      </c>
      <c r="K249" s="33">
        <v>21</v>
      </c>
      <c r="L249" s="5">
        <f t="shared" si="24"/>
        <v>1</v>
      </c>
      <c r="M249" s="26">
        <f t="shared" si="25"/>
        <v>24.193486799999999</v>
      </c>
    </row>
    <row r="250" spans="1:13" x14ac:dyDescent="0.25">
      <c r="A250" s="16" t="str">
        <f t="shared" si="28"/>
        <v>January</v>
      </c>
      <c r="B250" s="31">
        <v>43837</v>
      </c>
      <c r="C250" s="32" t="s">
        <v>26</v>
      </c>
      <c r="D250" s="9" t="str">
        <f t="shared" si="23"/>
        <v>43837 - 2S</v>
      </c>
      <c r="E250" s="32" t="s">
        <v>13</v>
      </c>
      <c r="F250" s="2">
        <v>8000055</v>
      </c>
      <c r="G250" s="4" t="str">
        <f>IFERROR(VLOOKUP(F250,Lists!$C:$D,2,0), "N/A")</f>
        <v>916.BF FLIPZ 25 LB BULK MILK CHOC</v>
      </c>
      <c r="H250" s="26">
        <f>IFERROR(VLOOKUP(F250,Lists!$C:$E,3,0),0)</f>
        <v>1.1520708</v>
      </c>
      <c r="I250" s="7">
        <f t="shared" si="29"/>
        <v>2000</v>
      </c>
      <c r="J250" s="6">
        <v>2000</v>
      </c>
      <c r="K250" s="33">
        <v>50</v>
      </c>
      <c r="L250" s="5">
        <f t="shared" si="24"/>
        <v>2.5000000000000001E-2</v>
      </c>
      <c r="M250" s="26">
        <f t="shared" si="25"/>
        <v>57.603539999999995</v>
      </c>
    </row>
    <row r="251" spans="1:13" x14ac:dyDescent="0.25">
      <c r="A251" s="16" t="str">
        <f t="shared" si="28"/>
        <v>January</v>
      </c>
      <c r="B251" s="31">
        <v>43838</v>
      </c>
      <c r="C251" s="32" t="s">
        <v>26</v>
      </c>
      <c r="D251" s="9" t="str">
        <f t="shared" si="23"/>
        <v>43838 - 2S</v>
      </c>
      <c r="E251" s="32" t="s">
        <v>13</v>
      </c>
      <c r="F251" s="2">
        <v>8000055</v>
      </c>
      <c r="G251" s="4" t="str">
        <f>IFERROR(VLOOKUP(F251,Lists!$C:$D,2,0), "N/A")</f>
        <v>916.BF FLIPZ 25 LB BULK MILK CHOC</v>
      </c>
      <c r="H251" s="26">
        <f>IFERROR(VLOOKUP(F251,Lists!$C:$E,3,0),0)</f>
        <v>1.1520708</v>
      </c>
      <c r="I251" s="7">
        <f t="shared" si="29"/>
        <v>1000</v>
      </c>
      <c r="J251" s="6">
        <v>1000</v>
      </c>
      <c r="K251" s="33">
        <v>7</v>
      </c>
      <c r="L251" s="5">
        <f t="shared" si="24"/>
        <v>7.0000000000000001E-3</v>
      </c>
      <c r="M251" s="26">
        <f t="shared" si="25"/>
        <v>8.064495599999999</v>
      </c>
    </row>
    <row r="252" spans="1:13" x14ac:dyDescent="0.25">
      <c r="A252" s="16" t="str">
        <f t="shared" si="28"/>
        <v>January</v>
      </c>
      <c r="B252" s="31">
        <v>43839</v>
      </c>
      <c r="C252" s="32" t="s">
        <v>26</v>
      </c>
      <c r="D252" s="9" t="str">
        <f t="shared" si="23"/>
        <v>43839 - 2S</v>
      </c>
      <c r="E252" s="32" t="s">
        <v>13</v>
      </c>
      <c r="F252" s="2">
        <v>8000055</v>
      </c>
      <c r="G252" s="4" t="str">
        <f>IFERROR(VLOOKUP(F252,Lists!$C:$D,2,0), "N/A")</f>
        <v>916.BF FLIPZ 25 LB BULK MILK CHOC</v>
      </c>
      <c r="H252" s="26">
        <f>IFERROR(VLOOKUP(F252,Lists!$C:$E,3,0),0)</f>
        <v>1.1520708</v>
      </c>
      <c r="I252" s="7">
        <f t="shared" si="29"/>
        <v>1000</v>
      </c>
      <c r="J252" s="6">
        <v>1000</v>
      </c>
      <c r="K252" s="33">
        <v>7</v>
      </c>
      <c r="L252" s="5">
        <f t="shared" si="24"/>
        <v>7.0000000000000001E-3</v>
      </c>
      <c r="M252" s="26">
        <f t="shared" si="25"/>
        <v>8.064495599999999</v>
      </c>
    </row>
    <row r="253" spans="1:13" x14ac:dyDescent="0.25">
      <c r="A253" s="16" t="str">
        <f t="shared" si="28"/>
        <v>January</v>
      </c>
      <c r="B253" s="31">
        <v>43840</v>
      </c>
      <c r="C253" s="32" t="s">
        <v>26</v>
      </c>
      <c r="D253" s="9" t="str">
        <f t="shared" si="23"/>
        <v>43840 - 2S</v>
      </c>
      <c r="E253" s="32" t="s">
        <v>13</v>
      </c>
      <c r="F253" s="2">
        <v>8000055</v>
      </c>
      <c r="G253" s="4" t="str">
        <f>IFERROR(VLOOKUP(F253,Lists!$C:$D,2,0), "N/A")</f>
        <v>916.BF FLIPZ 25 LB BULK MILK CHOC</v>
      </c>
      <c r="H253" s="26">
        <f>IFERROR(VLOOKUP(F253,Lists!$C:$E,3,0),0)</f>
        <v>1.1520708</v>
      </c>
      <c r="I253" s="7">
        <f t="shared" si="29"/>
        <v>2000</v>
      </c>
      <c r="J253" s="6">
        <v>2000</v>
      </c>
      <c r="K253" s="33">
        <v>15</v>
      </c>
      <c r="L253" s="5">
        <f t="shared" si="24"/>
        <v>7.4999999999999997E-3</v>
      </c>
      <c r="M253" s="26">
        <f t="shared" si="25"/>
        <v>17.281061999999999</v>
      </c>
    </row>
    <row r="254" spans="1:13" x14ac:dyDescent="0.25">
      <c r="A254" s="16" t="str">
        <f t="shared" si="28"/>
        <v>January</v>
      </c>
      <c r="B254" s="31">
        <v>43843</v>
      </c>
      <c r="C254" s="32" t="s">
        <v>26</v>
      </c>
      <c r="D254" s="9" t="str">
        <f t="shared" si="23"/>
        <v>43843 - 2S</v>
      </c>
      <c r="E254" s="32" t="s">
        <v>13</v>
      </c>
      <c r="F254" s="2">
        <v>8000055</v>
      </c>
      <c r="G254" s="4" t="str">
        <f>IFERROR(VLOOKUP(F254,Lists!$C:$D,2,0), "N/A")</f>
        <v>916.BF FLIPZ 25 LB BULK MILK CHOC</v>
      </c>
      <c r="H254" s="26">
        <f>IFERROR(VLOOKUP(F254,Lists!$C:$E,3,0),0)</f>
        <v>1.1520708</v>
      </c>
      <c r="I254" s="7">
        <f t="shared" si="29"/>
        <v>1000</v>
      </c>
      <c r="J254" s="6">
        <v>1000</v>
      </c>
      <c r="K254" s="33">
        <v>0</v>
      </c>
      <c r="L254" s="5">
        <f t="shared" si="24"/>
        <v>0</v>
      </c>
      <c r="M254" s="26">
        <f t="shared" si="25"/>
        <v>0</v>
      </c>
    </row>
    <row r="255" spans="1:13" x14ac:dyDescent="0.25">
      <c r="A255" s="16" t="str">
        <f t="shared" si="28"/>
        <v>January</v>
      </c>
      <c r="B255" s="31">
        <v>43845</v>
      </c>
      <c r="C255" s="32" t="s">
        <v>26</v>
      </c>
      <c r="D255" s="9" t="str">
        <f t="shared" si="23"/>
        <v>43845 - 2S</v>
      </c>
      <c r="E255" s="32" t="s">
        <v>13</v>
      </c>
      <c r="F255" s="2">
        <v>8000055</v>
      </c>
      <c r="G255" s="4" t="str">
        <f>IFERROR(VLOOKUP(F255,Lists!$C:$D,2,0), "N/A")</f>
        <v>916.BF FLIPZ 25 LB BULK MILK CHOC</v>
      </c>
      <c r="H255" s="26">
        <f>IFERROR(VLOOKUP(F255,Lists!$C:$E,3,0),0)</f>
        <v>1.1520708</v>
      </c>
      <c r="I255" s="7">
        <f t="shared" si="29"/>
        <v>2000</v>
      </c>
      <c r="J255" s="6">
        <v>2000</v>
      </c>
      <c r="K255" s="33">
        <v>5</v>
      </c>
      <c r="L255" s="5">
        <f t="shared" si="24"/>
        <v>2.5000000000000001E-3</v>
      </c>
      <c r="M255" s="26">
        <f t="shared" si="25"/>
        <v>5.7603539999999995</v>
      </c>
    </row>
    <row r="256" spans="1:13" x14ac:dyDescent="0.25">
      <c r="A256" s="16" t="str">
        <f t="shared" si="28"/>
        <v>January</v>
      </c>
      <c r="B256" s="31">
        <v>43846</v>
      </c>
      <c r="C256" s="32" t="s">
        <v>26</v>
      </c>
      <c r="D256" s="9" t="str">
        <f t="shared" si="23"/>
        <v>43846 - 2S</v>
      </c>
      <c r="E256" s="32" t="s">
        <v>13</v>
      </c>
      <c r="F256" s="2">
        <v>8000055</v>
      </c>
      <c r="G256" s="4" t="str">
        <f>IFERROR(VLOOKUP(F256,Lists!$C:$D,2,0), "N/A")</f>
        <v>916.BF FLIPZ 25 LB BULK MILK CHOC</v>
      </c>
      <c r="H256" s="26">
        <f>IFERROR(VLOOKUP(F256,Lists!$C:$E,3,0),0)</f>
        <v>1.1520708</v>
      </c>
      <c r="I256" s="7">
        <f t="shared" si="29"/>
        <v>525</v>
      </c>
      <c r="J256" s="6">
        <v>525</v>
      </c>
      <c r="K256" s="33">
        <v>1</v>
      </c>
      <c r="L256" s="5">
        <f t="shared" si="24"/>
        <v>1.9047619047619048E-3</v>
      </c>
      <c r="M256" s="26">
        <f t="shared" si="25"/>
        <v>1.1520708</v>
      </c>
    </row>
    <row r="257" spans="1:13" x14ac:dyDescent="0.25">
      <c r="A257" s="16" t="str">
        <f t="shared" si="28"/>
        <v>January</v>
      </c>
      <c r="B257" s="31">
        <v>43847</v>
      </c>
      <c r="C257" s="32" t="s">
        <v>26</v>
      </c>
      <c r="D257" s="9" t="str">
        <f t="shared" si="23"/>
        <v>43847 - 2S</v>
      </c>
      <c r="E257" s="32" t="s">
        <v>13</v>
      </c>
      <c r="F257" s="2">
        <v>8000055</v>
      </c>
      <c r="G257" s="4" t="str">
        <f>IFERROR(VLOOKUP(F257,Lists!$C:$D,2,0), "N/A")</f>
        <v>916.BF FLIPZ 25 LB BULK MILK CHOC</v>
      </c>
      <c r="H257" s="26">
        <f>IFERROR(VLOOKUP(F257,Lists!$C:$E,3,0),0)</f>
        <v>1.1520708</v>
      </c>
      <c r="I257" s="7">
        <f t="shared" si="29"/>
        <v>850</v>
      </c>
      <c r="J257" s="6">
        <v>850</v>
      </c>
      <c r="K257" s="33">
        <v>5</v>
      </c>
      <c r="L257" s="5">
        <f t="shared" si="24"/>
        <v>5.8823529411764705E-3</v>
      </c>
      <c r="M257" s="26">
        <f t="shared" si="25"/>
        <v>5.7603539999999995</v>
      </c>
    </row>
    <row r="258" spans="1:13" x14ac:dyDescent="0.25">
      <c r="A258" s="16" t="str">
        <f t="shared" si="28"/>
        <v>January</v>
      </c>
      <c r="B258" s="31">
        <v>43851</v>
      </c>
      <c r="C258" s="32" t="s">
        <v>26</v>
      </c>
      <c r="D258" s="9" t="str">
        <f t="shared" ref="D258:D321" si="30">CONCATENATE(B258," - ",C258)</f>
        <v>43851 - 2S</v>
      </c>
      <c r="E258" s="32" t="s">
        <v>13</v>
      </c>
      <c r="F258" s="2">
        <v>8000055</v>
      </c>
      <c r="G258" s="4" t="str">
        <f>IFERROR(VLOOKUP(F258,Lists!$C:$D,2,0), "N/A")</f>
        <v>916.BF FLIPZ 25 LB BULK MILK CHOC</v>
      </c>
      <c r="H258" s="26">
        <f>IFERROR(VLOOKUP(F258,Lists!$C:$E,3,0),0)</f>
        <v>1.1520708</v>
      </c>
      <c r="I258" s="7">
        <f t="shared" si="29"/>
        <v>1450</v>
      </c>
      <c r="J258" s="6">
        <v>1450</v>
      </c>
      <c r="K258" s="33">
        <v>23</v>
      </c>
      <c r="L258" s="5">
        <f t="shared" ref="L258:L321" si="31">IFERROR((K258/J258),1)</f>
        <v>1.5862068965517243E-2</v>
      </c>
      <c r="M258" s="26">
        <f t="shared" ref="M258:M321" si="32">K258*H258</f>
        <v>26.4976284</v>
      </c>
    </row>
    <row r="259" spans="1:13" x14ac:dyDescent="0.25">
      <c r="A259" s="16" t="str">
        <f t="shared" si="28"/>
        <v>January</v>
      </c>
      <c r="B259" s="31">
        <v>43852</v>
      </c>
      <c r="C259" s="32" t="s">
        <v>26</v>
      </c>
      <c r="D259" s="9" t="str">
        <f t="shared" si="30"/>
        <v>43852 - 2S</v>
      </c>
      <c r="E259" s="32" t="s">
        <v>13</v>
      </c>
      <c r="F259" s="2">
        <v>8000055</v>
      </c>
      <c r="G259" s="4" t="str">
        <f>IFERROR(VLOOKUP(F259,Lists!$C:$D,2,0), "N/A")</f>
        <v>916.BF FLIPZ 25 LB BULK MILK CHOC</v>
      </c>
      <c r="H259" s="26">
        <f>IFERROR(VLOOKUP(F259,Lists!$C:$E,3,0),0)</f>
        <v>1.1520708</v>
      </c>
      <c r="I259" s="7">
        <f t="shared" si="29"/>
        <v>1000</v>
      </c>
      <c r="J259" s="6">
        <v>1000</v>
      </c>
      <c r="K259" s="33">
        <v>6</v>
      </c>
      <c r="L259" s="5">
        <f t="shared" si="31"/>
        <v>6.0000000000000001E-3</v>
      </c>
      <c r="M259" s="26">
        <f t="shared" si="32"/>
        <v>6.9124248000000001</v>
      </c>
    </row>
    <row r="260" spans="1:13" x14ac:dyDescent="0.25">
      <c r="A260" s="16" t="str">
        <f t="shared" si="28"/>
        <v>January</v>
      </c>
      <c r="B260" s="31">
        <v>43853</v>
      </c>
      <c r="C260" s="32" t="s">
        <v>26</v>
      </c>
      <c r="D260" s="9" t="str">
        <f t="shared" si="30"/>
        <v>43853 - 2S</v>
      </c>
      <c r="E260" s="32" t="s">
        <v>13</v>
      </c>
      <c r="F260" s="2">
        <v>8000055</v>
      </c>
      <c r="G260" s="4" t="str">
        <f>IFERROR(VLOOKUP(F260,Lists!$C:$D,2,0), "N/A")</f>
        <v>916.BF FLIPZ 25 LB BULK MILK CHOC</v>
      </c>
      <c r="H260" s="26">
        <f>IFERROR(VLOOKUP(F260,Lists!$C:$E,3,0),0)</f>
        <v>1.1520708</v>
      </c>
      <c r="I260" s="7">
        <f t="shared" si="29"/>
        <v>1000</v>
      </c>
      <c r="J260" s="6">
        <v>1000</v>
      </c>
      <c r="K260" s="33">
        <v>0</v>
      </c>
      <c r="L260" s="5">
        <f t="shared" si="31"/>
        <v>0</v>
      </c>
      <c r="M260" s="26">
        <f t="shared" si="32"/>
        <v>0</v>
      </c>
    </row>
    <row r="261" spans="1:13" x14ac:dyDescent="0.25">
      <c r="A261" s="16" t="str">
        <f t="shared" si="28"/>
        <v>January</v>
      </c>
      <c r="B261" s="31">
        <v>43857</v>
      </c>
      <c r="C261" s="32" t="s">
        <v>26</v>
      </c>
      <c r="D261" s="9" t="str">
        <f t="shared" si="30"/>
        <v>43857 - 2S</v>
      </c>
      <c r="E261" s="32" t="s">
        <v>13</v>
      </c>
      <c r="F261" s="2">
        <v>8000055</v>
      </c>
      <c r="G261" s="4" t="str">
        <f>IFERROR(VLOOKUP(F261,Lists!$C:$D,2,0), "N/A")</f>
        <v>916.BF FLIPZ 25 LB BULK MILK CHOC</v>
      </c>
      <c r="H261" s="26">
        <f>IFERROR(VLOOKUP(F261,Lists!$C:$E,3,0),0)</f>
        <v>1.1520708</v>
      </c>
      <c r="I261" s="7">
        <f t="shared" si="29"/>
        <v>1000</v>
      </c>
      <c r="J261" s="6">
        <v>1000</v>
      </c>
      <c r="K261" s="33">
        <v>15</v>
      </c>
      <c r="L261" s="5">
        <f t="shared" si="31"/>
        <v>1.4999999999999999E-2</v>
      </c>
      <c r="M261" s="26">
        <f t="shared" si="32"/>
        <v>17.281061999999999</v>
      </c>
    </row>
    <row r="262" spans="1:13" x14ac:dyDescent="0.25">
      <c r="A262" s="16" t="str">
        <f t="shared" si="28"/>
        <v>January</v>
      </c>
      <c r="B262" s="31">
        <v>43859</v>
      </c>
      <c r="C262" s="32" t="s">
        <v>26</v>
      </c>
      <c r="D262" s="9" t="str">
        <f t="shared" si="30"/>
        <v>43859 - 2S</v>
      </c>
      <c r="E262" s="32" t="s">
        <v>13</v>
      </c>
      <c r="F262" s="2">
        <v>8000055</v>
      </c>
      <c r="G262" s="4" t="str">
        <f>IFERROR(VLOOKUP(F262,Lists!$C:$D,2,0), "N/A")</f>
        <v>916.BF FLIPZ 25 LB BULK MILK CHOC</v>
      </c>
      <c r="H262" s="26">
        <f>IFERROR(VLOOKUP(F262,Lists!$C:$E,3,0),0)</f>
        <v>1.1520708</v>
      </c>
      <c r="I262" s="7">
        <f t="shared" si="29"/>
        <v>2000</v>
      </c>
      <c r="J262" s="6">
        <v>2000</v>
      </c>
      <c r="K262" s="33">
        <v>2</v>
      </c>
      <c r="L262" s="5">
        <f t="shared" si="31"/>
        <v>1E-3</v>
      </c>
      <c r="M262" s="26">
        <f t="shared" si="32"/>
        <v>2.3041415999999999</v>
      </c>
    </row>
    <row r="263" spans="1:13" x14ac:dyDescent="0.25">
      <c r="A263" s="16" t="str">
        <f t="shared" si="28"/>
        <v>January</v>
      </c>
      <c r="B263" s="31">
        <v>43840</v>
      </c>
      <c r="C263" s="32" t="s">
        <v>26</v>
      </c>
      <c r="D263" s="9" t="str">
        <f t="shared" si="30"/>
        <v>43840 - 2S</v>
      </c>
      <c r="E263" s="32" t="s">
        <v>15</v>
      </c>
      <c r="G263" s="4" t="str">
        <f>IFERROR(VLOOKUP(F263,Lists!$C:$D,2,0), "N/A")</f>
        <v>N/A</v>
      </c>
      <c r="H263" s="26">
        <f>IFERROR(VLOOKUP(F263,Lists!$C:$E,3,0),0)</f>
        <v>0</v>
      </c>
      <c r="I263" s="7">
        <f t="shared" si="29"/>
        <v>0</v>
      </c>
      <c r="J263" s="6">
        <v>0</v>
      </c>
      <c r="K263" s="33">
        <v>30</v>
      </c>
      <c r="L263" s="5">
        <f t="shared" si="31"/>
        <v>1</v>
      </c>
      <c r="M263" s="26">
        <f t="shared" si="32"/>
        <v>0</v>
      </c>
    </row>
    <row r="264" spans="1:13" x14ac:dyDescent="0.25">
      <c r="A264" s="16" t="str">
        <f t="shared" si="28"/>
        <v>January</v>
      </c>
      <c r="B264" s="31">
        <v>43843</v>
      </c>
      <c r="C264" s="32" t="s">
        <v>26</v>
      </c>
      <c r="D264" s="9" t="str">
        <f t="shared" si="30"/>
        <v>43843 - 2S</v>
      </c>
      <c r="E264" s="32" t="s">
        <v>15</v>
      </c>
      <c r="G264" s="4" t="str">
        <f>IFERROR(VLOOKUP(F264,Lists!$C:$D,2,0), "N/A")</f>
        <v>N/A</v>
      </c>
      <c r="H264" s="26">
        <f>IFERROR(VLOOKUP(F264,Lists!$C:$E,3,0),0)</f>
        <v>0</v>
      </c>
      <c r="I264" s="7">
        <f t="shared" si="29"/>
        <v>0</v>
      </c>
      <c r="J264" s="6">
        <v>0</v>
      </c>
      <c r="K264" s="33">
        <v>30</v>
      </c>
      <c r="L264" s="5">
        <f t="shared" si="31"/>
        <v>1</v>
      </c>
      <c r="M264" s="26">
        <f t="shared" si="32"/>
        <v>0</v>
      </c>
    </row>
    <row r="265" spans="1:13" x14ac:dyDescent="0.25">
      <c r="A265" s="16" t="str">
        <f t="shared" si="28"/>
        <v>January</v>
      </c>
      <c r="B265" s="31">
        <v>43845</v>
      </c>
      <c r="C265" s="32" t="s">
        <v>26</v>
      </c>
      <c r="D265" s="9" t="str">
        <f t="shared" si="30"/>
        <v>43845 - 2S</v>
      </c>
      <c r="E265" s="32" t="s">
        <v>15</v>
      </c>
      <c r="G265" s="4" t="str">
        <f>IFERROR(VLOOKUP(F265,Lists!$C:$D,2,0), "N/A")</f>
        <v>N/A</v>
      </c>
      <c r="H265" s="26">
        <f>IFERROR(VLOOKUP(F265,Lists!$C:$E,3,0),0)</f>
        <v>0</v>
      </c>
      <c r="I265" s="7">
        <f t="shared" si="29"/>
        <v>0</v>
      </c>
      <c r="J265" s="6">
        <v>0</v>
      </c>
      <c r="K265" s="33">
        <v>18</v>
      </c>
      <c r="L265" s="5">
        <f t="shared" si="31"/>
        <v>1</v>
      </c>
      <c r="M265" s="26">
        <f t="shared" si="32"/>
        <v>0</v>
      </c>
    </row>
    <row r="266" spans="1:13" x14ac:dyDescent="0.25">
      <c r="A266" s="16" t="str">
        <f t="shared" si="28"/>
        <v>January</v>
      </c>
      <c r="B266" s="31">
        <v>43846</v>
      </c>
      <c r="C266" s="32" t="s">
        <v>26</v>
      </c>
      <c r="D266" s="9" t="str">
        <f t="shared" si="30"/>
        <v>43846 - 2S</v>
      </c>
      <c r="E266" s="32" t="s">
        <v>15</v>
      </c>
      <c r="G266" s="4" t="str">
        <f>IFERROR(VLOOKUP(F266,Lists!$C:$D,2,0), "N/A")</f>
        <v>N/A</v>
      </c>
      <c r="H266" s="26">
        <f>IFERROR(VLOOKUP(F266,Lists!$C:$E,3,0),0)</f>
        <v>0</v>
      </c>
      <c r="I266" s="7">
        <f t="shared" si="29"/>
        <v>0</v>
      </c>
      <c r="J266" s="6">
        <v>0</v>
      </c>
      <c r="K266" s="33">
        <v>2</v>
      </c>
      <c r="L266" s="5">
        <f t="shared" si="31"/>
        <v>1</v>
      </c>
      <c r="M266" s="26">
        <f t="shared" si="32"/>
        <v>0</v>
      </c>
    </row>
    <row r="267" spans="1:13" x14ac:dyDescent="0.25">
      <c r="A267" s="16" t="str">
        <f t="shared" si="28"/>
        <v>January</v>
      </c>
      <c r="B267" s="31">
        <v>43852</v>
      </c>
      <c r="C267" s="32" t="s">
        <v>26</v>
      </c>
      <c r="D267" s="9" t="str">
        <f t="shared" si="30"/>
        <v>43852 - 2S</v>
      </c>
      <c r="E267" s="32" t="s">
        <v>15</v>
      </c>
      <c r="G267" s="4" t="str">
        <f>IFERROR(VLOOKUP(F267,Lists!$C:$D,2,0), "N/A")</f>
        <v>N/A</v>
      </c>
      <c r="H267" s="26">
        <f>IFERROR(VLOOKUP(F267,Lists!$C:$E,3,0),0)</f>
        <v>0</v>
      </c>
      <c r="I267" s="7">
        <f t="shared" si="29"/>
        <v>0</v>
      </c>
      <c r="J267" s="6">
        <v>0</v>
      </c>
      <c r="K267" s="33">
        <v>5</v>
      </c>
      <c r="L267" s="5">
        <f t="shared" si="31"/>
        <v>1</v>
      </c>
      <c r="M267" s="26">
        <f t="shared" si="32"/>
        <v>0</v>
      </c>
    </row>
    <row r="268" spans="1:13" x14ac:dyDescent="0.25">
      <c r="A268" s="16" t="str">
        <f t="shared" si="28"/>
        <v>January</v>
      </c>
      <c r="B268" s="31">
        <v>43853</v>
      </c>
      <c r="C268" s="32" t="s">
        <v>26</v>
      </c>
      <c r="D268" s="9" t="str">
        <f t="shared" si="30"/>
        <v>43853 - 2S</v>
      </c>
      <c r="E268" s="32" t="s">
        <v>15</v>
      </c>
      <c r="G268" s="4" t="str">
        <f>IFERROR(VLOOKUP(F268,Lists!$C:$D,2,0), "N/A")</f>
        <v>N/A</v>
      </c>
      <c r="H268" s="26">
        <f>IFERROR(VLOOKUP(F268,Lists!$C:$E,3,0),0)</f>
        <v>0</v>
      </c>
      <c r="I268" s="7">
        <f t="shared" si="29"/>
        <v>0</v>
      </c>
      <c r="J268" s="6">
        <v>0</v>
      </c>
      <c r="K268" s="33">
        <v>43</v>
      </c>
      <c r="L268" s="5">
        <f t="shared" si="31"/>
        <v>1</v>
      </c>
      <c r="M268" s="26">
        <f t="shared" si="32"/>
        <v>0</v>
      </c>
    </row>
    <row r="269" spans="1:13" x14ac:dyDescent="0.25">
      <c r="A269" s="16" t="str">
        <f t="shared" si="28"/>
        <v>January</v>
      </c>
      <c r="B269" s="31">
        <v>43857</v>
      </c>
      <c r="C269" s="32" t="s">
        <v>26</v>
      </c>
      <c r="D269" s="9" t="str">
        <f t="shared" si="30"/>
        <v>43857 - 2S</v>
      </c>
      <c r="E269" s="32" t="s">
        <v>15</v>
      </c>
      <c r="G269" s="4" t="str">
        <f>IFERROR(VLOOKUP(F269,Lists!$C:$D,2,0), "N/A")</f>
        <v>N/A</v>
      </c>
      <c r="H269" s="26">
        <f>IFERROR(VLOOKUP(F269,Lists!$C:$E,3,0),0)</f>
        <v>0</v>
      </c>
      <c r="I269" s="7">
        <f t="shared" si="29"/>
        <v>0</v>
      </c>
      <c r="J269" s="6">
        <v>0</v>
      </c>
      <c r="K269" s="33">
        <v>38</v>
      </c>
      <c r="L269" s="5">
        <f t="shared" si="31"/>
        <v>1</v>
      </c>
      <c r="M269" s="26">
        <f t="shared" si="32"/>
        <v>0</v>
      </c>
    </row>
    <row r="270" spans="1:13" x14ac:dyDescent="0.25">
      <c r="A270" s="16" t="str">
        <f t="shared" si="28"/>
        <v>January</v>
      </c>
      <c r="B270" s="31">
        <v>43859</v>
      </c>
      <c r="C270" s="32" t="s">
        <v>26</v>
      </c>
      <c r="D270" s="9" t="str">
        <f t="shared" si="30"/>
        <v>43859 - 2S</v>
      </c>
      <c r="E270" s="32" t="s">
        <v>15</v>
      </c>
      <c r="G270" s="4" t="str">
        <f>IFERROR(VLOOKUP(F270,Lists!$C:$D,2,0), "N/A")</f>
        <v>N/A</v>
      </c>
      <c r="H270" s="26">
        <f>IFERROR(VLOOKUP(F270,Lists!$C:$E,3,0),0)</f>
        <v>0</v>
      </c>
      <c r="I270" s="7">
        <f t="shared" si="29"/>
        <v>0</v>
      </c>
      <c r="J270" s="6">
        <v>0</v>
      </c>
      <c r="K270" s="33">
        <v>30</v>
      </c>
      <c r="L270" s="5">
        <f t="shared" si="31"/>
        <v>1</v>
      </c>
      <c r="M270" s="26">
        <f t="shared" si="32"/>
        <v>0</v>
      </c>
    </row>
    <row r="271" spans="1:13" x14ac:dyDescent="0.25">
      <c r="A271" s="16" t="str">
        <f t="shared" si="28"/>
        <v>February</v>
      </c>
      <c r="B271" s="31">
        <v>43864</v>
      </c>
      <c r="C271" s="32" t="s">
        <v>26</v>
      </c>
      <c r="D271" s="9" t="str">
        <f t="shared" si="30"/>
        <v>43864 - 2S</v>
      </c>
      <c r="E271" s="32" t="s">
        <v>9</v>
      </c>
      <c r="F271" s="2">
        <v>8000035</v>
      </c>
      <c r="G271" s="4" t="str">
        <f>IFERROR(VLOOKUP(F271,Lists!$C:$D,2,0), "N/A")</f>
        <v>TURTLES MILK CHOC ORIGINAL</v>
      </c>
      <c r="H271" s="26">
        <f>IFERROR(VLOOKUP(F271,Lists!$C:$F,4,0),0)</f>
        <v>1.91178</v>
      </c>
      <c r="I271" s="7">
        <f t="shared" ref="I271:I302" si="33">J271+K271</f>
        <v>9970</v>
      </c>
      <c r="J271" s="6">
        <v>9619</v>
      </c>
      <c r="K271" s="33">
        <v>351</v>
      </c>
      <c r="L271" s="5">
        <f t="shared" si="31"/>
        <v>3.6490279654849779E-2</v>
      </c>
      <c r="M271" s="26">
        <f t="shared" si="32"/>
        <v>671.03478000000007</v>
      </c>
    </row>
    <row r="272" spans="1:13" x14ac:dyDescent="0.25">
      <c r="A272" s="16" t="str">
        <f t="shared" si="28"/>
        <v>February</v>
      </c>
      <c r="B272" s="31">
        <v>43865</v>
      </c>
      <c r="C272" s="32" t="s">
        <v>26</v>
      </c>
      <c r="D272" s="9" t="str">
        <f t="shared" si="30"/>
        <v>43865 - 2S</v>
      </c>
      <c r="E272" s="32" t="s">
        <v>9</v>
      </c>
      <c r="F272" s="2">
        <v>8000035</v>
      </c>
      <c r="G272" s="4" t="str">
        <f>IFERROR(VLOOKUP(F272,Lists!$C:$D,2,0), "N/A")</f>
        <v>TURTLES MILK CHOC ORIGINAL</v>
      </c>
      <c r="H272" s="26">
        <f>IFERROR(VLOOKUP(F272,Lists!$C:$F,4,0),0)</f>
        <v>1.91178</v>
      </c>
      <c r="I272" s="7">
        <f t="shared" si="33"/>
        <v>9120</v>
      </c>
      <c r="J272" s="6">
        <v>8819</v>
      </c>
      <c r="K272" s="33">
        <v>301</v>
      </c>
      <c r="L272" s="5">
        <f t="shared" si="31"/>
        <v>3.4130853838303665E-2</v>
      </c>
      <c r="M272" s="26">
        <f t="shared" si="32"/>
        <v>575.44578000000001</v>
      </c>
    </row>
    <row r="273" spans="1:13" x14ac:dyDescent="0.25">
      <c r="A273" s="16" t="str">
        <f t="shared" si="28"/>
        <v>February</v>
      </c>
      <c r="B273" s="31">
        <v>43866</v>
      </c>
      <c r="C273" s="32" t="s">
        <v>26</v>
      </c>
      <c r="D273" s="9" t="str">
        <f t="shared" si="30"/>
        <v>43866 - 2S</v>
      </c>
      <c r="E273" s="32" t="s">
        <v>9</v>
      </c>
      <c r="F273" s="2">
        <v>8000035</v>
      </c>
      <c r="G273" s="4" t="str">
        <f>IFERROR(VLOOKUP(F273,Lists!$C:$D,2,0), "N/A")</f>
        <v>TURTLES MILK CHOC ORIGINAL</v>
      </c>
      <c r="H273" s="26">
        <f>IFERROR(VLOOKUP(F273,Lists!$C:$F,4,0),0)</f>
        <v>1.91178</v>
      </c>
      <c r="I273" s="7">
        <f t="shared" si="33"/>
        <v>6686</v>
      </c>
      <c r="J273" s="6">
        <v>6382</v>
      </c>
      <c r="K273" s="33">
        <v>304</v>
      </c>
      <c r="L273" s="5">
        <f t="shared" si="31"/>
        <v>4.7633970542149795E-2</v>
      </c>
      <c r="M273" s="26">
        <f t="shared" si="32"/>
        <v>581.18111999999996</v>
      </c>
    </row>
    <row r="274" spans="1:13" x14ac:dyDescent="0.25">
      <c r="A274" s="16" t="str">
        <f t="shared" si="28"/>
        <v>February</v>
      </c>
      <c r="B274" s="31">
        <v>43867</v>
      </c>
      <c r="C274" s="32" t="s">
        <v>26</v>
      </c>
      <c r="D274" s="9" t="str">
        <f t="shared" si="30"/>
        <v>43867 - 2S</v>
      </c>
      <c r="E274" s="32" t="s">
        <v>9</v>
      </c>
      <c r="F274" s="2">
        <v>8000035</v>
      </c>
      <c r="G274" s="4" t="str">
        <f>IFERROR(VLOOKUP(F274,Lists!$C:$D,2,0), "N/A")</f>
        <v>TURTLES MILK CHOC ORIGINAL</v>
      </c>
      <c r="H274" s="26">
        <f>IFERROR(VLOOKUP(F274,Lists!$C:$F,4,0),0)</f>
        <v>1.91178</v>
      </c>
      <c r="I274" s="7">
        <f t="shared" si="33"/>
        <v>5134</v>
      </c>
      <c r="J274" s="6">
        <v>4968</v>
      </c>
      <c r="K274" s="33">
        <v>166</v>
      </c>
      <c r="L274" s="5">
        <f t="shared" si="31"/>
        <v>3.3413848631239938E-2</v>
      </c>
      <c r="M274" s="26">
        <f t="shared" si="32"/>
        <v>317.35548</v>
      </c>
    </row>
    <row r="275" spans="1:13" x14ac:dyDescent="0.25">
      <c r="A275" s="16" t="str">
        <f t="shared" si="28"/>
        <v>February</v>
      </c>
      <c r="B275" s="31">
        <v>43871</v>
      </c>
      <c r="C275" s="32" t="s">
        <v>26</v>
      </c>
      <c r="D275" s="9" t="str">
        <f t="shared" si="30"/>
        <v>43871 - 2S</v>
      </c>
      <c r="E275" s="32" t="s">
        <v>9</v>
      </c>
      <c r="F275" s="2">
        <v>8000046</v>
      </c>
      <c r="G275" s="4" t="str">
        <f>IFERROR(VLOOKUP(F275,Lists!$C:$D,2,0), "N/A")</f>
        <v>TURTLES MC SEA SALT PECAN</v>
      </c>
      <c r="H275" s="26">
        <f>IFERROR(VLOOKUP(F275,Lists!$C:$F,4,0),0)</f>
        <v>1.9184100000000002</v>
      </c>
      <c r="I275" s="7">
        <f t="shared" si="33"/>
        <v>5873</v>
      </c>
      <c r="J275" s="6">
        <v>5702</v>
      </c>
      <c r="K275" s="33">
        <v>171</v>
      </c>
      <c r="L275" s="5">
        <f t="shared" si="31"/>
        <v>2.9989477376359173E-2</v>
      </c>
      <c r="M275" s="26">
        <f t="shared" si="32"/>
        <v>328.04811000000001</v>
      </c>
    </row>
    <row r="276" spans="1:13" x14ac:dyDescent="0.25">
      <c r="A276" s="16" t="str">
        <f t="shared" si="28"/>
        <v>February</v>
      </c>
      <c r="B276" s="31">
        <v>43872</v>
      </c>
      <c r="C276" s="32" t="s">
        <v>26</v>
      </c>
      <c r="D276" s="9" t="str">
        <f t="shared" si="30"/>
        <v>43872 - 2S</v>
      </c>
      <c r="E276" s="32" t="s">
        <v>9</v>
      </c>
      <c r="F276" s="2">
        <v>8000046</v>
      </c>
      <c r="G276" s="4" t="str">
        <f>IFERROR(VLOOKUP(F276,Lists!$C:$D,2,0), "N/A")</f>
        <v>TURTLES MC SEA SALT PECAN</v>
      </c>
      <c r="H276" s="26">
        <f>IFERROR(VLOOKUP(F276,Lists!$C:$F,4,0),0)</f>
        <v>1.9184100000000002</v>
      </c>
      <c r="I276" s="7">
        <f t="shared" si="33"/>
        <v>5877</v>
      </c>
      <c r="J276" s="6">
        <v>5702</v>
      </c>
      <c r="K276" s="33">
        <v>175</v>
      </c>
      <c r="L276" s="5">
        <f t="shared" si="31"/>
        <v>3.0690985619081023E-2</v>
      </c>
      <c r="M276" s="26">
        <f t="shared" si="32"/>
        <v>335.72175000000004</v>
      </c>
    </row>
    <row r="277" spans="1:13" x14ac:dyDescent="0.25">
      <c r="A277" s="16" t="str">
        <f t="shared" si="28"/>
        <v>February</v>
      </c>
      <c r="B277" s="31">
        <v>43873</v>
      </c>
      <c r="C277" s="32" t="s">
        <v>26</v>
      </c>
      <c r="D277" s="9" t="str">
        <f t="shared" si="30"/>
        <v>43873 - 2S</v>
      </c>
      <c r="E277" s="32" t="s">
        <v>9</v>
      </c>
      <c r="F277" s="2">
        <v>8000035</v>
      </c>
      <c r="G277" s="4" t="str">
        <f>IFERROR(VLOOKUP(F277,Lists!$C:$D,2,0), "N/A")</f>
        <v>TURTLES MILK CHOC ORIGINAL</v>
      </c>
      <c r="H277" s="26">
        <f>IFERROR(VLOOKUP(F277,Lists!$C:$F,4,0),0)</f>
        <v>1.91178</v>
      </c>
      <c r="I277" s="7">
        <f t="shared" si="33"/>
        <v>6115</v>
      </c>
      <c r="J277" s="6">
        <v>5972</v>
      </c>
      <c r="K277" s="33">
        <v>143</v>
      </c>
      <c r="L277" s="5">
        <f t="shared" si="31"/>
        <v>2.3945077026121902E-2</v>
      </c>
      <c r="M277" s="26">
        <f t="shared" si="32"/>
        <v>273.38454000000002</v>
      </c>
    </row>
    <row r="278" spans="1:13" x14ac:dyDescent="0.25">
      <c r="A278" s="16" t="str">
        <f t="shared" si="28"/>
        <v>February</v>
      </c>
      <c r="B278" s="31">
        <v>43874</v>
      </c>
      <c r="C278" s="32" t="s">
        <v>26</v>
      </c>
      <c r="D278" s="9" t="str">
        <f t="shared" si="30"/>
        <v>43874 - 2S</v>
      </c>
      <c r="E278" s="32" t="s">
        <v>9</v>
      </c>
      <c r="F278" s="2">
        <v>8000035</v>
      </c>
      <c r="G278" s="4" t="str">
        <f>IFERROR(VLOOKUP(F278,Lists!$C:$D,2,0), "N/A")</f>
        <v>TURTLES MILK CHOC ORIGINAL</v>
      </c>
      <c r="H278" s="26">
        <f>IFERROR(VLOOKUP(F278,Lists!$C:$F,4,0),0)</f>
        <v>1.91178</v>
      </c>
      <c r="I278" s="7">
        <f t="shared" si="33"/>
        <v>6828</v>
      </c>
      <c r="J278" s="6">
        <v>6588</v>
      </c>
      <c r="K278" s="33">
        <v>240</v>
      </c>
      <c r="L278" s="5">
        <f t="shared" si="31"/>
        <v>3.6429872495446269E-2</v>
      </c>
      <c r="M278" s="26">
        <f t="shared" si="32"/>
        <v>458.8272</v>
      </c>
    </row>
    <row r="279" spans="1:13" x14ac:dyDescent="0.25">
      <c r="A279" s="16" t="str">
        <f t="shared" si="28"/>
        <v>February</v>
      </c>
      <c r="B279" s="31">
        <v>43875</v>
      </c>
      <c r="C279" s="32" t="s">
        <v>26</v>
      </c>
      <c r="D279" s="9" t="str">
        <f t="shared" si="30"/>
        <v>43875 - 2S</v>
      </c>
      <c r="E279" s="32" t="s">
        <v>9</v>
      </c>
      <c r="F279" s="2">
        <v>8000035</v>
      </c>
      <c r="G279" s="4" t="str">
        <f>IFERROR(VLOOKUP(F279,Lists!$C:$D,2,0), "N/A")</f>
        <v>TURTLES MILK CHOC ORIGINAL</v>
      </c>
      <c r="H279" s="26">
        <f>IFERROR(VLOOKUP(F279,Lists!$C:$F,4,0),0)</f>
        <v>1.91178</v>
      </c>
      <c r="I279" s="7">
        <f t="shared" si="33"/>
        <v>39</v>
      </c>
      <c r="J279" s="6">
        <v>0</v>
      </c>
      <c r="K279" s="33">
        <v>39</v>
      </c>
      <c r="L279" s="5">
        <f t="shared" si="31"/>
        <v>1</v>
      </c>
      <c r="M279" s="26">
        <f t="shared" si="32"/>
        <v>74.559420000000003</v>
      </c>
    </row>
    <row r="280" spans="1:13" x14ac:dyDescent="0.25">
      <c r="A280" s="16" t="str">
        <f t="shared" si="28"/>
        <v>February</v>
      </c>
      <c r="B280" s="31">
        <v>43865</v>
      </c>
      <c r="C280" s="32" t="s">
        <v>26</v>
      </c>
      <c r="D280" s="9" t="str">
        <f t="shared" si="30"/>
        <v>43865 - 2S</v>
      </c>
      <c r="E280" s="32" t="s">
        <v>11</v>
      </c>
      <c r="F280" s="2">
        <v>8000034</v>
      </c>
      <c r="G280" s="4" t="str">
        <f>IFERROR(VLOOKUP(F280,Lists!$C:$D,2,0), "N/A")</f>
        <v>KS MILK CHOC MACADAMIA</v>
      </c>
      <c r="H280" s="26">
        <f>IFERROR(VLOOKUP(F280,Lists!$C:$F,4,0),0)</f>
        <v>3.8943099999999999</v>
      </c>
      <c r="I280" s="7">
        <f t="shared" si="33"/>
        <v>3320</v>
      </c>
      <c r="J280" s="6">
        <v>3200</v>
      </c>
      <c r="K280" s="33">
        <v>120</v>
      </c>
      <c r="L280" s="5">
        <f t="shared" si="31"/>
        <v>3.7499999999999999E-2</v>
      </c>
      <c r="M280" s="26">
        <f t="shared" si="32"/>
        <v>467.31720000000001</v>
      </c>
    </row>
    <row r="281" spans="1:13" x14ac:dyDescent="0.25">
      <c r="A281" s="16" t="str">
        <f t="shared" ref="A281:A312" si="34">TEXT(B281,"mmmm")</f>
        <v>February</v>
      </c>
      <c r="B281" s="31">
        <v>43866</v>
      </c>
      <c r="C281" s="32" t="s">
        <v>26</v>
      </c>
      <c r="D281" s="9" t="str">
        <f t="shared" si="30"/>
        <v>43866 - 2S</v>
      </c>
      <c r="E281" s="32" t="s">
        <v>11</v>
      </c>
      <c r="F281" s="2">
        <v>8000034</v>
      </c>
      <c r="G281" s="4" t="str">
        <f>IFERROR(VLOOKUP(F281,Lists!$C:$D,2,0), "N/A")</f>
        <v>KS MILK CHOC MACADAMIA</v>
      </c>
      <c r="H281" s="26">
        <f>IFERROR(VLOOKUP(F281,Lists!$C:$F,4,0),0)</f>
        <v>3.8943099999999999</v>
      </c>
      <c r="I281" s="7">
        <f t="shared" si="33"/>
        <v>7338</v>
      </c>
      <c r="J281" s="6">
        <v>7200</v>
      </c>
      <c r="K281" s="33">
        <v>138</v>
      </c>
      <c r="L281" s="5">
        <f t="shared" si="31"/>
        <v>1.9166666666666665E-2</v>
      </c>
      <c r="M281" s="26">
        <f t="shared" si="32"/>
        <v>537.41477999999995</v>
      </c>
    </row>
    <row r="282" spans="1:13" x14ac:dyDescent="0.25">
      <c r="A282" s="16" t="str">
        <f t="shared" si="34"/>
        <v>February</v>
      </c>
      <c r="B282" s="31">
        <v>43867</v>
      </c>
      <c r="C282" s="32" t="s">
        <v>26</v>
      </c>
      <c r="D282" s="9" t="str">
        <f t="shared" si="30"/>
        <v>43867 - 2S</v>
      </c>
      <c r="E282" s="32" t="s">
        <v>11</v>
      </c>
      <c r="F282" s="2">
        <v>8000034</v>
      </c>
      <c r="G282" s="4" t="str">
        <f>IFERROR(VLOOKUP(F282,Lists!$C:$D,2,0), "N/A")</f>
        <v>KS MILK CHOC MACADAMIA</v>
      </c>
      <c r="H282" s="26">
        <f>IFERROR(VLOOKUP(F282,Lists!$C:$F,4,0),0)</f>
        <v>3.8943099999999999</v>
      </c>
      <c r="I282" s="7">
        <f t="shared" si="33"/>
        <v>5830</v>
      </c>
      <c r="J282" s="6">
        <v>5600</v>
      </c>
      <c r="K282" s="33">
        <v>230</v>
      </c>
      <c r="L282" s="5">
        <f t="shared" si="31"/>
        <v>4.1071428571428571E-2</v>
      </c>
      <c r="M282" s="26">
        <f t="shared" si="32"/>
        <v>895.69129999999996</v>
      </c>
    </row>
    <row r="283" spans="1:13" x14ac:dyDescent="0.25">
      <c r="A283" s="16" t="str">
        <f t="shared" si="34"/>
        <v>February</v>
      </c>
      <c r="B283" s="31">
        <v>43872</v>
      </c>
      <c r="C283" s="32" t="s">
        <v>26</v>
      </c>
      <c r="D283" s="9" t="str">
        <f t="shared" si="30"/>
        <v>43872 - 2S</v>
      </c>
      <c r="E283" s="32" t="s">
        <v>11</v>
      </c>
      <c r="F283" s="2">
        <v>8000034</v>
      </c>
      <c r="G283" s="4" t="str">
        <f>IFERROR(VLOOKUP(F283,Lists!$C:$D,2,0), "N/A")</f>
        <v>KS MILK CHOC MACADAMIA</v>
      </c>
      <c r="H283" s="26">
        <f>IFERROR(VLOOKUP(F283,Lists!$C:$F,4,0),0)</f>
        <v>3.8943099999999999</v>
      </c>
      <c r="I283" s="7">
        <f t="shared" si="33"/>
        <v>5691</v>
      </c>
      <c r="J283" s="6">
        <v>5600</v>
      </c>
      <c r="K283" s="33">
        <v>91</v>
      </c>
      <c r="L283" s="5">
        <f t="shared" si="31"/>
        <v>1.6250000000000001E-2</v>
      </c>
      <c r="M283" s="26">
        <f t="shared" si="32"/>
        <v>354.38220999999999</v>
      </c>
    </row>
    <row r="284" spans="1:13" x14ac:dyDescent="0.25">
      <c r="A284" s="16" t="str">
        <f t="shared" si="34"/>
        <v>February</v>
      </c>
      <c r="B284" s="31">
        <v>43873</v>
      </c>
      <c r="C284" s="32" t="s">
        <v>26</v>
      </c>
      <c r="D284" s="9" t="str">
        <f t="shared" si="30"/>
        <v>43873 - 2S</v>
      </c>
      <c r="E284" s="32" t="s">
        <v>11</v>
      </c>
      <c r="F284" s="2">
        <v>8000034</v>
      </c>
      <c r="G284" s="4" t="str">
        <f>IFERROR(VLOOKUP(F284,Lists!$C:$D,2,0), "N/A")</f>
        <v>KS MILK CHOC MACADAMIA</v>
      </c>
      <c r="H284" s="26">
        <f>IFERROR(VLOOKUP(F284,Lists!$C:$F,4,0),0)</f>
        <v>3.8943099999999999</v>
      </c>
      <c r="I284" s="7">
        <f t="shared" si="33"/>
        <v>7282</v>
      </c>
      <c r="J284" s="6">
        <v>7200</v>
      </c>
      <c r="K284" s="33">
        <v>82</v>
      </c>
      <c r="L284" s="5">
        <f t="shared" si="31"/>
        <v>1.1388888888888889E-2</v>
      </c>
      <c r="M284" s="26">
        <f t="shared" si="32"/>
        <v>319.33341999999999</v>
      </c>
    </row>
    <row r="285" spans="1:13" x14ac:dyDescent="0.25">
      <c r="A285" s="16" t="str">
        <f t="shared" si="34"/>
        <v>February</v>
      </c>
      <c r="B285" s="31">
        <v>43862</v>
      </c>
      <c r="C285" s="32" t="s">
        <v>26</v>
      </c>
      <c r="D285" s="9" t="str">
        <f t="shared" si="30"/>
        <v>43862 - 2S</v>
      </c>
      <c r="E285" s="32" t="s">
        <v>12</v>
      </c>
      <c r="F285" s="2">
        <v>8000022</v>
      </c>
      <c r="G285" s="4" t="str">
        <f>IFERROR(VLOOKUP(F285,Lists!$C:$D,2,0), "N/A")</f>
        <v>WIP.BCP FLIPZ BIRTHDAY CAKE PRETZEL</v>
      </c>
      <c r="H285" s="26">
        <f>IFERROR(VLOOKUP(F285,Lists!$C:$F,4,0),0)</f>
        <v>1.5820799999999999</v>
      </c>
      <c r="I285" s="7">
        <f t="shared" si="33"/>
        <v>6002</v>
      </c>
      <c r="J285" s="6">
        <v>6000</v>
      </c>
      <c r="K285" s="33">
        <v>2</v>
      </c>
      <c r="L285" s="5">
        <f t="shared" si="31"/>
        <v>3.3333333333333332E-4</v>
      </c>
      <c r="M285" s="26">
        <f t="shared" si="32"/>
        <v>3.1641599999999999</v>
      </c>
    </row>
    <row r="286" spans="1:13" x14ac:dyDescent="0.25">
      <c r="A286" s="16" t="str">
        <f t="shared" si="34"/>
        <v>February</v>
      </c>
      <c r="B286" s="31">
        <v>43863</v>
      </c>
      <c r="C286" s="32" t="s">
        <v>26</v>
      </c>
      <c r="D286" s="9" t="str">
        <f t="shared" si="30"/>
        <v>43863 - 2S</v>
      </c>
      <c r="E286" s="32" t="s">
        <v>12</v>
      </c>
      <c r="F286" s="2">
        <v>8000022</v>
      </c>
      <c r="G286" s="4" t="str">
        <f>IFERROR(VLOOKUP(F286,Lists!$C:$D,2,0), "N/A")</f>
        <v>WIP.BCP FLIPZ BIRTHDAY CAKE PRETZEL</v>
      </c>
      <c r="H286" s="26">
        <f>IFERROR(VLOOKUP(F286,Lists!$C:$F,4,0),0)</f>
        <v>1.5820799999999999</v>
      </c>
      <c r="I286" s="7">
        <f t="shared" si="33"/>
        <v>7002</v>
      </c>
      <c r="J286" s="6">
        <v>7000</v>
      </c>
      <c r="K286" s="33">
        <v>2</v>
      </c>
      <c r="L286" s="5">
        <f t="shared" si="31"/>
        <v>2.8571428571428574E-4</v>
      </c>
      <c r="M286" s="26">
        <f t="shared" si="32"/>
        <v>3.1641599999999999</v>
      </c>
    </row>
    <row r="287" spans="1:13" x14ac:dyDescent="0.25">
      <c r="A287" s="16" t="str">
        <f t="shared" si="34"/>
        <v>February</v>
      </c>
      <c r="B287" s="31">
        <v>43864</v>
      </c>
      <c r="C287" s="32" t="s">
        <v>26</v>
      </c>
      <c r="D287" s="9" t="str">
        <f t="shared" si="30"/>
        <v>43864 - 2S</v>
      </c>
      <c r="E287" s="32" t="s">
        <v>12</v>
      </c>
      <c r="F287" s="2">
        <v>8000022</v>
      </c>
      <c r="G287" s="4" t="str">
        <f>IFERROR(VLOOKUP(F287,Lists!$C:$D,2,0), "N/A")</f>
        <v>WIP.BCP FLIPZ BIRTHDAY CAKE PRETZEL</v>
      </c>
      <c r="H287" s="26">
        <f>IFERROR(VLOOKUP(F287,Lists!$C:$F,4,0),0)</f>
        <v>1.5820799999999999</v>
      </c>
      <c r="I287" s="7">
        <f t="shared" si="33"/>
        <v>3327</v>
      </c>
      <c r="J287" s="6">
        <v>3325</v>
      </c>
      <c r="K287" s="33">
        <v>2</v>
      </c>
      <c r="L287" s="5">
        <f t="shared" si="31"/>
        <v>6.0150375939849621E-4</v>
      </c>
      <c r="M287" s="26">
        <f t="shared" si="32"/>
        <v>3.1641599999999999</v>
      </c>
    </row>
    <row r="288" spans="1:13" x14ac:dyDescent="0.25">
      <c r="A288" s="16" t="str">
        <f t="shared" si="34"/>
        <v>February</v>
      </c>
      <c r="B288" s="31">
        <v>43866</v>
      </c>
      <c r="C288" s="32" t="s">
        <v>26</v>
      </c>
      <c r="D288" s="9" t="str">
        <f t="shared" si="30"/>
        <v>43866 - 2S</v>
      </c>
      <c r="E288" s="32" t="s">
        <v>12</v>
      </c>
      <c r="F288" s="2">
        <v>8000055</v>
      </c>
      <c r="G288" s="4" t="str">
        <f>IFERROR(VLOOKUP(F288,Lists!$C:$D,2,0), "N/A")</f>
        <v>916.BF FLIPZ 25 LB BULK MILK CHOC</v>
      </c>
      <c r="H288" s="26">
        <f>IFERROR(VLOOKUP(F288,Lists!$C:$F,4,0),0)</f>
        <v>1.9508160000000001</v>
      </c>
      <c r="I288" s="7">
        <f t="shared" si="33"/>
        <v>2000</v>
      </c>
      <c r="J288" s="6">
        <v>2000</v>
      </c>
      <c r="K288" s="33">
        <v>0</v>
      </c>
      <c r="L288" s="5">
        <f t="shared" si="31"/>
        <v>0</v>
      </c>
      <c r="M288" s="26">
        <f t="shared" si="32"/>
        <v>0</v>
      </c>
    </row>
    <row r="289" spans="1:13" x14ac:dyDescent="0.25">
      <c r="A289" s="16" t="str">
        <f t="shared" si="34"/>
        <v>February</v>
      </c>
      <c r="B289" s="31">
        <v>43867</v>
      </c>
      <c r="C289" s="32" t="s">
        <v>26</v>
      </c>
      <c r="D289" s="9" t="str">
        <f t="shared" si="30"/>
        <v>43867 - 2S</v>
      </c>
      <c r="E289" s="32" t="s">
        <v>12</v>
      </c>
      <c r="F289" s="2">
        <v>8000055</v>
      </c>
      <c r="G289" s="4" t="str">
        <f>IFERROR(VLOOKUP(F289,Lists!$C:$D,2,0), "N/A")</f>
        <v>916.BF FLIPZ 25 LB BULK MILK CHOC</v>
      </c>
      <c r="H289" s="26">
        <f>IFERROR(VLOOKUP(F289,Lists!$C:$F,4,0),0)</f>
        <v>1.9508160000000001</v>
      </c>
      <c r="I289" s="7">
        <f t="shared" si="33"/>
        <v>9013</v>
      </c>
      <c r="J289" s="6">
        <v>9000</v>
      </c>
      <c r="K289" s="33">
        <v>13</v>
      </c>
      <c r="L289" s="5">
        <f t="shared" si="31"/>
        <v>1.4444444444444444E-3</v>
      </c>
      <c r="M289" s="26">
        <f t="shared" si="32"/>
        <v>25.360608000000003</v>
      </c>
    </row>
    <row r="290" spans="1:13" x14ac:dyDescent="0.25">
      <c r="A290" s="16" t="str">
        <f t="shared" si="34"/>
        <v>February</v>
      </c>
      <c r="B290" s="31">
        <v>43868</v>
      </c>
      <c r="C290" s="32" t="s">
        <v>26</v>
      </c>
      <c r="D290" s="9" t="str">
        <f t="shared" si="30"/>
        <v>43868 - 2S</v>
      </c>
      <c r="E290" s="32" t="s">
        <v>12</v>
      </c>
      <c r="F290" s="2">
        <v>8000055</v>
      </c>
      <c r="G290" s="4" t="str">
        <f>IFERROR(VLOOKUP(F290,Lists!$C:$D,2,0), "N/A")</f>
        <v>916.BF FLIPZ 25 LB BULK MILK CHOC</v>
      </c>
      <c r="H290" s="26">
        <f>IFERROR(VLOOKUP(F290,Lists!$C:$F,4,0),0)</f>
        <v>1.9508160000000001</v>
      </c>
      <c r="I290" s="7">
        <f t="shared" si="33"/>
        <v>13016</v>
      </c>
      <c r="J290" s="6">
        <v>13000</v>
      </c>
      <c r="K290" s="33">
        <v>16</v>
      </c>
      <c r="L290" s="5">
        <f t="shared" si="31"/>
        <v>1.2307692307692308E-3</v>
      </c>
      <c r="M290" s="26">
        <f t="shared" si="32"/>
        <v>31.213056000000002</v>
      </c>
    </row>
    <row r="291" spans="1:13" x14ac:dyDescent="0.25">
      <c r="A291" s="16" t="str">
        <f t="shared" si="34"/>
        <v>February</v>
      </c>
      <c r="B291" s="31">
        <v>43869</v>
      </c>
      <c r="C291" s="32" t="s">
        <v>26</v>
      </c>
      <c r="D291" s="9" t="str">
        <f t="shared" si="30"/>
        <v>43869 - 2S</v>
      </c>
      <c r="E291" s="32" t="s">
        <v>12</v>
      </c>
      <c r="F291" s="2">
        <v>8000055</v>
      </c>
      <c r="G291" s="4" t="str">
        <f>IFERROR(VLOOKUP(F291,Lists!$C:$D,2,0), "N/A")</f>
        <v>916.BF FLIPZ 25 LB BULK MILK CHOC</v>
      </c>
      <c r="H291" s="26">
        <f>IFERROR(VLOOKUP(F291,Lists!$C:$F,4,0),0)</f>
        <v>1.9508160000000001</v>
      </c>
      <c r="I291" s="7">
        <f t="shared" si="33"/>
        <v>10000</v>
      </c>
      <c r="J291" s="6">
        <v>10000</v>
      </c>
      <c r="K291" s="33">
        <v>0</v>
      </c>
      <c r="L291" s="5">
        <f t="shared" si="31"/>
        <v>0</v>
      </c>
      <c r="M291" s="26">
        <f t="shared" si="32"/>
        <v>0</v>
      </c>
    </row>
    <row r="292" spans="1:13" x14ac:dyDescent="0.25">
      <c r="A292" s="16" t="str">
        <f t="shared" si="34"/>
        <v>February</v>
      </c>
      <c r="B292" s="31">
        <v>43870</v>
      </c>
      <c r="C292" s="32" t="s">
        <v>26</v>
      </c>
      <c r="D292" s="9" t="str">
        <f t="shared" si="30"/>
        <v>43870 - 2S</v>
      </c>
      <c r="E292" s="32" t="s">
        <v>12</v>
      </c>
      <c r="F292" s="2">
        <v>8000055</v>
      </c>
      <c r="G292" s="4" t="str">
        <f>IFERROR(VLOOKUP(F292,Lists!$C:$D,2,0), "N/A")</f>
        <v>916.BF FLIPZ 25 LB BULK MILK CHOC</v>
      </c>
      <c r="H292" s="26">
        <f>IFERROR(VLOOKUP(F292,Lists!$C:$F,4,0),0)</f>
        <v>1.9508160000000001</v>
      </c>
      <c r="I292" s="7">
        <f t="shared" si="33"/>
        <v>9007</v>
      </c>
      <c r="J292" s="6">
        <v>9000</v>
      </c>
      <c r="K292" s="33">
        <v>7</v>
      </c>
      <c r="L292" s="5">
        <f t="shared" si="31"/>
        <v>7.7777777777777773E-4</v>
      </c>
      <c r="M292" s="26">
        <f t="shared" si="32"/>
        <v>13.655712000000001</v>
      </c>
    </row>
    <row r="293" spans="1:13" x14ac:dyDescent="0.25">
      <c r="A293" s="16" t="str">
        <f t="shared" si="34"/>
        <v>February</v>
      </c>
      <c r="B293" s="31">
        <v>43871</v>
      </c>
      <c r="C293" s="32" t="s">
        <v>26</v>
      </c>
      <c r="D293" s="9" t="str">
        <f t="shared" si="30"/>
        <v>43871 - 2S</v>
      </c>
      <c r="E293" s="32" t="s">
        <v>12</v>
      </c>
      <c r="F293" s="2">
        <v>8000055</v>
      </c>
      <c r="G293" s="4" t="str">
        <f>IFERROR(VLOOKUP(F293,Lists!$C:$D,2,0), "N/A")</f>
        <v>916.BF FLIPZ 25 LB BULK MILK CHOC</v>
      </c>
      <c r="H293" s="26">
        <f>IFERROR(VLOOKUP(F293,Lists!$C:$F,4,0),0)</f>
        <v>1.9508160000000001</v>
      </c>
      <c r="I293" s="7">
        <f t="shared" si="33"/>
        <v>9002</v>
      </c>
      <c r="J293" s="6">
        <v>9000</v>
      </c>
      <c r="K293" s="33">
        <v>2</v>
      </c>
      <c r="L293" s="5">
        <f t="shared" si="31"/>
        <v>2.2222222222222223E-4</v>
      </c>
      <c r="M293" s="26">
        <f t="shared" si="32"/>
        <v>3.9016320000000002</v>
      </c>
    </row>
    <row r="294" spans="1:13" x14ac:dyDescent="0.25">
      <c r="A294" s="16" t="str">
        <f t="shared" si="34"/>
        <v>February</v>
      </c>
      <c r="B294" s="31">
        <v>43872</v>
      </c>
      <c r="C294" s="32" t="s">
        <v>26</v>
      </c>
      <c r="D294" s="9" t="str">
        <f t="shared" si="30"/>
        <v>43872 - 2S</v>
      </c>
      <c r="E294" s="32" t="s">
        <v>12</v>
      </c>
      <c r="F294" s="2">
        <v>8000055</v>
      </c>
      <c r="G294" s="4" t="str">
        <f>IFERROR(VLOOKUP(F294,Lists!$C:$D,2,0), "N/A")</f>
        <v>916.BF FLIPZ 25 LB BULK MILK CHOC</v>
      </c>
      <c r="H294" s="26">
        <f>IFERROR(VLOOKUP(F294,Lists!$C:$F,4,0),0)</f>
        <v>1.9508160000000001</v>
      </c>
      <c r="I294" s="7">
        <f t="shared" si="33"/>
        <v>9003</v>
      </c>
      <c r="J294" s="6">
        <v>9000</v>
      </c>
      <c r="K294" s="33">
        <v>3</v>
      </c>
      <c r="L294" s="5">
        <f t="shared" si="31"/>
        <v>3.3333333333333332E-4</v>
      </c>
      <c r="M294" s="26">
        <f t="shared" si="32"/>
        <v>5.8524480000000008</v>
      </c>
    </row>
    <row r="295" spans="1:13" x14ac:dyDescent="0.25">
      <c r="A295" s="16" t="str">
        <f t="shared" si="34"/>
        <v>February</v>
      </c>
      <c r="B295" s="31">
        <v>43873</v>
      </c>
      <c r="C295" s="32" t="s">
        <v>26</v>
      </c>
      <c r="D295" s="9" t="str">
        <f t="shared" si="30"/>
        <v>43873 - 2S</v>
      </c>
      <c r="E295" s="32" t="s">
        <v>12</v>
      </c>
      <c r="F295" s="2">
        <v>8000055</v>
      </c>
      <c r="G295" s="4" t="str">
        <f>IFERROR(VLOOKUP(F295,Lists!$C:$D,2,0), "N/A")</f>
        <v>916.BF FLIPZ 25 LB BULK MILK CHOC</v>
      </c>
      <c r="H295" s="26">
        <f>IFERROR(VLOOKUP(F295,Lists!$C:$F,4,0),0)</f>
        <v>1.9508160000000001</v>
      </c>
      <c r="I295" s="7">
        <f t="shared" si="33"/>
        <v>11003</v>
      </c>
      <c r="J295" s="6">
        <v>11000</v>
      </c>
      <c r="K295" s="33">
        <v>3</v>
      </c>
      <c r="L295" s="5">
        <f t="shared" si="31"/>
        <v>2.7272727272727274E-4</v>
      </c>
      <c r="M295" s="26">
        <f t="shared" si="32"/>
        <v>5.8524480000000008</v>
      </c>
    </row>
    <row r="296" spans="1:13" x14ac:dyDescent="0.25">
      <c r="A296" s="16" t="str">
        <f t="shared" si="34"/>
        <v>February</v>
      </c>
      <c r="B296" s="31">
        <v>43874</v>
      </c>
      <c r="C296" s="32" t="s">
        <v>26</v>
      </c>
      <c r="D296" s="9" t="str">
        <f t="shared" si="30"/>
        <v>43874 - 2S</v>
      </c>
      <c r="E296" s="32" t="s">
        <v>12</v>
      </c>
      <c r="F296" s="2">
        <v>8000055</v>
      </c>
      <c r="G296" s="4" t="str">
        <f>IFERROR(VLOOKUP(F296,Lists!$C:$D,2,0), "N/A")</f>
        <v>916.BF FLIPZ 25 LB BULK MILK CHOC</v>
      </c>
      <c r="H296" s="26">
        <f>IFERROR(VLOOKUP(F296,Lists!$C:$F,4,0),0)</f>
        <v>1.9508160000000001</v>
      </c>
      <c r="I296" s="7">
        <f t="shared" si="33"/>
        <v>11013</v>
      </c>
      <c r="J296" s="6">
        <v>11000</v>
      </c>
      <c r="K296" s="33">
        <v>13</v>
      </c>
      <c r="L296" s="5">
        <f t="shared" si="31"/>
        <v>1.1818181818181819E-3</v>
      </c>
      <c r="M296" s="26">
        <f t="shared" si="32"/>
        <v>25.360608000000003</v>
      </c>
    </row>
    <row r="297" spans="1:13" x14ac:dyDescent="0.25">
      <c r="A297" s="16" t="str">
        <f t="shared" si="34"/>
        <v>February</v>
      </c>
      <c r="B297" s="31">
        <v>43875</v>
      </c>
      <c r="C297" s="32" t="s">
        <v>26</v>
      </c>
      <c r="D297" s="9" t="str">
        <f t="shared" si="30"/>
        <v>43875 - 2S</v>
      </c>
      <c r="E297" s="32" t="s">
        <v>12</v>
      </c>
      <c r="F297" s="2">
        <v>8000055</v>
      </c>
      <c r="G297" s="4" t="str">
        <f>IFERROR(VLOOKUP(F297,Lists!$C:$D,2,0), "N/A")</f>
        <v>916.BF FLIPZ 25 LB BULK MILK CHOC</v>
      </c>
      <c r="H297" s="26">
        <f>IFERROR(VLOOKUP(F297,Lists!$C:$F,4,0),0)</f>
        <v>1.9508160000000001</v>
      </c>
      <c r="I297" s="7">
        <f t="shared" si="33"/>
        <v>3032</v>
      </c>
      <c r="J297" s="6">
        <v>3000</v>
      </c>
      <c r="K297" s="33">
        <v>32</v>
      </c>
      <c r="L297" s="5">
        <f t="shared" si="31"/>
        <v>1.0666666666666666E-2</v>
      </c>
      <c r="M297" s="26">
        <f t="shared" si="32"/>
        <v>62.426112000000003</v>
      </c>
    </row>
    <row r="298" spans="1:13" x14ac:dyDescent="0.25">
      <c r="A298" s="16" t="str">
        <f t="shared" si="34"/>
        <v>February</v>
      </c>
      <c r="B298" s="31">
        <v>43876</v>
      </c>
      <c r="C298" s="32" t="s">
        <v>26</v>
      </c>
      <c r="D298" s="9" t="str">
        <f t="shared" si="30"/>
        <v>43876 - 2S</v>
      </c>
      <c r="E298" s="32" t="s">
        <v>12</v>
      </c>
      <c r="F298" s="2">
        <v>8000055</v>
      </c>
      <c r="G298" s="4" t="str">
        <f>IFERROR(VLOOKUP(F298,Lists!$C:$D,2,0), "N/A")</f>
        <v>916.BF FLIPZ 25 LB BULK MILK CHOC</v>
      </c>
      <c r="H298" s="26">
        <f>IFERROR(VLOOKUP(F298,Lists!$C:$F,4,0),0)</f>
        <v>1.9508160000000001</v>
      </c>
      <c r="I298" s="7">
        <f t="shared" si="33"/>
        <v>9017</v>
      </c>
      <c r="J298" s="6">
        <v>9000</v>
      </c>
      <c r="K298" s="33">
        <v>17</v>
      </c>
      <c r="L298" s="5">
        <f t="shared" si="31"/>
        <v>1.888888888888889E-3</v>
      </c>
      <c r="M298" s="26">
        <f t="shared" si="32"/>
        <v>33.163872000000005</v>
      </c>
    </row>
    <row r="299" spans="1:13" x14ac:dyDescent="0.25">
      <c r="A299" s="16" t="str">
        <f t="shared" si="34"/>
        <v>February</v>
      </c>
      <c r="B299" s="31">
        <v>43877</v>
      </c>
      <c r="C299" s="32" t="s">
        <v>26</v>
      </c>
      <c r="D299" s="9" t="str">
        <f t="shared" si="30"/>
        <v>43877 - 2S</v>
      </c>
      <c r="E299" s="32" t="s">
        <v>12</v>
      </c>
      <c r="F299" s="2">
        <v>8000055</v>
      </c>
      <c r="G299" s="4" t="str">
        <f>IFERROR(VLOOKUP(F299,Lists!$C:$D,2,0), "N/A")</f>
        <v>916.BF FLIPZ 25 LB BULK MILK CHOC</v>
      </c>
      <c r="H299" s="26">
        <f>IFERROR(VLOOKUP(F299,Lists!$C:$F,4,0),0)</f>
        <v>1.9508160000000001</v>
      </c>
      <c r="I299" s="7">
        <f t="shared" si="33"/>
        <v>10054</v>
      </c>
      <c r="J299" s="6">
        <v>10000</v>
      </c>
      <c r="K299" s="33">
        <v>54</v>
      </c>
      <c r="L299" s="5">
        <f t="shared" si="31"/>
        <v>5.4000000000000003E-3</v>
      </c>
      <c r="M299" s="26">
        <f t="shared" si="32"/>
        <v>105.344064</v>
      </c>
    </row>
    <row r="300" spans="1:13" x14ac:dyDescent="0.25">
      <c r="A300" s="16" t="str">
        <f t="shared" si="34"/>
        <v>February</v>
      </c>
      <c r="B300" s="31">
        <v>43864</v>
      </c>
      <c r="C300" s="32" t="s">
        <v>26</v>
      </c>
      <c r="D300" s="9" t="str">
        <f t="shared" si="30"/>
        <v>43864 - 2S</v>
      </c>
      <c r="E300" s="32" t="s">
        <v>15</v>
      </c>
      <c r="G300" s="4" t="str">
        <f>IFERROR(VLOOKUP(F300,Lists!$C:$D,2,0), "N/A")</f>
        <v>N/A</v>
      </c>
      <c r="H300" s="26">
        <f>IFERROR(VLOOKUP(F300,Lists!$C:$F,4,0),0)</f>
        <v>0</v>
      </c>
      <c r="I300" s="7">
        <f t="shared" si="33"/>
        <v>20</v>
      </c>
      <c r="J300" s="6">
        <v>0</v>
      </c>
      <c r="K300" s="33">
        <v>20</v>
      </c>
      <c r="L300" s="5">
        <f t="shared" si="31"/>
        <v>1</v>
      </c>
      <c r="M300" s="26">
        <f t="shared" si="32"/>
        <v>0</v>
      </c>
    </row>
    <row r="301" spans="1:13" x14ac:dyDescent="0.25">
      <c r="A301" s="16" t="str">
        <f t="shared" si="34"/>
        <v>February</v>
      </c>
      <c r="B301" s="31">
        <v>43866</v>
      </c>
      <c r="C301" s="32" t="s">
        <v>26</v>
      </c>
      <c r="D301" s="9" t="str">
        <f t="shared" si="30"/>
        <v>43866 - 2S</v>
      </c>
      <c r="E301" s="32" t="s">
        <v>15</v>
      </c>
      <c r="G301" s="4" t="str">
        <f>IFERROR(VLOOKUP(F301,Lists!$C:$D,2,0), "N/A")</f>
        <v>N/A</v>
      </c>
      <c r="H301" s="26">
        <f>IFERROR(VLOOKUP(F301,Lists!$C:$F,4,0),0)</f>
        <v>0</v>
      </c>
      <c r="I301" s="7">
        <f t="shared" si="33"/>
        <v>10</v>
      </c>
      <c r="J301" s="6">
        <v>0</v>
      </c>
      <c r="K301" s="33">
        <v>10</v>
      </c>
      <c r="L301" s="5">
        <f t="shared" si="31"/>
        <v>1</v>
      </c>
      <c r="M301" s="26">
        <f t="shared" si="32"/>
        <v>0</v>
      </c>
    </row>
    <row r="302" spans="1:13" x14ac:dyDescent="0.25">
      <c r="A302" s="16" t="str">
        <f t="shared" si="34"/>
        <v>February</v>
      </c>
      <c r="B302" s="31">
        <v>43867</v>
      </c>
      <c r="C302" s="32" t="s">
        <v>26</v>
      </c>
      <c r="D302" s="9" t="str">
        <f t="shared" si="30"/>
        <v>43867 - 2S</v>
      </c>
      <c r="E302" s="32" t="s">
        <v>15</v>
      </c>
      <c r="G302" s="4" t="str">
        <f>IFERROR(VLOOKUP(F302,Lists!$C:$D,2,0), "N/A")</f>
        <v>N/A</v>
      </c>
      <c r="H302" s="26">
        <f>IFERROR(VLOOKUP(F302,Lists!$C:$F,4,0),0)</f>
        <v>0</v>
      </c>
      <c r="I302" s="7">
        <f t="shared" si="33"/>
        <v>30</v>
      </c>
      <c r="J302" s="6">
        <v>0</v>
      </c>
      <c r="K302" s="33">
        <v>30</v>
      </c>
      <c r="L302" s="5">
        <f t="shared" si="31"/>
        <v>1</v>
      </c>
      <c r="M302" s="26">
        <f t="shared" si="32"/>
        <v>0</v>
      </c>
    </row>
    <row r="303" spans="1:13" x14ac:dyDescent="0.25">
      <c r="A303" s="16" t="str">
        <f t="shared" si="34"/>
        <v>February</v>
      </c>
      <c r="B303" s="31">
        <v>43871</v>
      </c>
      <c r="C303" s="32" t="s">
        <v>26</v>
      </c>
      <c r="D303" s="9" t="str">
        <f t="shared" si="30"/>
        <v>43871 - 2S</v>
      </c>
      <c r="E303" s="32" t="s">
        <v>15</v>
      </c>
      <c r="G303" s="4" t="str">
        <f>IFERROR(VLOOKUP(F303,Lists!$C:$D,2,0), "N/A")</f>
        <v>N/A</v>
      </c>
      <c r="H303" s="26">
        <f>IFERROR(VLOOKUP(F303,Lists!$C:$F,4,0),0)</f>
        <v>0</v>
      </c>
      <c r="I303" s="7">
        <f t="shared" ref="I303:I334" si="35">J303+K303</f>
        <v>30</v>
      </c>
      <c r="J303" s="6">
        <v>0</v>
      </c>
      <c r="K303" s="33">
        <v>30</v>
      </c>
      <c r="L303" s="5">
        <f t="shared" si="31"/>
        <v>1</v>
      </c>
      <c r="M303" s="26">
        <f t="shared" si="32"/>
        <v>0</v>
      </c>
    </row>
    <row r="304" spans="1:13" x14ac:dyDescent="0.25">
      <c r="A304" s="16" t="str">
        <f t="shared" si="34"/>
        <v>February</v>
      </c>
      <c r="B304" s="31">
        <v>43873</v>
      </c>
      <c r="C304" s="32" t="s">
        <v>26</v>
      </c>
      <c r="D304" s="9" t="str">
        <f t="shared" si="30"/>
        <v>43873 - 2S</v>
      </c>
      <c r="E304" s="32" t="s">
        <v>15</v>
      </c>
      <c r="G304" s="4" t="str">
        <f>IFERROR(VLOOKUP(F304,Lists!$C:$D,2,0), "N/A")</f>
        <v>N/A</v>
      </c>
      <c r="H304" s="26">
        <f>IFERROR(VLOOKUP(F304,Lists!$C:$F,4,0),0)</f>
        <v>0</v>
      </c>
      <c r="I304" s="7">
        <f t="shared" si="35"/>
        <v>60</v>
      </c>
      <c r="J304" s="6">
        <v>0</v>
      </c>
      <c r="K304" s="33">
        <v>60</v>
      </c>
      <c r="L304" s="5">
        <f t="shared" si="31"/>
        <v>1</v>
      </c>
      <c r="M304" s="26">
        <f t="shared" si="32"/>
        <v>0</v>
      </c>
    </row>
    <row r="305" spans="1:13" x14ac:dyDescent="0.25">
      <c r="A305" s="16" t="str">
        <f t="shared" si="34"/>
        <v>February</v>
      </c>
      <c r="B305" s="31">
        <v>43874</v>
      </c>
      <c r="C305" s="32" t="s">
        <v>26</v>
      </c>
      <c r="D305" s="9" t="str">
        <f t="shared" si="30"/>
        <v>43874 - 2S</v>
      </c>
      <c r="E305" s="32" t="s">
        <v>15</v>
      </c>
      <c r="G305" s="4" t="str">
        <f>IFERROR(VLOOKUP(F305,Lists!$C:$D,2,0), "N/A")</f>
        <v>N/A</v>
      </c>
      <c r="H305" s="26">
        <f>IFERROR(VLOOKUP(F305,Lists!$C:$F,4,0),0)</f>
        <v>0</v>
      </c>
      <c r="I305" s="7">
        <f t="shared" si="35"/>
        <v>30</v>
      </c>
      <c r="J305" s="6">
        <v>0</v>
      </c>
      <c r="K305" s="33">
        <v>30</v>
      </c>
      <c r="L305" s="5">
        <f t="shared" si="31"/>
        <v>1</v>
      </c>
      <c r="M305" s="26">
        <f t="shared" si="32"/>
        <v>0</v>
      </c>
    </row>
    <row r="306" spans="1:13" x14ac:dyDescent="0.25">
      <c r="A306" s="16" t="str">
        <f t="shared" si="34"/>
        <v>February</v>
      </c>
      <c r="B306" s="31">
        <v>43879</v>
      </c>
      <c r="C306" s="32" t="s">
        <v>26</v>
      </c>
      <c r="D306" s="9" t="str">
        <f t="shared" si="30"/>
        <v>43879 - 2S</v>
      </c>
      <c r="E306" s="32" t="s">
        <v>9</v>
      </c>
      <c r="F306" s="2">
        <v>8000035</v>
      </c>
      <c r="G306" s="4" t="str">
        <f>IFERROR(VLOOKUP(F306,Lists!$C:$D,2,0), "N/A")</f>
        <v>TURTLES MILK CHOC ORIGINAL</v>
      </c>
      <c r="H306" s="26">
        <f>IFERROR(VLOOKUP(F306,Lists!$C:$F,4,0),0)</f>
        <v>1.91178</v>
      </c>
      <c r="I306" s="7">
        <f t="shared" si="35"/>
        <v>11192</v>
      </c>
      <c r="J306" s="6">
        <v>10821</v>
      </c>
      <c r="K306" s="33">
        <v>371</v>
      </c>
      <c r="L306" s="5">
        <f t="shared" si="31"/>
        <v>3.4285186211995194E-2</v>
      </c>
      <c r="M306" s="26">
        <f t="shared" si="32"/>
        <v>709.27038000000005</v>
      </c>
    </row>
    <row r="307" spans="1:13" x14ac:dyDescent="0.25">
      <c r="A307" s="16" t="str">
        <f t="shared" si="34"/>
        <v>February</v>
      </c>
      <c r="B307" s="31">
        <v>43879</v>
      </c>
      <c r="C307" s="32" t="s">
        <v>26</v>
      </c>
      <c r="D307" s="9" t="str">
        <f t="shared" si="30"/>
        <v>43879 - 2S</v>
      </c>
      <c r="E307" s="32" t="s">
        <v>12</v>
      </c>
      <c r="F307" s="2">
        <v>8000031</v>
      </c>
      <c r="G307" s="4" t="str">
        <f>IFERROR(VLOOKUP(F307,Lists!$C:$D,2,0), "N/A")</f>
        <v>WIP.DCP FLIPZ  DARK CHOC PRETZEL</v>
      </c>
      <c r="H307" s="26">
        <f>IFERROR(VLOOKUP(F307,Lists!$C:$F,4,0),0)</f>
        <v>1.4516300000000002</v>
      </c>
      <c r="I307" s="7">
        <f t="shared" si="35"/>
        <v>10012</v>
      </c>
      <c r="J307" s="6">
        <v>10000</v>
      </c>
      <c r="K307" s="33">
        <v>12</v>
      </c>
      <c r="L307" s="5">
        <f t="shared" si="31"/>
        <v>1.1999999999999999E-3</v>
      </c>
      <c r="M307" s="26">
        <f t="shared" si="32"/>
        <v>17.419560000000004</v>
      </c>
    </row>
    <row r="308" spans="1:13" x14ac:dyDescent="0.25">
      <c r="A308" s="16" t="str">
        <f t="shared" si="34"/>
        <v>February</v>
      </c>
      <c r="B308" s="31">
        <v>43879</v>
      </c>
      <c r="C308" s="32" t="s">
        <v>26</v>
      </c>
      <c r="D308" s="9" t="str">
        <f t="shared" si="30"/>
        <v>43879 - 2S</v>
      </c>
      <c r="E308" s="32" t="s">
        <v>13</v>
      </c>
      <c r="F308" s="2">
        <v>8000040</v>
      </c>
      <c r="G308" s="4" t="str">
        <f>IFERROR(VLOOKUP(F308,Lists!$C:$D,2,0), "N/A")</f>
        <v>WIP.MSM FLIPZ MILK CHOC SUPER MINI</v>
      </c>
      <c r="H308" s="26">
        <f>IFERROR(VLOOKUP(F308,Lists!$C:$F,4,0),0)</f>
        <v>1.21353</v>
      </c>
      <c r="I308" s="7">
        <f t="shared" si="35"/>
        <v>1004</v>
      </c>
      <c r="J308" s="6">
        <v>1000</v>
      </c>
      <c r="K308" s="33">
        <v>4</v>
      </c>
      <c r="L308" s="5">
        <f t="shared" si="31"/>
        <v>4.0000000000000001E-3</v>
      </c>
      <c r="M308" s="26">
        <f t="shared" si="32"/>
        <v>4.85412</v>
      </c>
    </row>
    <row r="309" spans="1:13" x14ac:dyDescent="0.25">
      <c r="A309" s="16" t="str">
        <f t="shared" si="34"/>
        <v>February</v>
      </c>
      <c r="B309" s="31">
        <v>43879</v>
      </c>
      <c r="C309" s="32" t="s">
        <v>26</v>
      </c>
      <c r="D309" s="9" t="str">
        <f t="shared" si="30"/>
        <v>43879 - 2S</v>
      </c>
      <c r="E309" s="32" t="s">
        <v>15</v>
      </c>
      <c r="G309" s="4" t="str">
        <f>IFERROR(VLOOKUP(F309,Lists!$C:$D,2,0), "N/A")</f>
        <v>N/A</v>
      </c>
      <c r="H309" s="26">
        <f>IFERROR(VLOOKUP(F309,Lists!$C:$F,4,0),0)</f>
        <v>0</v>
      </c>
      <c r="I309" s="7">
        <f t="shared" si="35"/>
        <v>74</v>
      </c>
      <c r="K309" s="33">
        <v>74</v>
      </c>
      <c r="L309" s="5">
        <f t="shared" si="31"/>
        <v>1</v>
      </c>
      <c r="M309" s="26">
        <f t="shared" si="32"/>
        <v>0</v>
      </c>
    </row>
    <row r="310" spans="1:13" x14ac:dyDescent="0.25">
      <c r="A310" s="16" t="str">
        <f t="shared" si="34"/>
        <v>February</v>
      </c>
      <c r="B310" s="31">
        <v>43880</v>
      </c>
      <c r="C310" s="32" t="s">
        <v>26</v>
      </c>
      <c r="D310" s="9" t="str">
        <f t="shared" si="30"/>
        <v>43880 - 2S</v>
      </c>
      <c r="E310" s="32" t="s">
        <v>15</v>
      </c>
      <c r="G310" s="4" t="str">
        <f>IFERROR(VLOOKUP(F310,Lists!$C:$D,2,0), "N/A")</f>
        <v>N/A</v>
      </c>
      <c r="H310" s="26">
        <f>IFERROR(VLOOKUP(F310,Lists!$C:$F,4,0),0)</f>
        <v>0</v>
      </c>
      <c r="I310" s="7">
        <f t="shared" si="35"/>
        <v>1</v>
      </c>
      <c r="K310" s="33">
        <v>1</v>
      </c>
      <c r="L310" s="5">
        <f t="shared" si="31"/>
        <v>1</v>
      </c>
      <c r="M310" s="26">
        <f t="shared" si="32"/>
        <v>0</v>
      </c>
    </row>
    <row r="311" spans="1:13" x14ac:dyDescent="0.25">
      <c r="A311" s="16" t="str">
        <f t="shared" si="34"/>
        <v>February</v>
      </c>
      <c r="B311" s="31">
        <v>43880</v>
      </c>
      <c r="C311" s="32" t="s">
        <v>26</v>
      </c>
      <c r="D311" s="9" t="str">
        <f t="shared" si="30"/>
        <v>43880 - 2S</v>
      </c>
      <c r="E311" s="32" t="s">
        <v>9</v>
      </c>
      <c r="F311" s="2">
        <v>8000035</v>
      </c>
      <c r="G311" s="4" t="str">
        <f>IFERROR(VLOOKUP(F311,Lists!$C:$D,2,0), "N/A")</f>
        <v>TURTLES MILK CHOC ORIGINAL</v>
      </c>
      <c r="H311" s="26">
        <f>IFERROR(VLOOKUP(F311,Lists!$C:$F,4,0),0)</f>
        <v>1.91178</v>
      </c>
      <c r="I311" s="7">
        <f t="shared" si="35"/>
        <v>8425</v>
      </c>
      <c r="J311" s="6">
        <v>8180</v>
      </c>
      <c r="K311" s="33">
        <v>245</v>
      </c>
      <c r="L311" s="5">
        <f t="shared" si="31"/>
        <v>2.9951100244498777E-2</v>
      </c>
      <c r="M311" s="26">
        <f t="shared" si="32"/>
        <v>468.3861</v>
      </c>
    </row>
    <row r="312" spans="1:13" x14ac:dyDescent="0.25">
      <c r="A312" s="16" t="str">
        <f t="shared" si="34"/>
        <v>February</v>
      </c>
      <c r="B312" s="31">
        <v>43880</v>
      </c>
      <c r="C312" s="32" t="s">
        <v>26</v>
      </c>
      <c r="D312" s="9" t="str">
        <f t="shared" si="30"/>
        <v>43880 - 2S</v>
      </c>
      <c r="E312" s="32" t="s">
        <v>12</v>
      </c>
      <c r="F312" s="2">
        <v>8000031</v>
      </c>
      <c r="G312" s="4" t="str">
        <f>IFERROR(VLOOKUP(F312,Lists!$C:$D,2,0), "N/A")</f>
        <v>WIP.DCP FLIPZ  DARK CHOC PRETZEL</v>
      </c>
      <c r="H312" s="26">
        <f>IFERROR(VLOOKUP(F312,Lists!$C:$F,4,0),0)</f>
        <v>1.4516300000000002</v>
      </c>
      <c r="I312" s="7">
        <f t="shared" si="35"/>
        <v>7015</v>
      </c>
      <c r="J312" s="6">
        <v>7000</v>
      </c>
      <c r="K312" s="33">
        <v>15</v>
      </c>
      <c r="L312" s="5">
        <f t="shared" si="31"/>
        <v>2.142857142857143E-3</v>
      </c>
      <c r="M312" s="26">
        <f t="shared" si="32"/>
        <v>21.774450000000002</v>
      </c>
    </row>
    <row r="313" spans="1:13" x14ac:dyDescent="0.25">
      <c r="A313" s="16" t="str">
        <f t="shared" ref="A313:A343" si="36">TEXT(B313,"mmmm")</f>
        <v>February</v>
      </c>
      <c r="B313" s="31">
        <v>43880</v>
      </c>
      <c r="C313" s="32" t="s">
        <v>26</v>
      </c>
      <c r="D313" s="9" t="str">
        <f t="shared" si="30"/>
        <v>43880 - 2S</v>
      </c>
      <c r="E313" s="32" t="s">
        <v>13</v>
      </c>
      <c r="F313" s="2">
        <v>8000040</v>
      </c>
      <c r="G313" s="4" t="str">
        <f>IFERROR(VLOOKUP(F313,Lists!$C:$D,2,0), "N/A")</f>
        <v>WIP.MSM FLIPZ MILK CHOC SUPER MINI</v>
      </c>
      <c r="H313" s="26">
        <f>IFERROR(VLOOKUP(F313,Lists!$C:$F,4,0),0)</f>
        <v>1.21353</v>
      </c>
      <c r="I313" s="7">
        <f t="shared" si="35"/>
        <v>2001</v>
      </c>
      <c r="J313" s="6">
        <v>2000</v>
      </c>
      <c r="K313" s="33">
        <v>1</v>
      </c>
      <c r="L313" s="5">
        <f t="shared" si="31"/>
        <v>5.0000000000000001E-4</v>
      </c>
      <c r="M313" s="26">
        <f t="shared" si="32"/>
        <v>1.21353</v>
      </c>
    </row>
    <row r="314" spans="1:13" x14ac:dyDescent="0.25">
      <c r="A314" s="16" t="str">
        <f t="shared" si="36"/>
        <v>February</v>
      </c>
      <c r="B314" s="31">
        <v>43881</v>
      </c>
      <c r="C314" s="32" t="s">
        <v>26</v>
      </c>
      <c r="D314" s="9" t="str">
        <f t="shared" si="30"/>
        <v>43881 - 2S</v>
      </c>
      <c r="E314" s="32" t="s">
        <v>9</v>
      </c>
      <c r="F314" s="2">
        <v>8000035</v>
      </c>
      <c r="G314" s="4" t="str">
        <f>IFERROR(VLOOKUP(F314,Lists!$C:$D,2,0), "N/A")</f>
        <v>TURTLES MILK CHOC ORIGINAL</v>
      </c>
      <c r="H314" s="26">
        <f>IFERROR(VLOOKUP(F314,Lists!$C:$F,4,0),0)</f>
        <v>1.91178</v>
      </c>
      <c r="I314" s="7">
        <f t="shared" si="35"/>
        <v>8130</v>
      </c>
      <c r="J314" s="6">
        <v>7851</v>
      </c>
      <c r="K314" s="33">
        <v>279</v>
      </c>
      <c r="L314" s="5">
        <f t="shared" si="31"/>
        <v>3.5536874283530757E-2</v>
      </c>
      <c r="M314" s="26">
        <f t="shared" si="32"/>
        <v>533.38661999999999</v>
      </c>
    </row>
    <row r="315" spans="1:13" x14ac:dyDescent="0.25">
      <c r="A315" s="16" t="str">
        <f t="shared" si="36"/>
        <v>February</v>
      </c>
      <c r="B315" s="31">
        <v>43881</v>
      </c>
      <c r="C315" s="32" t="s">
        <v>26</v>
      </c>
      <c r="D315" s="9" t="str">
        <f t="shared" si="30"/>
        <v>43881 - 2S</v>
      </c>
      <c r="E315" s="32" t="s">
        <v>12</v>
      </c>
      <c r="F315" s="2">
        <v>8000031</v>
      </c>
      <c r="G315" s="4" t="str">
        <f>IFERROR(VLOOKUP(F315,Lists!$C:$D,2,0), "N/A")</f>
        <v>WIP.DCP FLIPZ  DARK CHOC PRETZEL</v>
      </c>
      <c r="H315" s="26">
        <f>IFERROR(VLOOKUP(F315,Lists!$C:$F,4,0),0)</f>
        <v>1.4516300000000002</v>
      </c>
      <c r="I315" s="7">
        <f t="shared" si="35"/>
        <v>10040</v>
      </c>
      <c r="J315" s="6">
        <v>10000</v>
      </c>
      <c r="K315" s="33">
        <v>40</v>
      </c>
      <c r="L315" s="5">
        <f t="shared" si="31"/>
        <v>4.0000000000000001E-3</v>
      </c>
      <c r="M315" s="26">
        <f t="shared" si="32"/>
        <v>58.065200000000004</v>
      </c>
    </row>
    <row r="316" spans="1:13" x14ac:dyDescent="0.25">
      <c r="A316" s="16" t="str">
        <f t="shared" si="36"/>
        <v>February</v>
      </c>
      <c r="B316" s="31">
        <v>43881</v>
      </c>
      <c r="C316" s="32" t="s">
        <v>26</v>
      </c>
      <c r="D316" s="9" t="str">
        <f t="shared" si="30"/>
        <v>43881 - 2S</v>
      </c>
      <c r="E316" s="32" t="s">
        <v>13</v>
      </c>
      <c r="F316" s="2">
        <v>8000040</v>
      </c>
      <c r="G316" s="4" t="str">
        <f>IFERROR(VLOOKUP(F316,Lists!$C:$D,2,0), "N/A")</f>
        <v>WIP.MSM FLIPZ MILK CHOC SUPER MINI</v>
      </c>
      <c r="H316" s="26">
        <f>IFERROR(VLOOKUP(F316,Lists!$C:$F,4,0),0)</f>
        <v>1.21353</v>
      </c>
      <c r="I316" s="7">
        <f t="shared" si="35"/>
        <v>3091</v>
      </c>
      <c r="J316" s="6">
        <v>3000</v>
      </c>
      <c r="K316" s="33">
        <v>91</v>
      </c>
      <c r="L316" s="5">
        <f t="shared" si="31"/>
        <v>3.0333333333333334E-2</v>
      </c>
      <c r="M316" s="26">
        <f t="shared" si="32"/>
        <v>110.43123</v>
      </c>
    </row>
    <row r="317" spans="1:13" x14ac:dyDescent="0.25">
      <c r="A317" s="16" t="str">
        <f t="shared" si="36"/>
        <v>February</v>
      </c>
      <c r="B317" s="31">
        <v>43881</v>
      </c>
      <c r="C317" s="32" t="s">
        <v>26</v>
      </c>
      <c r="D317" s="9" t="str">
        <f t="shared" si="30"/>
        <v>43881 - 2S</v>
      </c>
      <c r="E317" s="32" t="s">
        <v>15</v>
      </c>
      <c r="G317" s="4" t="str">
        <f>IFERROR(VLOOKUP(F317,Lists!$C:$D,2,0), "N/A")</f>
        <v>N/A</v>
      </c>
      <c r="H317" s="26">
        <f>IFERROR(VLOOKUP(F317,Lists!$C:$F,4,0),0)</f>
        <v>0</v>
      </c>
      <c r="I317" s="7">
        <f t="shared" si="35"/>
        <v>2</v>
      </c>
      <c r="K317" s="33">
        <v>2</v>
      </c>
      <c r="L317" s="5">
        <f t="shared" si="31"/>
        <v>1</v>
      </c>
      <c r="M317" s="26">
        <f t="shared" si="32"/>
        <v>0</v>
      </c>
    </row>
    <row r="318" spans="1:13" x14ac:dyDescent="0.25">
      <c r="A318" s="16" t="str">
        <f t="shared" si="36"/>
        <v>February</v>
      </c>
      <c r="B318" s="31">
        <v>43882</v>
      </c>
      <c r="C318" s="32" t="s">
        <v>26</v>
      </c>
      <c r="D318" s="9" t="str">
        <f t="shared" si="30"/>
        <v>43882 - 2S</v>
      </c>
      <c r="E318" s="32" t="s">
        <v>9</v>
      </c>
      <c r="F318" s="2">
        <v>8000035</v>
      </c>
      <c r="G318" s="4" t="str">
        <f>IFERROR(VLOOKUP(F318,Lists!$C:$D,2,0), "N/A")</f>
        <v>TURTLES MILK CHOC ORIGINAL</v>
      </c>
      <c r="H318" s="26">
        <f>IFERROR(VLOOKUP(F318,Lists!$C:$F,4,0),0)</f>
        <v>1.91178</v>
      </c>
      <c r="I318" s="7">
        <f t="shared" si="35"/>
        <v>252</v>
      </c>
      <c r="J318" s="6">
        <v>0</v>
      </c>
      <c r="K318" s="33">
        <v>252</v>
      </c>
      <c r="L318" s="5">
        <f t="shared" si="31"/>
        <v>1</v>
      </c>
      <c r="M318" s="26">
        <f t="shared" si="32"/>
        <v>481.76856000000004</v>
      </c>
    </row>
    <row r="319" spans="1:13" x14ac:dyDescent="0.25">
      <c r="A319" s="16" t="str">
        <f t="shared" si="36"/>
        <v>February</v>
      </c>
      <c r="B319" s="31">
        <v>43882</v>
      </c>
      <c r="C319" s="32" t="s">
        <v>26</v>
      </c>
      <c r="D319" s="9" t="str">
        <f t="shared" si="30"/>
        <v>43882 - 2S</v>
      </c>
      <c r="E319" s="32" t="s">
        <v>12</v>
      </c>
      <c r="F319" s="2">
        <v>8000055</v>
      </c>
      <c r="G319" s="4" t="str">
        <f>IFERROR(VLOOKUP(F319,Lists!$C:$D,2,0), "N/A")</f>
        <v>916.BF FLIPZ 25 LB BULK MILK CHOC</v>
      </c>
      <c r="H319" s="26">
        <f>IFERROR(VLOOKUP(F319,Lists!$C:$F,4,0),0)</f>
        <v>1.9508160000000001</v>
      </c>
      <c r="I319" s="7">
        <f t="shared" si="35"/>
        <v>12097</v>
      </c>
      <c r="J319" s="6">
        <v>12000</v>
      </c>
      <c r="K319" s="33">
        <v>97</v>
      </c>
      <c r="L319" s="5">
        <f t="shared" si="31"/>
        <v>8.083333333333333E-3</v>
      </c>
      <c r="M319" s="26">
        <f t="shared" si="32"/>
        <v>189.229152</v>
      </c>
    </row>
    <row r="320" spans="1:13" x14ac:dyDescent="0.25">
      <c r="A320" s="16" t="str">
        <f t="shared" si="36"/>
        <v>February</v>
      </c>
      <c r="B320" s="31">
        <v>43882</v>
      </c>
      <c r="C320" s="32" t="s">
        <v>26</v>
      </c>
      <c r="D320" s="9" t="str">
        <f t="shared" si="30"/>
        <v>43882 - 2S</v>
      </c>
      <c r="E320" s="32" t="s">
        <v>13</v>
      </c>
      <c r="F320" s="2">
        <v>8000040</v>
      </c>
      <c r="G320" s="4" t="str">
        <f>IFERROR(VLOOKUP(F320,Lists!$C:$D,2,0), "N/A")</f>
        <v>WIP.MSM FLIPZ MILK CHOC SUPER MINI</v>
      </c>
      <c r="H320" s="26">
        <f>IFERROR(VLOOKUP(F320,Lists!$C:$F,4,0),0)</f>
        <v>1.21353</v>
      </c>
      <c r="I320" s="7">
        <f t="shared" si="35"/>
        <v>1000</v>
      </c>
      <c r="J320" s="6">
        <v>1000</v>
      </c>
      <c r="L320" s="5">
        <f t="shared" si="31"/>
        <v>0</v>
      </c>
      <c r="M320" s="26">
        <f t="shared" si="32"/>
        <v>0</v>
      </c>
    </row>
    <row r="321" spans="1:14" x14ac:dyDescent="0.25">
      <c r="A321" s="16" t="str">
        <f t="shared" si="36"/>
        <v>February</v>
      </c>
      <c r="B321" s="31">
        <v>43882</v>
      </c>
      <c r="C321" s="32" t="s">
        <v>26</v>
      </c>
      <c r="D321" s="9" t="str">
        <f t="shared" si="30"/>
        <v>43882 - 2S</v>
      </c>
      <c r="E321" s="32" t="s">
        <v>15</v>
      </c>
      <c r="G321" s="4" t="str">
        <f>IFERROR(VLOOKUP(F321,Lists!$C:$D,2,0), "N/A")</f>
        <v>N/A</v>
      </c>
      <c r="H321" s="26">
        <f>IFERROR(VLOOKUP(F321,Lists!$C:$F,4,0),0)</f>
        <v>0</v>
      </c>
      <c r="I321" s="7">
        <f t="shared" si="35"/>
        <v>35</v>
      </c>
      <c r="K321" s="33">
        <v>35</v>
      </c>
      <c r="L321" s="5">
        <f t="shared" si="31"/>
        <v>1</v>
      </c>
      <c r="M321" s="26">
        <f t="shared" si="32"/>
        <v>0</v>
      </c>
    </row>
    <row r="322" spans="1:14" x14ac:dyDescent="0.25">
      <c r="A322" s="16" t="str">
        <f t="shared" si="36"/>
        <v>February</v>
      </c>
      <c r="B322" s="31">
        <v>43883</v>
      </c>
      <c r="C322" s="32" t="s">
        <v>26</v>
      </c>
      <c r="D322" s="9" t="str">
        <f t="shared" ref="D322:D385" si="37">CONCATENATE(B322," - ",C322)</f>
        <v>43883 - 2S</v>
      </c>
      <c r="E322" s="32" t="s">
        <v>12</v>
      </c>
      <c r="F322" s="2">
        <v>8000055</v>
      </c>
      <c r="G322" s="4" t="str">
        <f>IFERROR(VLOOKUP(F322,Lists!$C:$D,2,0), "N/A")</f>
        <v>916.BF FLIPZ 25 LB BULK MILK CHOC</v>
      </c>
      <c r="H322" s="26">
        <f>IFERROR(VLOOKUP(F322,Lists!$C:$F,4,0),0)</f>
        <v>1.9508160000000001</v>
      </c>
      <c r="I322" s="7">
        <f t="shared" si="35"/>
        <v>9014</v>
      </c>
      <c r="J322" s="6">
        <v>9000</v>
      </c>
      <c r="K322" s="33">
        <v>14</v>
      </c>
      <c r="L322" s="5">
        <f t="shared" ref="L322:L385" si="38">IFERROR((K322/J322),1)</f>
        <v>1.5555555555555555E-3</v>
      </c>
      <c r="M322" s="26">
        <f t="shared" ref="M322:M385" si="39">K322*H322</f>
        <v>27.311424000000002</v>
      </c>
    </row>
    <row r="323" spans="1:14" x14ac:dyDescent="0.25">
      <c r="A323" s="16" t="str">
        <f t="shared" si="36"/>
        <v>February</v>
      </c>
      <c r="B323" s="31">
        <v>43884</v>
      </c>
      <c r="C323" s="32" t="s">
        <v>26</v>
      </c>
      <c r="D323" s="9" t="str">
        <f t="shared" si="37"/>
        <v>43884 - 2S</v>
      </c>
      <c r="E323" s="32" t="s">
        <v>12</v>
      </c>
      <c r="F323" s="2">
        <v>8000055</v>
      </c>
      <c r="G323" s="4" t="str">
        <f>IFERROR(VLOOKUP(F323,Lists!$C:$D,2,0), "N/A")</f>
        <v>916.BF FLIPZ 25 LB BULK MILK CHOC</v>
      </c>
      <c r="H323" s="26">
        <f>IFERROR(VLOOKUP(F323,Lists!$C:$F,4,0),0)</f>
        <v>1.9508160000000001</v>
      </c>
      <c r="I323" s="7">
        <f t="shared" si="35"/>
        <v>11000</v>
      </c>
      <c r="J323" s="6">
        <v>11000</v>
      </c>
      <c r="K323" s="33">
        <v>0</v>
      </c>
      <c r="L323" s="5">
        <f t="shared" si="38"/>
        <v>0</v>
      </c>
      <c r="M323" s="26">
        <f t="shared" si="39"/>
        <v>0</v>
      </c>
    </row>
    <row r="324" spans="1:14" x14ac:dyDescent="0.25">
      <c r="A324" s="16" t="str">
        <f t="shared" si="36"/>
        <v>February</v>
      </c>
      <c r="B324" s="31">
        <v>43883</v>
      </c>
      <c r="C324" s="32" t="s">
        <v>26</v>
      </c>
      <c r="D324" s="9" t="str">
        <f t="shared" si="37"/>
        <v>43883 - 2S</v>
      </c>
      <c r="E324" s="32" t="s">
        <v>15</v>
      </c>
      <c r="G324" s="4" t="str">
        <f>IFERROR(VLOOKUP(F324,Lists!$C:$D,2,0), "N/A")</f>
        <v>N/A</v>
      </c>
      <c r="H324" s="26">
        <f>IFERROR(VLOOKUP(F324,Lists!$C:$F,4,0),0)</f>
        <v>0</v>
      </c>
      <c r="I324" s="7">
        <f t="shared" si="35"/>
        <v>10</v>
      </c>
      <c r="K324" s="33">
        <v>10</v>
      </c>
      <c r="L324" s="5">
        <f t="shared" si="38"/>
        <v>1</v>
      </c>
      <c r="M324" s="26">
        <f t="shared" si="39"/>
        <v>0</v>
      </c>
    </row>
    <row r="325" spans="1:14" ht="51.75" x14ac:dyDescent="0.25">
      <c r="A325" s="16" t="str">
        <f t="shared" si="36"/>
        <v>February</v>
      </c>
      <c r="B325" s="31">
        <v>43885</v>
      </c>
      <c r="C325" s="32" t="s">
        <v>26</v>
      </c>
      <c r="D325" s="9" t="str">
        <f t="shared" si="37"/>
        <v>43885 - 2S</v>
      </c>
      <c r="E325" s="32" t="s">
        <v>9</v>
      </c>
      <c r="F325" s="2">
        <v>8000035</v>
      </c>
      <c r="G325" s="4" t="str">
        <f>IFERROR(VLOOKUP(F325,Lists!$C:$D,2,0), "N/A")</f>
        <v>TURTLES MILK CHOC ORIGINAL</v>
      </c>
      <c r="H325" s="26">
        <f>IFERROR(VLOOKUP(F325,Lists!$C:$F,4,0),0)</f>
        <v>1.91178</v>
      </c>
      <c r="I325" s="7">
        <f t="shared" si="35"/>
        <v>8496</v>
      </c>
      <c r="J325" s="6">
        <v>7649</v>
      </c>
      <c r="K325" s="33">
        <v>847</v>
      </c>
      <c r="L325" s="5">
        <f t="shared" si="38"/>
        <v>0.11073342920643221</v>
      </c>
      <c r="M325" s="26">
        <f t="shared" si="39"/>
        <v>1619.27766</v>
      </c>
      <c r="N325" s="53" t="s">
        <v>211</v>
      </c>
    </row>
    <row r="326" spans="1:14" x14ac:dyDescent="0.25">
      <c r="A326" s="16" t="str">
        <f t="shared" si="36"/>
        <v>February</v>
      </c>
      <c r="B326" s="31">
        <v>43885</v>
      </c>
      <c r="C326" s="32" t="s">
        <v>26</v>
      </c>
      <c r="D326" s="9" t="str">
        <f t="shared" si="37"/>
        <v>43885 - 2S</v>
      </c>
      <c r="E326" s="32" t="s">
        <v>10</v>
      </c>
      <c r="F326" s="2">
        <v>8000039</v>
      </c>
      <c r="G326" s="4" t="str">
        <f>IFERROR(VLOOKUP(F326,Lists!$C:$D,2,0), "N/A")</f>
        <v>TURTLES MILK CHOC ORIG MINI</v>
      </c>
      <c r="H326" s="26">
        <f>IFERROR(VLOOKUP(F326,Lists!$C:$F,4,0),0)</f>
        <v>2.08013</v>
      </c>
      <c r="I326" s="7">
        <f t="shared" si="35"/>
        <v>4892</v>
      </c>
      <c r="J326" s="6">
        <v>4800</v>
      </c>
      <c r="K326" s="33">
        <v>92</v>
      </c>
      <c r="L326" s="5">
        <f t="shared" si="38"/>
        <v>1.9166666666666665E-2</v>
      </c>
      <c r="M326" s="26">
        <f t="shared" si="39"/>
        <v>191.37196</v>
      </c>
    </row>
    <row r="327" spans="1:14" x14ac:dyDescent="0.25">
      <c r="A327" s="16" t="str">
        <f t="shared" si="36"/>
        <v>February</v>
      </c>
      <c r="B327" s="31">
        <v>43885</v>
      </c>
      <c r="C327" s="32" t="s">
        <v>26</v>
      </c>
      <c r="D327" s="9" t="str">
        <f t="shared" si="37"/>
        <v>43885 - 2S</v>
      </c>
      <c r="E327" s="32" t="s">
        <v>12</v>
      </c>
      <c r="F327" s="2">
        <v>8000055</v>
      </c>
      <c r="G327" s="4" t="str">
        <f>IFERROR(VLOOKUP(F327,Lists!$C:$D,2,0), "N/A")</f>
        <v>916.BF FLIPZ 25 LB BULK MILK CHOC</v>
      </c>
      <c r="H327" s="26">
        <f>IFERROR(VLOOKUP(F327,Lists!$C:$F,4,0),0)</f>
        <v>1.9508160000000001</v>
      </c>
      <c r="I327" s="7">
        <f t="shared" si="35"/>
        <v>10011</v>
      </c>
      <c r="J327" s="6">
        <v>10000</v>
      </c>
      <c r="K327" s="33">
        <v>11</v>
      </c>
      <c r="L327" s="5">
        <f t="shared" si="38"/>
        <v>1.1000000000000001E-3</v>
      </c>
      <c r="M327" s="26">
        <f t="shared" si="39"/>
        <v>21.458976</v>
      </c>
    </row>
    <row r="328" spans="1:14" x14ac:dyDescent="0.25">
      <c r="A328" s="16" t="str">
        <f t="shared" si="36"/>
        <v>February</v>
      </c>
      <c r="B328" s="31">
        <v>43885</v>
      </c>
      <c r="C328" s="32" t="s">
        <v>26</v>
      </c>
      <c r="D328" s="9" t="str">
        <f t="shared" si="37"/>
        <v>43885 - 2S</v>
      </c>
      <c r="E328" s="32" t="s">
        <v>13</v>
      </c>
      <c r="F328" s="2">
        <v>8000040</v>
      </c>
      <c r="G328" s="4" t="str">
        <f>IFERROR(VLOOKUP(F328,Lists!$C:$D,2,0), "N/A")</f>
        <v>WIP.MSM FLIPZ MILK CHOC SUPER MINI</v>
      </c>
      <c r="H328" s="26">
        <f>IFERROR(VLOOKUP(F328,Lists!$C:$F,4,0),0)</f>
        <v>1.21353</v>
      </c>
      <c r="I328" s="7">
        <f t="shared" si="35"/>
        <v>3042</v>
      </c>
      <c r="J328" s="6">
        <v>3000</v>
      </c>
      <c r="K328" s="33">
        <v>42</v>
      </c>
      <c r="L328" s="5">
        <f t="shared" si="38"/>
        <v>1.4E-2</v>
      </c>
      <c r="M328" s="26">
        <f t="shared" si="39"/>
        <v>50.968260000000001</v>
      </c>
    </row>
    <row r="329" spans="1:14" x14ac:dyDescent="0.25">
      <c r="A329" s="16" t="str">
        <f t="shared" si="36"/>
        <v>February</v>
      </c>
      <c r="B329" s="31">
        <v>43886</v>
      </c>
      <c r="C329" s="32" t="s">
        <v>26</v>
      </c>
      <c r="D329" s="9" t="str">
        <f t="shared" si="37"/>
        <v>43886 - 2S</v>
      </c>
      <c r="E329" s="32" t="s">
        <v>9</v>
      </c>
      <c r="F329" s="2">
        <v>8000035</v>
      </c>
      <c r="G329" s="4" t="str">
        <f>IFERROR(VLOOKUP(F329,Lists!$C:$D,2,0), "N/A")</f>
        <v>TURTLES MILK CHOC ORIGINAL</v>
      </c>
      <c r="H329" s="26">
        <f>IFERROR(VLOOKUP(F329,Lists!$C:$F,4,0),0)</f>
        <v>1.91178</v>
      </c>
      <c r="I329" s="7">
        <f t="shared" si="35"/>
        <v>13057</v>
      </c>
      <c r="J329" s="6">
        <v>12791</v>
      </c>
      <c r="K329" s="33">
        <v>266</v>
      </c>
      <c r="L329" s="5">
        <f t="shared" si="38"/>
        <v>2.0795872097568602E-2</v>
      </c>
      <c r="M329" s="26">
        <f t="shared" si="39"/>
        <v>508.53348</v>
      </c>
    </row>
    <row r="330" spans="1:14" x14ac:dyDescent="0.25">
      <c r="A330" s="16" t="str">
        <f t="shared" si="36"/>
        <v>February</v>
      </c>
      <c r="B330" s="31">
        <v>43886</v>
      </c>
      <c r="C330" s="32" t="s">
        <v>26</v>
      </c>
      <c r="D330" s="9" t="str">
        <f t="shared" si="37"/>
        <v>43886 - 2S</v>
      </c>
      <c r="E330" s="32" t="s">
        <v>10</v>
      </c>
      <c r="F330" s="2">
        <v>8000039</v>
      </c>
      <c r="G330" s="4" t="str">
        <f>IFERROR(VLOOKUP(F330,Lists!$C:$D,2,0), "N/A")</f>
        <v>TURTLES MILK CHOC ORIG MINI</v>
      </c>
      <c r="H330" s="26">
        <f>IFERROR(VLOOKUP(F330,Lists!$C:$F,4,0),0)</f>
        <v>2.08013</v>
      </c>
      <c r="I330" s="7">
        <f t="shared" si="35"/>
        <v>10676</v>
      </c>
      <c r="J330" s="6">
        <v>10560</v>
      </c>
      <c r="K330" s="33">
        <v>116</v>
      </c>
      <c r="L330" s="5">
        <f t="shared" si="38"/>
        <v>1.0984848484848484E-2</v>
      </c>
      <c r="M330" s="26">
        <f t="shared" si="39"/>
        <v>241.29508000000001</v>
      </c>
    </row>
    <row r="331" spans="1:14" x14ac:dyDescent="0.25">
      <c r="A331" s="16" t="str">
        <f t="shared" si="36"/>
        <v>February</v>
      </c>
      <c r="B331" s="31">
        <v>43886</v>
      </c>
      <c r="C331" s="32" t="s">
        <v>26</v>
      </c>
      <c r="D331" s="9" t="str">
        <f t="shared" si="37"/>
        <v>43886 - 2S</v>
      </c>
      <c r="E331" s="32" t="s">
        <v>12</v>
      </c>
      <c r="F331" s="2">
        <v>8000055</v>
      </c>
      <c r="G331" s="4" t="str">
        <f>IFERROR(VLOOKUP(F331,Lists!$C:$D,2,0), "N/A")</f>
        <v>916.BF FLIPZ 25 LB BULK MILK CHOC</v>
      </c>
      <c r="H331" s="26">
        <f>IFERROR(VLOOKUP(F331,Lists!$C:$F,4,0),0)</f>
        <v>1.9508160000000001</v>
      </c>
      <c r="I331" s="7">
        <f t="shared" si="35"/>
        <v>9008</v>
      </c>
      <c r="J331" s="6">
        <v>9000</v>
      </c>
      <c r="K331" s="33">
        <v>8</v>
      </c>
      <c r="L331" s="5">
        <f t="shared" si="38"/>
        <v>8.8888888888888893E-4</v>
      </c>
      <c r="M331" s="26">
        <f t="shared" si="39"/>
        <v>15.606528000000001</v>
      </c>
    </row>
    <row r="332" spans="1:14" x14ac:dyDescent="0.25">
      <c r="A332" s="16" t="str">
        <f t="shared" si="36"/>
        <v>February</v>
      </c>
      <c r="B332" s="31">
        <v>43886</v>
      </c>
      <c r="C332" s="32" t="s">
        <v>26</v>
      </c>
      <c r="D332" s="9" t="str">
        <f t="shared" si="37"/>
        <v>43886 - 2S</v>
      </c>
      <c r="E332" s="32" t="s">
        <v>13</v>
      </c>
      <c r="F332" s="2">
        <v>8000040</v>
      </c>
      <c r="G332" s="4" t="str">
        <f>IFERROR(VLOOKUP(F332,Lists!$C:$D,2,0), "N/A")</f>
        <v>WIP.MSM FLIPZ MILK CHOC SUPER MINI</v>
      </c>
      <c r="H332" s="26">
        <f>IFERROR(VLOOKUP(F332,Lists!$C:$F,4,0),0)</f>
        <v>1.21353</v>
      </c>
      <c r="I332" s="7">
        <f t="shared" si="35"/>
        <v>3037</v>
      </c>
      <c r="J332" s="6">
        <v>3000</v>
      </c>
      <c r="K332" s="33">
        <v>37</v>
      </c>
      <c r="L332" s="5">
        <f t="shared" si="38"/>
        <v>1.2333333333333333E-2</v>
      </c>
      <c r="M332" s="26">
        <f t="shared" si="39"/>
        <v>44.90061</v>
      </c>
    </row>
    <row r="333" spans="1:14" x14ac:dyDescent="0.25">
      <c r="A333" s="16" t="str">
        <f t="shared" si="36"/>
        <v>February</v>
      </c>
      <c r="B333" s="31">
        <v>43886</v>
      </c>
      <c r="C333" s="32" t="s">
        <v>26</v>
      </c>
      <c r="D333" s="9" t="str">
        <f t="shared" si="37"/>
        <v>43886 - 2S</v>
      </c>
      <c r="E333" s="32" t="s">
        <v>15</v>
      </c>
      <c r="G333" s="4" t="str">
        <f>IFERROR(VLOOKUP(F333,Lists!$C:$D,2,0), "N/A")</f>
        <v>N/A</v>
      </c>
      <c r="H333" s="26">
        <f>IFERROR(VLOOKUP(F333,Lists!$C:$F,4,0),0)</f>
        <v>0</v>
      </c>
      <c r="I333" s="7">
        <f t="shared" si="35"/>
        <v>27</v>
      </c>
      <c r="K333" s="33">
        <v>27</v>
      </c>
      <c r="L333" s="5">
        <f t="shared" si="38"/>
        <v>1</v>
      </c>
      <c r="M333" s="26">
        <f t="shared" si="39"/>
        <v>0</v>
      </c>
    </row>
    <row r="334" spans="1:14" x14ac:dyDescent="0.25">
      <c r="A334" s="16" t="str">
        <f t="shared" si="36"/>
        <v>February</v>
      </c>
      <c r="B334" s="31">
        <v>43887</v>
      </c>
      <c r="C334" s="32" t="s">
        <v>26</v>
      </c>
      <c r="D334" s="9" t="str">
        <f t="shared" si="37"/>
        <v>43887 - 2S</v>
      </c>
      <c r="E334" s="32" t="s">
        <v>9</v>
      </c>
      <c r="F334" s="2">
        <v>8000035</v>
      </c>
      <c r="G334" s="4" t="str">
        <f>IFERROR(VLOOKUP(F334,Lists!$C:$D,2,0), "N/A")</f>
        <v>TURTLES MILK CHOC ORIGINAL</v>
      </c>
      <c r="H334" s="26">
        <f>IFERROR(VLOOKUP(F334,Lists!$C:$F,4,0),0)</f>
        <v>1.91178</v>
      </c>
      <c r="I334" s="7">
        <f t="shared" si="35"/>
        <v>9846</v>
      </c>
      <c r="J334" s="6">
        <v>9526</v>
      </c>
      <c r="K334" s="33">
        <v>320</v>
      </c>
      <c r="L334" s="5">
        <f t="shared" si="38"/>
        <v>3.3592273777031285E-2</v>
      </c>
      <c r="M334" s="26">
        <f t="shared" si="39"/>
        <v>611.76959999999997</v>
      </c>
    </row>
    <row r="335" spans="1:14" x14ac:dyDescent="0.25">
      <c r="A335" s="16" t="str">
        <f t="shared" si="36"/>
        <v>February</v>
      </c>
      <c r="B335" s="31">
        <v>43887</v>
      </c>
      <c r="C335" s="32" t="s">
        <v>26</v>
      </c>
      <c r="D335" s="9" t="str">
        <f t="shared" si="37"/>
        <v>43887 - 2S</v>
      </c>
      <c r="E335" s="32" t="s">
        <v>10</v>
      </c>
      <c r="F335" s="2">
        <v>8000039</v>
      </c>
      <c r="G335" s="4" t="str">
        <f>IFERROR(VLOOKUP(F335,Lists!$C:$D,2,0), "N/A")</f>
        <v>TURTLES MILK CHOC ORIG MINI</v>
      </c>
      <c r="H335" s="26">
        <f>IFERROR(VLOOKUP(F335,Lists!$C:$F,4,0),0)</f>
        <v>2.08013</v>
      </c>
      <c r="I335" s="7">
        <f t="shared" ref="I335:I366" si="40">J335+K335</f>
        <v>9898.6</v>
      </c>
      <c r="J335" s="6">
        <v>9600</v>
      </c>
      <c r="K335" s="33">
        <v>298.60000000000002</v>
      </c>
      <c r="L335" s="5">
        <f t="shared" si="38"/>
        <v>3.1104166666666669E-2</v>
      </c>
      <c r="M335" s="26">
        <f t="shared" si="39"/>
        <v>621.12681800000007</v>
      </c>
    </row>
    <row r="336" spans="1:14" x14ac:dyDescent="0.25">
      <c r="A336" s="16" t="str">
        <f t="shared" si="36"/>
        <v>February</v>
      </c>
      <c r="B336" s="31">
        <v>43887</v>
      </c>
      <c r="C336" s="32" t="s">
        <v>26</v>
      </c>
      <c r="D336" s="9" t="str">
        <f t="shared" si="37"/>
        <v>43887 - 2S</v>
      </c>
      <c r="E336" s="32" t="s">
        <v>12</v>
      </c>
      <c r="F336" s="2">
        <v>8000055</v>
      </c>
      <c r="G336" s="4" t="str">
        <f>IFERROR(VLOOKUP(F336,Lists!$C:$D,2,0), "N/A")</f>
        <v>916.BF FLIPZ 25 LB BULK MILK CHOC</v>
      </c>
      <c r="H336" s="26">
        <f>IFERROR(VLOOKUP(F336,Lists!$C:$F,4,0),0)</f>
        <v>1.9508160000000001</v>
      </c>
      <c r="I336" s="7">
        <f t="shared" si="40"/>
        <v>11034</v>
      </c>
      <c r="J336" s="6">
        <v>11000</v>
      </c>
      <c r="K336" s="33">
        <v>34</v>
      </c>
      <c r="L336" s="5">
        <f t="shared" si="38"/>
        <v>3.0909090909090908E-3</v>
      </c>
      <c r="M336" s="26">
        <f t="shared" si="39"/>
        <v>66.32774400000001</v>
      </c>
    </row>
    <row r="337" spans="1:14" x14ac:dyDescent="0.25">
      <c r="A337" s="16" t="str">
        <f t="shared" si="36"/>
        <v>February</v>
      </c>
      <c r="B337" s="31">
        <v>43887</v>
      </c>
      <c r="C337" s="32" t="s">
        <v>26</v>
      </c>
      <c r="D337" s="9" t="str">
        <f t="shared" si="37"/>
        <v>43887 - 2S</v>
      </c>
      <c r="E337" s="32" t="s">
        <v>13</v>
      </c>
      <c r="F337" s="2">
        <v>8000040</v>
      </c>
      <c r="G337" s="4" t="str">
        <f>IFERROR(VLOOKUP(F337,Lists!$C:$D,2,0), "N/A")</f>
        <v>WIP.MSM FLIPZ MILK CHOC SUPER MINI</v>
      </c>
      <c r="H337" s="26">
        <f>IFERROR(VLOOKUP(F337,Lists!$C:$F,4,0),0)</f>
        <v>1.21353</v>
      </c>
      <c r="I337" s="7">
        <f t="shared" si="40"/>
        <v>2031</v>
      </c>
      <c r="J337" s="6">
        <v>2000</v>
      </c>
      <c r="K337" s="33">
        <v>31</v>
      </c>
      <c r="L337" s="5">
        <f t="shared" si="38"/>
        <v>1.55E-2</v>
      </c>
      <c r="M337" s="26">
        <f t="shared" si="39"/>
        <v>37.619430000000001</v>
      </c>
    </row>
    <row r="338" spans="1:14" x14ac:dyDescent="0.25">
      <c r="A338" s="16" t="str">
        <f t="shared" si="36"/>
        <v>February</v>
      </c>
      <c r="B338" s="31">
        <v>43887</v>
      </c>
      <c r="C338" s="32" t="s">
        <v>26</v>
      </c>
      <c r="D338" s="9" t="str">
        <f t="shared" si="37"/>
        <v>43887 - 2S</v>
      </c>
      <c r="E338" s="32" t="s">
        <v>15</v>
      </c>
      <c r="G338" s="4" t="str">
        <f>IFERROR(VLOOKUP(F338,Lists!$C:$D,2,0), "N/A")</f>
        <v>N/A</v>
      </c>
      <c r="H338" s="26">
        <f>IFERROR(VLOOKUP(F338,Lists!$C:$F,4,0),0)</f>
        <v>0</v>
      </c>
      <c r="I338" s="7">
        <f t="shared" si="40"/>
        <v>15</v>
      </c>
      <c r="J338" s="20"/>
      <c r="K338" s="33">
        <v>15</v>
      </c>
      <c r="L338" s="5">
        <f t="shared" si="38"/>
        <v>1</v>
      </c>
      <c r="M338" s="26">
        <f t="shared" si="39"/>
        <v>0</v>
      </c>
    </row>
    <row r="339" spans="1:14" x14ac:dyDescent="0.25">
      <c r="A339" s="16" t="str">
        <f t="shared" si="36"/>
        <v>February</v>
      </c>
      <c r="B339" s="31">
        <v>43888</v>
      </c>
      <c r="C339" s="32" t="s">
        <v>26</v>
      </c>
      <c r="D339" s="9" t="str">
        <f t="shared" si="37"/>
        <v>43888 - 2S</v>
      </c>
      <c r="E339" s="32" t="s">
        <v>9</v>
      </c>
      <c r="F339" s="2">
        <v>8000035</v>
      </c>
      <c r="G339" s="4" t="str">
        <f>IFERROR(VLOOKUP(F339,Lists!$C:$D,2,0), "N/A")</f>
        <v>TURTLES MILK CHOC ORIGINAL</v>
      </c>
      <c r="H339" s="26">
        <f>IFERROR(VLOOKUP(F339,Lists!$C:$F,4,0),0)</f>
        <v>1.91178</v>
      </c>
      <c r="I339" s="7">
        <f t="shared" si="40"/>
        <v>11309</v>
      </c>
      <c r="J339" s="6">
        <v>10951</v>
      </c>
      <c r="K339" s="33">
        <v>358</v>
      </c>
      <c r="L339" s="5">
        <f t="shared" si="38"/>
        <v>3.2691078440325087E-2</v>
      </c>
      <c r="M339" s="26">
        <f t="shared" si="39"/>
        <v>684.41723999999999</v>
      </c>
      <c r="N339" s="53" t="s">
        <v>243</v>
      </c>
    </row>
    <row r="340" spans="1:14" x14ac:dyDescent="0.25">
      <c r="A340" s="16" t="str">
        <f t="shared" si="36"/>
        <v>February</v>
      </c>
      <c r="B340" s="31">
        <v>43888</v>
      </c>
      <c r="C340" s="32" t="s">
        <v>26</v>
      </c>
      <c r="D340" s="9" t="str">
        <f t="shared" si="37"/>
        <v>43888 - 2S</v>
      </c>
      <c r="E340" s="32" t="s">
        <v>10</v>
      </c>
      <c r="F340" s="2">
        <v>8000039</v>
      </c>
      <c r="G340" s="4" t="str">
        <f>IFERROR(VLOOKUP(F340,Lists!$C:$D,2,0), "N/A")</f>
        <v>TURTLES MILK CHOC ORIG MINI</v>
      </c>
      <c r="H340" s="26">
        <f>IFERROR(VLOOKUP(F340,Lists!$C:$F,4,0),0)</f>
        <v>2.08013</v>
      </c>
      <c r="I340" s="7">
        <f t="shared" si="40"/>
        <v>33</v>
      </c>
      <c r="J340" s="6">
        <v>0</v>
      </c>
      <c r="K340" s="33">
        <v>33</v>
      </c>
      <c r="L340" s="5">
        <f t="shared" si="38"/>
        <v>1</v>
      </c>
      <c r="M340" s="26">
        <f t="shared" si="39"/>
        <v>68.644289999999998</v>
      </c>
    </row>
    <row r="341" spans="1:14" x14ac:dyDescent="0.25">
      <c r="A341" s="16" t="str">
        <f t="shared" si="36"/>
        <v>February</v>
      </c>
      <c r="B341" s="31">
        <v>43888</v>
      </c>
      <c r="C341" s="32" t="s">
        <v>26</v>
      </c>
      <c r="D341" s="9" t="str">
        <f t="shared" si="37"/>
        <v>43888 - 2S</v>
      </c>
      <c r="E341" s="32" t="s">
        <v>12</v>
      </c>
      <c r="F341" s="2">
        <v>8000055</v>
      </c>
      <c r="G341" s="4" t="str">
        <f>IFERROR(VLOOKUP(F341,Lists!$C:$D,2,0), "N/A")</f>
        <v>916.BF FLIPZ 25 LB BULK MILK CHOC</v>
      </c>
      <c r="H341" s="26">
        <f>IFERROR(VLOOKUP(F341,Lists!$C:$F,4,0),0)</f>
        <v>1.9508160000000001</v>
      </c>
      <c r="I341" s="7">
        <f t="shared" si="40"/>
        <v>9127</v>
      </c>
      <c r="J341" s="6">
        <f>364*25</f>
        <v>9100</v>
      </c>
      <c r="K341" s="33">
        <v>27</v>
      </c>
      <c r="L341" s="5">
        <f t="shared" si="38"/>
        <v>2.9670329670329672E-3</v>
      </c>
      <c r="M341" s="26">
        <f t="shared" si="39"/>
        <v>52.672032000000002</v>
      </c>
    </row>
    <row r="342" spans="1:14" x14ac:dyDescent="0.25">
      <c r="A342" s="16" t="str">
        <f t="shared" si="36"/>
        <v>February</v>
      </c>
      <c r="B342" s="31">
        <v>43888</v>
      </c>
      <c r="C342" s="32" t="s">
        <v>26</v>
      </c>
      <c r="D342" s="9" t="str">
        <f t="shared" si="37"/>
        <v>43888 - 2S</v>
      </c>
      <c r="E342" s="32" t="s">
        <v>13</v>
      </c>
      <c r="F342" s="2">
        <v>8000055</v>
      </c>
      <c r="G342" s="4" t="str">
        <f>IFERROR(VLOOKUP(F342,Lists!$C:$D,2,0), "N/A")</f>
        <v>916.BF FLIPZ 25 LB BULK MILK CHOC</v>
      </c>
      <c r="H342" s="26">
        <f>IFERROR(VLOOKUP(F342,Lists!$C:$F,4,0),0)</f>
        <v>1.9508160000000001</v>
      </c>
      <c r="I342" s="7">
        <f t="shared" si="40"/>
        <v>3039</v>
      </c>
      <c r="J342" s="6">
        <f>120*25</f>
        <v>3000</v>
      </c>
      <c r="K342" s="33">
        <v>39</v>
      </c>
      <c r="L342" s="5">
        <f t="shared" si="38"/>
        <v>1.2999999999999999E-2</v>
      </c>
      <c r="M342" s="26">
        <f t="shared" si="39"/>
        <v>76.081823999999997</v>
      </c>
    </row>
    <row r="343" spans="1:14" x14ac:dyDescent="0.25">
      <c r="A343" s="16" t="str">
        <f t="shared" si="36"/>
        <v>February</v>
      </c>
      <c r="B343" s="31">
        <v>43888</v>
      </c>
      <c r="C343" s="32" t="s">
        <v>26</v>
      </c>
      <c r="D343" s="9" t="str">
        <f t="shared" si="37"/>
        <v>43888 - 2S</v>
      </c>
      <c r="E343" s="32" t="s">
        <v>15</v>
      </c>
      <c r="G343" s="4" t="str">
        <f>IFERROR(VLOOKUP(F343,Lists!$C:$D,2,0), "N/A")</f>
        <v>N/A</v>
      </c>
      <c r="H343" s="26">
        <f>IFERROR(VLOOKUP(F343,Lists!$C:$F,4,0),0)</f>
        <v>0</v>
      </c>
      <c r="I343" s="7">
        <f t="shared" si="40"/>
        <v>4</v>
      </c>
      <c r="K343" s="33">
        <v>4</v>
      </c>
      <c r="L343" s="5">
        <f t="shared" si="38"/>
        <v>1</v>
      </c>
      <c r="M343" s="26">
        <f t="shared" si="39"/>
        <v>0</v>
      </c>
    </row>
    <row r="344" spans="1:14" x14ac:dyDescent="0.25">
      <c r="A344" s="16" t="s">
        <v>52</v>
      </c>
      <c r="B344" s="31">
        <v>43889</v>
      </c>
      <c r="C344" s="32" t="s">
        <v>26</v>
      </c>
      <c r="D344" s="9" t="str">
        <f t="shared" si="37"/>
        <v>43889 - 2S</v>
      </c>
      <c r="E344" s="32" t="s">
        <v>10</v>
      </c>
      <c r="F344" s="2">
        <v>8000039</v>
      </c>
      <c r="G344" s="4" t="str">
        <f>IFERROR(VLOOKUP(F344,Lists!$C:$D,2,0), "N/A")</f>
        <v>TURTLES MILK CHOC ORIG MINI</v>
      </c>
      <c r="H344" s="26">
        <f>IFERROR(VLOOKUP(F344,Lists!$C:$F,4,0),0)</f>
        <v>2.08013</v>
      </c>
      <c r="I344" s="7">
        <f t="shared" si="40"/>
        <v>7883</v>
      </c>
      <c r="J344" s="6">
        <v>7680</v>
      </c>
      <c r="K344" s="33">
        <v>203</v>
      </c>
      <c r="L344" s="5">
        <f t="shared" si="38"/>
        <v>2.6432291666666666E-2</v>
      </c>
      <c r="M344" s="26">
        <f t="shared" si="39"/>
        <v>422.26639</v>
      </c>
    </row>
    <row r="345" spans="1:14" x14ac:dyDescent="0.25">
      <c r="A345" s="16" t="str">
        <f t="shared" ref="A345:A368" si="41">TEXT(B345,"mmmm")</f>
        <v>February</v>
      </c>
      <c r="B345" s="31">
        <v>43889</v>
      </c>
      <c r="C345" s="32" t="s">
        <v>26</v>
      </c>
      <c r="D345" s="9" t="str">
        <f t="shared" si="37"/>
        <v>43889 - 2S</v>
      </c>
      <c r="E345" s="32" t="s">
        <v>12</v>
      </c>
      <c r="F345" s="2">
        <v>8000055</v>
      </c>
      <c r="G345" s="4" t="str">
        <f>IFERROR(VLOOKUP(F345,Lists!$C:$D,2,0), "N/A")</f>
        <v>916.BF FLIPZ 25 LB BULK MILK CHOC</v>
      </c>
      <c r="H345" s="26">
        <f>IFERROR(VLOOKUP(F345,Lists!$C:$F,4,0),0)</f>
        <v>1.9508160000000001</v>
      </c>
      <c r="I345" s="7">
        <f t="shared" si="40"/>
        <v>10039</v>
      </c>
      <c r="J345" s="6">
        <f>400*25</f>
        <v>10000</v>
      </c>
      <c r="K345" s="33">
        <v>39</v>
      </c>
      <c r="L345" s="5">
        <f t="shared" si="38"/>
        <v>3.8999999999999998E-3</v>
      </c>
      <c r="M345" s="26">
        <f t="shared" si="39"/>
        <v>76.081823999999997</v>
      </c>
    </row>
    <row r="346" spans="1:14" x14ac:dyDescent="0.25">
      <c r="A346" s="16" t="str">
        <f t="shared" si="41"/>
        <v>February</v>
      </c>
      <c r="B346" s="31">
        <v>43889</v>
      </c>
      <c r="C346" s="32" t="s">
        <v>26</v>
      </c>
      <c r="D346" s="9" t="str">
        <f t="shared" si="37"/>
        <v>43889 - 2S</v>
      </c>
      <c r="E346" s="32" t="s">
        <v>13</v>
      </c>
      <c r="F346" s="2">
        <v>8000055</v>
      </c>
      <c r="G346" s="4" t="str">
        <f>IFERROR(VLOOKUP(F346,Lists!$C:$D,2,0), "N/A")</f>
        <v>916.BF FLIPZ 25 LB BULK MILK CHOC</v>
      </c>
      <c r="H346" s="26">
        <f>IFERROR(VLOOKUP(F346,Lists!$C:$F,4,0),0)</f>
        <v>1.9508160000000001</v>
      </c>
      <c r="I346" s="7">
        <f t="shared" si="40"/>
        <v>2024</v>
      </c>
      <c r="J346" s="6">
        <v>2000</v>
      </c>
      <c r="K346" s="33">
        <v>24</v>
      </c>
      <c r="L346" s="5">
        <f t="shared" si="38"/>
        <v>1.2E-2</v>
      </c>
      <c r="M346" s="26">
        <f t="shared" si="39"/>
        <v>46.819584000000006</v>
      </c>
    </row>
    <row r="347" spans="1:14" x14ac:dyDescent="0.25">
      <c r="A347" s="16" t="str">
        <f t="shared" si="41"/>
        <v>February</v>
      </c>
      <c r="B347" s="31">
        <v>43889</v>
      </c>
      <c r="C347" s="32" t="s">
        <v>26</v>
      </c>
      <c r="D347" s="9" t="str">
        <f t="shared" si="37"/>
        <v>43889 - 2S</v>
      </c>
      <c r="E347" s="32" t="s">
        <v>15</v>
      </c>
      <c r="G347" s="4" t="str">
        <f>IFERROR(VLOOKUP(F347,Lists!$C:$D,2,0), "N/A")</f>
        <v>N/A</v>
      </c>
      <c r="H347" s="26">
        <f>IFERROR(VLOOKUP(F347,Lists!$C:$F,4,0),0)</f>
        <v>0</v>
      </c>
      <c r="I347" s="7">
        <f t="shared" si="40"/>
        <v>25</v>
      </c>
      <c r="K347" s="33">
        <v>25</v>
      </c>
      <c r="L347" s="5">
        <f t="shared" si="38"/>
        <v>1</v>
      </c>
      <c r="M347" s="26">
        <f t="shared" si="39"/>
        <v>0</v>
      </c>
    </row>
    <row r="348" spans="1:14" x14ac:dyDescent="0.25">
      <c r="A348" s="16" t="str">
        <f t="shared" si="41"/>
        <v>February</v>
      </c>
      <c r="B348" s="31">
        <v>43890</v>
      </c>
      <c r="C348" s="32" t="s">
        <v>26</v>
      </c>
      <c r="D348" s="9" t="str">
        <f t="shared" si="37"/>
        <v>43890 - 2S</v>
      </c>
      <c r="E348" s="32" t="s">
        <v>12</v>
      </c>
      <c r="F348" s="2">
        <v>8000055</v>
      </c>
      <c r="G348" s="4" t="str">
        <f>IFERROR(VLOOKUP(F348,Lists!$C:$D,2,0), "N/A")</f>
        <v>916.BF FLIPZ 25 LB BULK MILK CHOC</v>
      </c>
      <c r="H348" s="26">
        <f>IFERROR(VLOOKUP(F348,Lists!$C:$F,4,0),0)</f>
        <v>1.9508160000000001</v>
      </c>
      <c r="I348" s="7">
        <f t="shared" si="40"/>
        <v>10052</v>
      </c>
      <c r="J348" s="6">
        <v>10000</v>
      </c>
      <c r="K348" s="33">
        <v>52</v>
      </c>
      <c r="L348" s="5">
        <f t="shared" si="38"/>
        <v>5.1999999999999998E-3</v>
      </c>
      <c r="M348" s="26">
        <f t="shared" si="39"/>
        <v>101.44243200000001</v>
      </c>
    </row>
    <row r="349" spans="1:14" x14ac:dyDescent="0.25">
      <c r="A349" s="16" t="str">
        <f t="shared" si="41"/>
        <v>February</v>
      </c>
      <c r="B349" s="31">
        <v>43890</v>
      </c>
      <c r="C349" s="32" t="s">
        <v>26</v>
      </c>
      <c r="D349" s="9" t="str">
        <f t="shared" si="37"/>
        <v>43890 - 2S</v>
      </c>
      <c r="E349" s="32" t="s">
        <v>15</v>
      </c>
      <c r="G349" s="4" t="str">
        <f>IFERROR(VLOOKUP(F349,Lists!$C:$D,2,0), "N/A")</f>
        <v>N/A</v>
      </c>
      <c r="H349" s="26">
        <f>IFERROR(VLOOKUP(F349,Lists!$C:$F,4,0),0)</f>
        <v>0</v>
      </c>
      <c r="I349" s="7">
        <f t="shared" si="40"/>
        <v>25</v>
      </c>
      <c r="K349" s="33">
        <v>25</v>
      </c>
      <c r="L349" s="5">
        <f t="shared" si="38"/>
        <v>1</v>
      </c>
      <c r="M349" s="26">
        <f t="shared" si="39"/>
        <v>0</v>
      </c>
    </row>
    <row r="350" spans="1:14" x14ac:dyDescent="0.25">
      <c r="A350" s="16" t="str">
        <f t="shared" si="41"/>
        <v>March</v>
      </c>
      <c r="B350" s="31">
        <v>43891</v>
      </c>
      <c r="C350" s="32" t="s">
        <v>26</v>
      </c>
      <c r="D350" s="9" t="str">
        <f t="shared" si="37"/>
        <v>43891 - 2S</v>
      </c>
      <c r="E350" s="32" t="s">
        <v>12</v>
      </c>
      <c r="F350" s="2">
        <v>8000055</v>
      </c>
      <c r="G350" s="4" t="str">
        <f>IFERROR(VLOOKUP(F350,Lists!$C:$D,2,0), "N/A")</f>
        <v>916.BF FLIPZ 25 LB BULK MILK CHOC</v>
      </c>
      <c r="H350" s="26">
        <f>IFERROR(VLOOKUP(F350,Lists!$C:$F,4,0),0)</f>
        <v>1.9508160000000001</v>
      </c>
      <c r="I350" s="7">
        <f t="shared" si="40"/>
        <v>11059</v>
      </c>
      <c r="J350" s="6">
        <f>440*25</f>
        <v>11000</v>
      </c>
      <c r="K350" s="33">
        <v>59</v>
      </c>
      <c r="L350" s="5">
        <f t="shared" si="38"/>
        <v>5.3636363636363638E-3</v>
      </c>
      <c r="M350" s="26">
        <f t="shared" si="39"/>
        <v>115.098144</v>
      </c>
    </row>
    <row r="351" spans="1:14" ht="26.25" x14ac:dyDescent="0.25">
      <c r="A351" s="16" t="str">
        <f t="shared" si="41"/>
        <v>March</v>
      </c>
      <c r="B351" s="31">
        <v>43892</v>
      </c>
      <c r="C351" s="32" t="s">
        <v>26</v>
      </c>
      <c r="D351" s="9" t="str">
        <f t="shared" si="37"/>
        <v>43892 - 2S</v>
      </c>
      <c r="E351" s="32" t="s">
        <v>9</v>
      </c>
      <c r="F351" s="2">
        <v>8000038</v>
      </c>
      <c r="G351" s="4" t="str">
        <f>IFERROR(VLOOKUP(F351,Lists!$C:$D,2,0), "N/A")</f>
        <v>TURTLES MILK CHOC PEC BITE SZ</v>
      </c>
      <c r="H351" s="26">
        <f>IFERROR(VLOOKUP(F351,Lists!$C:$F,4,0),0)</f>
        <v>1.96</v>
      </c>
      <c r="I351" s="7">
        <f t="shared" si="40"/>
        <v>7071</v>
      </c>
      <c r="J351" s="6">
        <v>6480</v>
      </c>
      <c r="K351" s="33">
        <v>591</v>
      </c>
      <c r="L351" s="5">
        <f t="shared" si="38"/>
        <v>9.1203703703703703E-2</v>
      </c>
      <c r="M351" s="26">
        <f t="shared" si="39"/>
        <v>1158.3599999999999</v>
      </c>
      <c r="N351" s="53" t="s">
        <v>263</v>
      </c>
    </row>
    <row r="352" spans="1:14" x14ac:dyDescent="0.25">
      <c r="A352" s="16" t="str">
        <f t="shared" si="41"/>
        <v>March</v>
      </c>
      <c r="B352" s="31">
        <v>43892</v>
      </c>
      <c r="C352" s="32" t="s">
        <v>26</v>
      </c>
      <c r="D352" s="9" t="str">
        <f t="shared" si="37"/>
        <v>43892 - 2S</v>
      </c>
      <c r="E352" s="32" t="s">
        <v>11</v>
      </c>
      <c r="F352" s="2">
        <v>8000034</v>
      </c>
      <c r="G352" s="4" t="str">
        <f>IFERROR(VLOOKUP(F352,Lists!$C:$D,2,0), "N/A")</f>
        <v>KS MILK CHOC MACADAMIA</v>
      </c>
      <c r="H352" s="26">
        <f>IFERROR(VLOOKUP(F352,Lists!$C:$F,4,0),0)</f>
        <v>3.8943099999999999</v>
      </c>
      <c r="I352" s="7">
        <f t="shared" si="40"/>
        <v>7372</v>
      </c>
      <c r="J352" s="6">
        <v>7200</v>
      </c>
      <c r="K352" s="33">
        <v>172</v>
      </c>
      <c r="L352" s="5">
        <f t="shared" si="38"/>
        <v>2.388888888888889E-2</v>
      </c>
      <c r="M352" s="26">
        <f t="shared" si="39"/>
        <v>669.82132000000001</v>
      </c>
    </row>
    <row r="353" spans="1:14" x14ac:dyDescent="0.25">
      <c r="A353" s="16" t="str">
        <f t="shared" si="41"/>
        <v>March</v>
      </c>
      <c r="B353" s="31">
        <v>43892</v>
      </c>
      <c r="C353" s="32" t="s">
        <v>26</v>
      </c>
      <c r="D353" s="9" t="str">
        <f t="shared" si="37"/>
        <v>43892 - 2S</v>
      </c>
      <c r="E353" s="32" t="s">
        <v>12</v>
      </c>
      <c r="F353" s="2">
        <v>8000055</v>
      </c>
      <c r="G353" s="4" t="str">
        <f>IFERROR(VLOOKUP(F353,Lists!$C:$D,2,0), "N/A")</f>
        <v>916.BF FLIPZ 25 LB BULK MILK CHOC</v>
      </c>
      <c r="H353" s="26">
        <f>IFERROR(VLOOKUP(F353,Lists!$C:$F,4,0),0)</f>
        <v>1.9508160000000001</v>
      </c>
      <c r="I353" s="7">
        <f t="shared" si="40"/>
        <v>12013</v>
      </c>
      <c r="J353" s="6">
        <f>480*25</f>
        <v>12000</v>
      </c>
      <c r="K353" s="33">
        <v>13</v>
      </c>
      <c r="L353" s="5">
        <f t="shared" si="38"/>
        <v>1.0833333333333333E-3</v>
      </c>
      <c r="M353" s="26">
        <f t="shared" si="39"/>
        <v>25.360608000000003</v>
      </c>
    </row>
    <row r="354" spans="1:14" x14ac:dyDescent="0.25">
      <c r="A354" s="16" t="str">
        <f t="shared" si="41"/>
        <v>March</v>
      </c>
      <c r="B354" s="31">
        <v>43892</v>
      </c>
      <c r="C354" s="32" t="s">
        <v>26</v>
      </c>
      <c r="D354" s="9" t="str">
        <f t="shared" si="37"/>
        <v>43892 - 2S</v>
      </c>
      <c r="E354" s="32" t="s">
        <v>13</v>
      </c>
      <c r="F354" s="2">
        <v>8000055</v>
      </c>
      <c r="G354" s="4" t="str">
        <f>IFERROR(VLOOKUP(F354,Lists!$C:$D,2,0), "N/A")</f>
        <v>916.BF FLIPZ 25 LB BULK MILK CHOC</v>
      </c>
      <c r="H354" s="26">
        <f>IFERROR(VLOOKUP(F354,Lists!$C:$F,4,0),0)</f>
        <v>1.9508160000000001</v>
      </c>
      <c r="I354" s="7">
        <f t="shared" si="40"/>
        <v>1009</v>
      </c>
      <c r="J354" s="6">
        <v>1000</v>
      </c>
      <c r="K354" s="33">
        <v>9</v>
      </c>
      <c r="L354" s="5">
        <f t="shared" si="38"/>
        <v>8.9999999999999993E-3</v>
      </c>
      <c r="M354" s="26">
        <f t="shared" si="39"/>
        <v>17.557344000000001</v>
      </c>
    </row>
    <row r="355" spans="1:14" x14ac:dyDescent="0.25">
      <c r="A355" s="16" t="str">
        <f t="shared" si="41"/>
        <v>March</v>
      </c>
      <c r="B355" s="31">
        <v>43892</v>
      </c>
      <c r="C355" s="32" t="s">
        <v>26</v>
      </c>
      <c r="D355" s="9" t="str">
        <f t="shared" si="37"/>
        <v>43892 - 2S</v>
      </c>
      <c r="E355" s="32" t="s">
        <v>15</v>
      </c>
      <c r="G355" s="4" t="str">
        <f>IFERROR(VLOOKUP(F355,Lists!$C:$D,2,0), "N/A")</f>
        <v>N/A</v>
      </c>
      <c r="H355" s="26">
        <f>IFERROR(VLOOKUP(F355,Lists!$C:$F,4,0),0)</f>
        <v>0</v>
      </c>
      <c r="I355" s="7">
        <f t="shared" si="40"/>
        <v>13</v>
      </c>
      <c r="K355" s="33">
        <v>13</v>
      </c>
      <c r="L355" s="5">
        <f t="shared" si="38"/>
        <v>1</v>
      </c>
      <c r="M355" s="26">
        <f t="shared" si="39"/>
        <v>0</v>
      </c>
    </row>
    <row r="356" spans="1:14" x14ac:dyDescent="0.25">
      <c r="A356" s="16" t="str">
        <f t="shared" si="41"/>
        <v>March</v>
      </c>
      <c r="B356" s="31">
        <v>43893</v>
      </c>
      <c r="C356" s="32" t="s">
        <v>26</v>
      </c>
      <c r="D356" s="9" t="str">
        <f t="shared" si="37"/>
        <v>43893 - 2S</v>
      </c>
      <c r="E356" s="32" t="s">
        <v>9</v>
      </c>
      <c r="F356" s="46">
        <v>8000038</v>
      </c>
      <c r="G356" s="4" t="str">
        <f>IFERROR(VLOOKUP(F356,Lists!$C:$D,2,0), "N/A")</f>
        <v>TURTLES MILK CHOC PEC BITE SZ</v>
      </c>
      <c r="H356" s="26">
        <f>IFERROR(VLOOKUP(F356,Lists!$C:$F,4,0),0)</f>
        <v>1.96</v>
      </c>
      <c r="I356" s="7">
        <f t="shared" si="40"/>
        <v>7681</v>
      </c>
      <c r="J356" s="6">
        <v>7200</v>
      </c>
      <c r="K356" s="33">
        <v>481</v>
      </c>
      <c r="L356" s="5">
        <f t="shared" si="38"/>
        <v>6.6805555555555562E-2</v>
      </c>
      <c r="M356" s="26">
        <f t="shared" si="39"/>
        <v>942.76</v>
      </c>
      <c r="N356" s="53" t="s">
        <v>264</v>
      </c>
    </row>
    <row r="357" spans="1:14" x14ac:dyDescent="0.25">
      <c r="A357" s="16" t="str">
        <f t="shared" si="41"/>
        <v>March</v>
      </c>
      <c r="B357" s="31">
        <v>43893</v>
      </c>
      <c r="C357" s="32" t="s">
        <v>26</v>
      </c>
      <c r="D357" s="9" t="str">
        <f t="shared" si="37"/>
        <v>43893 - 2S</v>
      </c>
      <c r="E357" s="32" t="s">
        <v>11</v>
      </c>
      <c r="F357" s="46">
        <v>8000034</v>
      </c>
      <c r="G357" s="4" t="str">
        <f>IFERROR(VLOOKUP(F357,Lists!$C:$D,2,0), "N/A")</f>
        <v>KS MILK CHOC MACADAMIA</v>
      </c>
      <c r="H357" s="26">
        <f>IFERROR(VLOOKUP(F357,Lists!$C:$F,4,0),0)</f>
        <v>3.8943099999999999</v>
      </c>
      <c r="I357" s="7">
        <f t="shared" si="40"/>
        <v>8185</v>
      </c>
      <c r="J357" s="6">
        <v>8000</v>
      </c>
      <c r="K357" s="33">
        <v>185</v>
      </c>
      <c r="L357" s="5">
        <f t="shared" si="38"/>
        <v>2.3125E-2</v>
      </c>
      <c r="M357" s="26">
        <f t="shared" si="39"/>
        <v>720.44735000000003</v>
      </c>
    </row>
    <row r="358" spans="1:14" x14ac:dyDescent="0.25">
      <c r="A358" s="16" t="str">
        <f t="shared" si="41"/>
        <v>March</v>
      </c>
      <c r="B358" s="31">
        <v>43893</v>
      </c>
      <c r="C358" s="32" t="s">
        <v>26</v>
      </c>
      <c r="D358" s="9" t="str">
        <f t="shared" si="37"/>
        <v>43893 - 2S</v>
      </c>
      <c r="E358" s="32" t="s">
        <v>12</v>
      </c>
      <c r="F358" s="46">
        <v>8000055</v>
      </c>
      <c r="G358" s="4" t="str">
        <f>IFERROR(VLOOKUP(F358,Lists!$C:$D,2,0), "N/A")</f>
        <v>916.BF FLIPZ 25 LB BULK MILK CHOC</v>
      </c>
      <c r="H358" s="26">
        <f>IFERROR(VLOOKUP(F358,Lists!$C:$F,4,0),0)</f>
        <v>1.9508160000000001</v>
      </c>
      <c r="I358" s="7">
        <f t="shared" si="40"/>
        <v>9040</v>
      </c>
      <c r="J358" s="6">
        <v>9000</v>
      </c>
      <c r="K358" s="33">
        <v>40</v>
      </c>
      <c r="L358" s="5">
        <f t="shared" si="38"/>
        <v>4.4444444444444444E-3</v>
      </c>
      <c r="M358" s="26">
        <f t="shared" si="39"/>
        <v>78.032640000000001</v>
      </c>
    </row>
    <row r="359" spans="1:14" x14ac:dyDescent="0.25">
      <c r="A359" s="16" t="str">
        <f t="shared" si="41"/>
        <v>March</v>
      </c>
      <c r="B359" s="31">
        <v>43893</v>
      </c>
      <c r="C359" s="32" t="s">
        <v>26</v>
      </c>
      <c r="D359" s="9" t="str">
        <f t="shared" si="37"/>
        <v>43893 - 2S</v>
      </c>
      <c r="E359" s="32" t="s">
        <v>13</v>
      </c>
      <c r="F359" s="46">
        <v>8000055</v>
      </c>
      <c r="G359" s="4" t="str">
        <f>IFERROR(VLOOKUP(F359,Lists!$C:$D,2,0), "N/A")</f>
        <v>916.BF FLIPZ 25 LB BULK MILK CHOC</v>
      </c>
      <c r="H359" s="26">
        <f>IFERROR(VLOOKUP(F359,Lists!$C:$F,4,0),0)</f>
        <v>1.9508160000000001</v>
      </c>
      <c r="I359" s="7">
        <f t="shared" si="40"/>
        <v>2031</v>
      </c>
      <c r="J359" s="6">
        <v>2000</v>
      </c>
      <c r="K359" s="33">
        <v>31</v>
      </c>
      <c r="L359" s="5">
        <f t="shared" si="38"/>
        <v>1.55E-2</v>
      </c>
      <c r="M359" s="26">
        <f t="shared" si="39"/>
        <v>60.475296</v>
      </c>
    </row>
    <row r="360" spans="1:14" x14ac:dyDescent="0.25">
      <c r="A360" s="16" t="str">
        <f t="shared" si="41"/>
        <v>March</v>
      </c>
      <c r="B360" s="31">
        <v>43893</v>
      </c>
      <c r="C360" s="32" t="s">
        <v>26</v>
      </c>
      <c r="D360" s="9" t="str">
        <f t="shared" si="37"/>
        <v>43893 - 2S</v>
      </c>
      <c r="E360" s="32" t="s">
        <v>15</v>
      </c>
      <c r="G360" s="4" t="str">
        <f>IFERROR(VLOOKUP(F360,Lists!$C:$D,2,0), "N/A")</f>
        <v>N/A</v>
      </c>
      <c r="H360" s="26">
        <f>IFERROR(VLOOKUP(F360,Lists!$C:$F,4,0),0)</f>
        <v>0</v>
      </c>
      <c r="I360" s="7">
        <f t="shared" si="40"/>
        <v>10</v>
      </c>
      <c r="K360" s="33">
        <v>10</v>
      </c>
      <c r="L360" s="5">
        <f t="shared" si="38"/>
        <v>1</v>
      </c>
      <c r="M360" s="26">
        <f t="shared" si="39"/>
        <v>0</v>
      </c>
    </row>
    <row r="361" spans="1:14" x14ac:dyDescent="0.25">
      <c r="A361" s="16" t="str">
        <f t="shared" si="41"/>
        <v>March</v>
      </c>
      <c r="B361" s="31">
        <v>43894</v>
      </c>
      <c r="C361" s="32" t="s">
        <v>26</v>
      </c>
      <c r="D361" s="9" t="str">
        <f t="shared" si="37"/>
        <v>43894 - 2S</v>
      </c>
      <c r="E361" s="32" t="s">
        <v>9</v>
      </c>
      <c r="F361" s="46">
        <v>8000038</v>
      </c>
      <c r="G361" s="4" t="str">
        <f>IFERROR(VLOOKUP(F361,Lists!$C:$D,2,0), "N/A")</f>
        <v>TURTLES MILK CHOC PEC BITE SZ</v>
      </c>
      <c r="H361" s="26">
        <f>IFERROR(VLOOKUP(F361,Lists!$C:$F,4,0),0)</f>
        <v>1.96</v>
      </c>
      <c r="I361" s="7">
        <f t="shared" si="40"/>
        <v>7611</v>
      </c>
      <c r="J361" s="6">
        <v>7200</v>
      </c>
      <c r="K361" s="33">
        <v>411</v>
      </c>
      <c r="L361" s="5">
        <f t="shared" si="38"/>
        <v>5.7083333333333333E-2</v>
      </c>
      <c r="M361" s="26">
        <f t="shared" si="39"/>
        <v>805.56</v>
      </c>
    </row>
    <row r="362" spans="1:14" x14ac:dyDescent="0.25">
      <c r="A362" s="16" t="str">
        <f t="shared" si="41"/>
        <v>March</v>
      </c>
      <c r="B362" s="31">
        <v>43894</v>
      </c>
      <c r="C362" s="32" t="s">
        <v>26</v>
      </c>
      <c r="D362" s="9" t="str">
        <f t="shared" si="37"/>
        <v>43894 - 2S</v>
      </c>
      <c r="E362" s="32" t="s">
        <v>11</v>
      </c>
      <c r="F362" s="46">
        <v>8000034</v>
      </c>
      <c r="G362" s="4" t="str">
        <f>IFERROR(VLOOKUP(F362,Lists!$C:$D,2,0), "N/A")</f>
        <v>KS MILK CHOC MACADAMIA</v>
      </c>
      <c r="H362" s="26">
        <f>IFERROR(VLOOKUP(F362,Lists!$C:$F,4,0),0)</f>
        <v>3.8943099999999999</v>
      </c>
      <c r="I362" s="7">
        <f t="shared" si="40"/>
        <v>6463</v>
      </c>
      <c r="J362" s="6">
        <v>6400</v>
      </c>
      <c r="K362" s="33">
        <v>63</v>
      </c>
      <c r="L362" s="5">
        <f t="shared" si="38"/>
        <v>9.8437500000000001E-3</v>
      </c>
      <c r="M362" s="26">
        <f t="shared" si="39"/>
        <v>245.34153000000001</v>
      </c>
    </row>
    <row r="363" spans="1:14" x14ac:dyDescent="0.25">
      <c r="A363" s="16" t="str">
        <f t="shared" si="41"/>
        <v>March</v>
      </c>
      <c r="B363" s="31">
        <v>43894</v>
      </c>
      <c r="C363" s="32" t="s">
        <v>26</v>
      </c>
      <c r="D363" s="9" t="str">
        <f t="shared" si="37"/>
        <v>43894 - 2S</v>
      </c>
      <c r="E363" s="32" t="s">
        <v>12</v>
      </c>
      <c r="F363" s="46">
        <v>8000055</v>
      </c>
      <c r="G363" s="4" t="str">
        <f>IFERROR(VLOOKUP(F363,Lists!$C:$D,2,0), "N/A")</f>
        <v>916.BF FLIPZ 25 LB BULK MILK CHOC</v>
      </c>
      <c r="H363" s="26">
        <f>IFERROR(VLOOKUP(F363,Lists!$C:$F,4,0),0)</f>
        <v>1.9508160000000001</v>
      </c>
      <c r="I363" s="7">
        <f t="shared" si="40"/>
        <v>10012</v>
      </c>
      <c r="J363" s="6">
        <v>10000</v>
      </c>
      <c r="K363" s="33">
        <v>12</v>
      </c>
      <c r="L363" s="5">
        <f t="shared" si="38"/>
        <v>1.1999999999999999E-3</v>
      </c>
      <c r="M363" s="26">
        <f t="shared" si="39"/>
        <v>23.409792000000003</v>
      </c>
    </row>
    <row r="364" spans="1:14" x14ac:dyDescent="0.25">
      <c r="A364" s="16" t="str">
        <f t="shared" si="41"/>
        <v>March</v>
      </c>
      <c r="B364" s="31">
        <v>43894</v>
      </c>
      <c r="C364" s="32" t="s">
        <v>26</v>
      </c>
      <c r="D364" s="9" t="str">
        <f t="shared" si="37"/>
        <v>43894 - 2S</v>
      </c>
      <c r="E364" s="32" t="s">
        <v>13</v>
      </c>
      <c r="F364" s="46">
        <v>8000055</v>
      </c>
      <c r="G364" s="4" t="str">
        <f>IFERROR(VLOOKUP(F364,Lists!$C:$D,2,0), "N/A")</f>
        <v>916.BF FLIPZ 25 LB BULK MILK CHOC</v>
      </c>
      <c r="H364" s="26">
        <f>IFERROR(VLOOKUP(F364,Lists!$C:$F,4,0),0)</f>
        <v>1.9508160000000001</v>
      </c>
      <c r="I364" s="7">
        <f t="shared" si="40"/>
        <v>2024</v>
      </c>
      <c r="J364" s="6">
        <v>2000</v>
      </c>
      <c r="K364" s="33">
        <v>24</v>
      </c>
      <c r="L364" s="5">
        <f t="shared" si="38"/>
        <v>1.2E-2</v>
      </c>
      <c r="M364" s="26">
        <f t="shared" si="39"/>
        <v>46.819584000000006</v>
      </c>
    </row>
    <row r="365" spans="1:14" x14ac:dyDescent="0.25">
      <c r="A365" s="16" t="str">
        <f t="shared" si="41"/>
        <v>March</v>
      </c>
      <c r="B365" s="31">
        <v>43894</v>
      </c>
      <c r="C365" s="32" t="s">
        <v>26</v>
      </c>
      <c r="D365" s="9" t="str">
        <f t="shared" si="37"/>
        <v>43894 - 2S</v>
      </c>
      <c r="E365" s="32" t="s">
        <v>15</v>
      </c>
      <c r="G365" s="4" t="str">
        <f>IFERROR(VLOOKUP(F365,Lists!$C:$D,2,0), "N/A")</f>
        <v>N/A</v>
      </c>
      <c r="H365" s="26">
        <f>IFERROR(VLOOKUP(F365,Lists!$C:$F,4,0),0)</f>
        <v>0</v>
      </c>
      <c r="I365" s="7">
        <f t="shared" si="40"/>
        <v>35</v>
      </c>
      <c r="K365" s="33">
        <v>35</v>
      </c>
      <c r="L365" s="5">
        <f t="shared" si="38"/>
        <v>1</v>
      </c>
      <c r="M365" s="26">
        <f t="shared" si="39"/>
        <v>0</v>
      </c>
    </row>
    <row r="366" spans="1:14" ht="26.25" x14ac:dyDescent="0.25">
      <c r="A366" s="16" t="str">
        <f t="shared" si="41"/>
        <v>March</v>
      </c>
      <c r="B366" s="31">
        <v>43895</v>
      </c>
      <c r="C366" s="32" t="s">
        <v>26</v>
      </c>
      <c r="D366" s="9" t="str">
        <f t="shared" si="37"/>
        <v>43895 - 2S</v>
      </c>
      <c r="E366" s="32" t="s">
        <v>9</v>
      </c>
      <c r="F366" s="2">
        <v>8000038</v>
      </c>
      <c r="G366" s="4" t="str">
        <f>IFERROR(VLOOKUP(F366,Lists!$C:$D,2,0), "N/A")</f>
        <v>TURTLES MILK CHOC PEC BITE SZ</v>
      </c>
      <c r="H366" s="26">
        <f>IFERROR(VLOOKUP(F366,Lists!$C:$F,4,0),0)</f>
        <v>1.96</v>
      </c>
      <c r="I366" s="7">
        <f t="shared" si="40"/>
        <v>3213</v>
      </c>
      <c r="J366" s="6">
        <v>2839</v>
      </c>
      <c r="K366" s="33">
        <v>374</v>
      </c>
      <c r="L366" s="5">
        <f t="shared" si="38"/>
        <v>0.1317365269461078</v>
      </c>
      <c r="M366" s="26">
        <f t="shared" si="39"/>
        <v>733.04</v>
      </c>
      <c r="N366" s="53" t="s">
        <v>275</v>
      </c>
    </row>
    <row r="367" spans="1:14" x14ac:dyDescent="0.25">
      <c r="A367" s="16" t="str">
        <f t="shared" si="41"/>
        <v>March</v>
      </c>
      <c r="B367" s="31">
        <v>43895</v>
      </c>
      <c r="C367" s="32" t="s">
        <v>26</v>
      </c>
      <c r="D367" s="9" t="str">
        <f t="shared" si="37"/>
        <v>43895 - 2S</v>
      </c>
      <c r="E367" s="32" t="s">
        <v>11</v>
      </c>
      <c r="F367" s="2">
        <v>8000034</v>
      </c>
      <c r="G367" s="4" t="str">
        <f>IFERROR(VLOOKUP(F367,Lists!$C:$D,2,0), "N/A")</f>
        <v>KS MILK CHOC MACADAMIA</v>
      </c>
      <c r="H367" s="26">
        <f>IFERROR(VLOOKUP(F367,Lists!$C:$F,4,0),0)</f>
        <v>3.8943099999999999</v>
      </c>
      <c r="I367" s="7">
        <f t="shared" ref="I367:I369" si="42">J367+K367</f>
        <v>7309</v>
      </c>
      <c r="J367" s="6">
        <v>7200</v>
      </c>
      <c r="K367" s="33">
        <v>109</v>
      </c>
      <c r="L367" s="5">
        <f t="shared" si="38"/>
        <v>1.5138888888888889E-2</v>
      </c>
      <c r="M367" s="26">
        <f t="shared" si="39"/>
        <v>424.47978999999998</v>
      </c>
    </row>
    <row r="368" spans="1:14" x14ac:dyDescent="0.25">
      <c r="A368" s="16" t="str">
        <f t="shared" si="41"/>
        <v>March</v>
      </c>
      <c r="B368" s="31">
        <v>43895</v>
      </c>
      <c r="C368" s="32" t="s">
        <v>26</v>
      </c>
      <c r="D368" s="9" t="str">
        <f t="shared" si="37"/>
        <v>43895 - 2S</v>
      </c>
      <c r="E368" s="32" t="s">
        <v>12</v>
      </c>
      <c r="F368" s="2">
        <v>8000055</v>
      </c>
      <c r="G368" s="4" t="str">
        <f>IFERROR(VLOOKUP(F368,Lists!$C:$D,2,0), "N/A")</f>
        <v>916.BF FLIPZ 25 LB BULK MILK CHOC</v>
      </c>
      <c r="H368" s="26">
        <f>IFERROR(VLOOKUP(F368,Lists!$C:$F,4,0),0)</f>
        <v>1.9508160000000001</v>
      </c>
      <c r="I368" s="7">
        <f t="shared" si="42"/>
        <v>5015</v>
      </c>
      <c r="J368" s="6">
        <f>200*25</f>
        <v>5000</v>
      </c>
      <c r="K368" s="33">
        <v>15</v>
      </c>
      <c r="L368" s="5">
        <f t="shared" si="38"/>
        <v>3.0000000000000001E-3</v>
      </c>
      <c r="M368" s="26">
        <f t="shared" si="39"/>
        <v>29.262240000000002</v>
      </c>
    </row>
    <row r="369" spans="1:14" x14ac:dyDescent="0.25">
      <c r="A369" s="16" t="s">
        <v>247</v>
      </c>
      <c r="B369" s="31">
        <v>43896</v>
      </c>
      <c r="C369" s="32" t="s">
        <v>26</v>
      </c>
      <c r="D369" s="9" t="str">
        <f t="shared" si="37"/>
        <v>43896 - 2S</v>
      </c>
      <c r="E369" s="32" t="s">
        <v>11</v>
      </c>
      <c r="F369" s="2">
        <v>8000034</v>
      </c>
      <c r="G369" s="4" t="str">
        <f>IFERROR(VLOOKUP(F369,Lists!$C:$D,2,0), "N/A")</f>
        <v>KS MILK CHOC MACADAMIA</v>
      </c>
      <c r="H369" s="26">
        <f>IFERROR(VLOOKUP(F369,Lists!$C:$F,4,0),0)</f>
        <v>3.8943099999999999</v>
      </c>
      <c r="I369" s="7">
        <f t="shared" si="42"/>
        <v>4822</v>
      </c>
      <c r="J369" s="6">
        <v>4800</v>
      </c>
      <c r="K369" s="33">
        <v>22</v>
      </c>
      <c r="L369" s="5">
        <f t="shared" si="38"/>
        <v>4.5833333333333334E-3</v>
      </c>
      <c r="M369" s="26">
        <f t="shared" si="39"/>
        <v>85.674819999999997</v>
      </c>
    </row>
    <row r="370" spans="1:14" x14ac:dyDescent="0.25">
      <c r="A370" s="16" t="str">
        <f>IFERROR(TEXT(B370,"mmmm"),"N/A")</f>
        <v>January</v>
      </c>
      <c r="B370" s="31">
        <v>43832</v>
      </c>
      <c r="C370" s="32" t="s">
        <v>24</v>
      </c>
      <c r="D370" s="9" t="str">
        <f t="shared" si="37"/>
        <v>43832 - 3S</v>
      </c>
      <c r="E370" s="32" t="s">
        <v>9</v>
      </c>
      <c r="F370" s="2">
        <v>8000038</v>
      </c>
      <c r="G370" s="4" t="str">
        <f>IFERROR(VLOOKUP(F370,Lists!$C:$D,2,0), "N/A")</f>
        <v>TURTLES MILK CHOC PEC BITE SZ</v>
      </c>
      <c r="H370" s="26"/>
      <c r="I370" s="7">
        <f t="shared" ref="I370:I401" si="43">J370</f>
        <v>0</v>
      </c>
      <c r="J370" s="6">
        <v>0</v>
      </c>
      <c r="K370" s="33">
        <v>30</v>
      </c>
      <c r="L370" s="5">
        <f t="shared" si="38"/>
        <v>1</v>
      </c>
      <c r="M370" s="26">
        <f t="shared" si="39"/>
        <v>0</v>
      </c>
    </row>
    <row r="371" spans="1:14" ht="26.25" x14ac:dyDescent="0.25">
      <c r="A371" s="16" t="str">
        <f t="shared" ref="A371:A402" si="44">TEXT(B371,"mmmm")</f>
        <v>January</v>
      </c>
      <c r="B371" s="31">
        <v>43833</v>
      </c>
      <c r="C371" s="32" t="s">
        <v>24</v>
      </c>
      <c r="D371" s="9" t="str">
        <f t="shared" si="37"/>
        <v>43833 - 3S</v>
      </c>
      <c r="E371" s="32" t="s">
        <v>9</v>
      </c>
      <c r="F371" s="2">
        <v>8000038</v>
      </c>
      <c r="G371" s="4" t="str">
        <f>IFERROR(VLOOKUP(F371,Lists!$C:$D,2,0), "N/A")</f>
        <v>TURTLES MILK CHOC PEC BITE SZ</v>
      </c>
      <c r="H371" s="26">
        <f>IFERROR(VLOOKUP(F371,Lists!$C:$E,3,0),0)</f>
        <v>1.9453399999999998</v>
      </c>
      <c r="I371" s="7">
        <f t="shared" si="43"/>
        <v>3974.88</v>
      </c>
      <c r="J371" s="6">
        <v>3974.88</v>
      </c>
      <c r="K371" s="33">
        <v>456</v>
      </c>
      <c r="L371" s="5">
        <f t="shared" si="38"/>
        <v>0.11472044439077406</v>
      </c>
      <c r="M371" s="26">
        <f t="shared" si="39"/>
        <v>887.07503999999994</v>
      </c>
      <c r="N371" s="53" t="s">
        <v>29</v>
      </c>
    </row>
    <row r="372" spans="1:14" ht="22.5" customHeight="1" x14ac:dyDescent="0.25">
      <c r="A372" s="16" t="str">
        <f t="shared" si="44"/>
        <v>January</v>
      </c>
      <c r="B372" s="31">
        <v>43836</v>
      </c>
      <c r="C372" s="32" t="s">
        <v>24</v>
      </c>
      <c r="D372" s="9" t="str">
        <f t="shared" si="37"/>
        <v>43836 - 3S</v>
      </c>
      <c r="E372" s="32" t="s">
        <v>9</v>
      </c>
      <c r="F372" s="2">
        <v>8000035</v>
      </c>
      <c r="G372" s="4" t="str">
        <f>IFERROR(VLOOKUP(F372,Lists!$C:$D,2,0), "N/A")</f>
        <v>TURTLES MILK CHOC ORIGINAL</v>
      </c>
      <c r="H372" s="26">
        <f>IFERROR(VLOOKUP(F372,Lists!$C:$E,3,0),0)</f>
        <v>1.89697</v>
      </c>
      <c r="I372" s="7">
        <f t="shared" si="43"/>
        <v>5164</v>
      </c>
      <c r="J372" s="6">
        <v>5164</v>
      </c>
      <c r="K372" s="33">
        <v>240</v>
      </c>
      <c r="L372" s="5">
        <f t="shared" si="38"/>
        <v>4.6475600309837335E-2</v>
      </c>
      <c r="M372" s="26">
        <f t="shared" si="39"/>
        <v>455.27280000000002</v>
      </c>
      <c r="N372" s="53" t="s">
        <v>30</v>
      </c>
    </row>
    <row r="373" spans="1:14" x14ac:dyDescent="0.25">
      <c r="A373" s="16" t="str">
        <f t="shared" si="44"/>
        <v>January</v>
      </c>
      <c r="B373" s="31">
        <v>43837</v>
      </c>
      <c r="C373" s="32" t="s">
        <v>24</v>
      </c>
      <c r="D373" s="9" t="str">
        <f t="shared" si="37"/>
        <v>43837 - 3S</v>
      </c>
      <c r="E373" s="32" t="s">
        <v>9</v>
      </c>
      <c r="F373" s="2">
        <v>8000035</v>
      </c>
      <c r="G373" s="4" t="str">
        <f>IFERROR(VLOOKUP(F373,Lists!$C:$D,2,0), "N/A")</f>
        <v>TURTLES MILK CHOC ORIGINAL</v>
      </c>
      <c r="H373" s="26">
        <f>IFERROR(VLOOKUP(F373,Lists!$C:$E,3,0),0)</f>
        <v>1.89697</v>
      </c>
      <c r="I373" s="7">
        <f t="shared" si="43"/>
        <v>8902.4</v>
      </c>
      <c r="J373" s="6">
        <v>8902.4</v>
      </c>
      <c r="K373" s="33">
        <v>321</v>
      </c>
      <c r="L373" s="5">
        <f t="shared" si="38"/>
        <v>3.6057692307692311E-2</v>
      </c>
      <c r="M373" s="26">
        <f t="shared" si="39"/>
        <v>608.92737</v>
      </c>
    </row>
    <row r="374" spans="1:14" x14ac:dyDescent="0.25">
      <c r="A374" s="16" t="str">
        <f t="shared" si="44"/>
        <v>January</v>
      </c>
      <c r="B374" s="31">
        <v>43838</v>
      </c>
      <c r="C374" s="32" t="s">
        <v>24</v>
      </c>
      <c r="D374" s="9" t="str">
        <f t="shared" si="37"/>
        <v>43838 - 3S</v>
      </c>
      <c r="E374" s="32" t="s">
        <v>9</v>
      </c>
      <c r="F374" s="2">
        <v>8000035</v>
      </c>
      <c r="G374" s="4" t="str">
        <f>IFERROR(VLOOKUP(F374,Lists!$C:$D,2,0), "N/A")</f>
        <v>TURTLES MILK CHOC ORIGINAL</v>
      </c>
      <c r="H374" s="26">
        <f>IFERROR(VLOOKUP(F374,Lists!$C:$E,3,0),0)</f>
        <v>1.89697</v>
      </c>
      <c r="I374" s="7">
        <f t="shared" si="43"/>
        <v>10502.4</v>
      </c>
      <c r="J374" s="6">
        <v>10502.4</v>
      </c>
      <c r="K374" s="33">
        <v>439</v>
      </c>
      <c r="L374" s="5">
        <f t="shared" si="38"/>
        <v>4.1799969530773917E-2</v>
      </c>
      <c r="M374" s="26">
        <f t="shared" si="39"/>
        <v>832.76983000000007</v>
      </c>
      <c r="N374" s="53" t="s">
        <v>31</v>
      </c>
    </row>
    <row r="375" spans="1:14" x14ac:dyDescent="0.25">
      <c r="A375" s="16" t="str">
        <f t="shared" si="44"/>
        <v>January</v>
      </c>
      <c r="B375" s="31">
        <v>43839</v>
      </c>
      <c r="C375" s="32" t="s">
        <v>24</v>
      </c>
      <c r="D375" s="9" t="str">
        <f t="shared" si="37"/>
        <v>43839 - 3S</v>
      </c>
      <c r="E375" s="32" t="s">
        <v>9</v>
      </c>
      <c r="F375" s="2">
        <v>8000035</v>
      </c>
      <c r="G375" s="4" t="str">
        <f>IFERROR(VLOOKUP(F375,Lists!$C:$D,2,0), "N/A")</f>
        <v>TURTLES MILK CHOC ORIGINAL</v>
      </c>
      <c r="H375" s="26">
        <f>IFERROR(VLOOKUP(F375,Lists!$C:$E,3,0),0)</f>
        <v>1.89697</v>
      </c>
      <c r="I375" s="7">
        <f t="shared" si="43"/>
        <v>10502.4</v>
      </c>
      <c r="J375" s="6">
        <v>10502.4</v>
      </c>
      <c r="K375" s="33">
        <v>491</v>
      </c>
      <c r="L375" s="5">
        <f t="shared" si="38"/>
        <v>4.6751218769043271E-2</v>
      </c>
      <c r="M375" s="26">
        <f t="shared" si="39"/>
        <v>931.41227000000003</v>
      </c>
      <c r="N375" s="53" t="s">
        <v>31</v>
      </c>
    </row>
    <row r="376" spans="1:14" x14ac:dyDescent="0.25">
      <c r="A376" s="16" t="str">
        <f t="shared" si="44"/>
        <v>January</v>
      </c>
      <c r="B376" s="31">
        <v>43840</v>
      </c>
      <c r="C376" s="32" t="s">
        <v>24</v>
      </c>
      <c r="D376" s="9" t="str">
        <f t="shared" si="37"/>
        <v>43840 - 3S</v>
      </c>
      <c r="E376" s="32" t="s">
        <v>9</v>
      </c>
      <c r="F376" s="2">
        <v>8000035</v>
      </c>
      <c r="G376" s="4" t="str">
        <f>IFERROR(VLOOKUP(F376,Lists!$C:$D,2,0), "N/A")</f>
        <v>TURTLES MILK CHOC ORIGINAL</v>
      </c>
      <c r="H376" s="26">
        <f>IFERROR(VLOOKUP(F376,Lists!$C:$E,3,0),0)</f>
        <v>1.89697</v>
      </c>
      <c r="I376" s="7">
        <f t="shared" si="43"/>
        <v>9876.7999999999993</v>
      </c>
      <c r="J376" s="6">
        <v>9876.7999999999993</v>
      </c>
      <c r="K376" s="33">
        <v>420</v>
      </c>
      <c r="L376" s="5">
        <f t="shared" si="38"/>
        <v>4.2523894378746159E-2</v>
      </c>
      <c r="M376" s="26">
        <f t="shared" si="39"/>
        <v>796.72739999999999</v>
      </c>
    </row>
    <row r="377" spans="1:14" x14ac:dyDescent="0.25">
      <c r="A377" s="16" t="str">
        <f t="shared" si="44"/>
        <v>January</v>
      </c>
      <c r="B377" s="31">
        <v>43843</v>
      </c>
      <c r="C377" s="32" t="s">
        <v>24</v>
      </c>
      <c r="D377" s="9" t="str">
        <f t="shared" si="37"/>
        <v>43843 - 3S</v>
      </c>
      <c r="E377" s="32" t="s">
        <v>9</v>
      </c>
      <c r="F377" s="2">
        <v>8000035</v>
      </c>
      <c r="G377" s="4" t="str">
        <f>IFERROR(VLOOKUP(F377,Lists!$C:$D,2,0), "N/A")</f>
        <v>TURTLES MILK CHOC ORIGINAL</v>
      </c>
      <c r="H377" s="26">
        <f>IFERROR(VLOOKUP(F377,Lists!$C:$E,3,0),0)</f>
        <v>1.89697</v>
      </c>
      <c r="I377" s="7">
        <f t="shared" si="43"/>
        <v>4356</v>
      </c>
      <c r="J377" s="6">
        <v>4356</v>
      </c>
      <c r="K377" s="33">
        <v>243</v>
      </c>
      <c r="L377" s="5">
        <f t="shared" si="38"/>
        <v>5.578512396694215E-2</v>
      </c>
      <c r="M377" s="26">
        <f t="shared" si="39"/>
        <v>460.96370999999999</v>
      </c>
    </row>
    <row r="378" spans="1:14" x14ac:dyDescent="0.25">
      <c r="A378" s="16" t="str">
        <f t="shared" si="44"/>
        <v>January</v>
      </c>
      <c r="B378" s="31">
        <v>43844</v>
      </c>
      <c r="C378" s="32" t="s">
        <v>24</v>
      </c>
      <c r="D378" s="9" t="str">
        <f t="shared" si="37"/>
        <v>43844 - 3S</v>
      </c>
      <c r="E378" s="32" t="s">
        <v>9</v>
      </c>
      <c r="F378" s="2">
        <v>8000035</v>
      </c>
      <c r="G378" s="4" t="str">
        <f>IFERROR(VLOOKUP(F378,Lists!$C:$D,2,0), "N/A")</f>
        <v>TURTLES MILK CHOC ORIGINAL</v>
      </c>
      <c r="H378" s="26">
        <f>IFERROR(VLOOKUP(F378,Lists!$C:$E,3,0),0)</f>
        <v>1.89697</v>
      </c>
      <c r="I378" s="7">
        <f t="shared" si="43"/>
        <v>3912.48</v>
      </c>
      <c r="J378" s="6">
        <v>3912.48</v>
      </c>
      <c r="K378" s="33">
        <v>324</v>
      </c>
      <c r="L378" s="5">
        <f t="shared" si="38"/>
        <v>8.2811924917188071E-2</v>
      </c>
      <c r="M378" s="26">
        <f t="shared" si="39"/>
        <v>614.61828000000003</v>
      </c>
    </row>
    <row r="379" spans="1:14" x14ac:dyDescent="0.25">
      <c r="A379" s="16" t="str">
        <f t="shared" si="44"/>
        <v>January</v>
      </c>
      <c r="B379" s="31">
        <v>43845</v>
      </c>
      <c r="C379" s="32" t="s">
        <v>24</v>
      </c>
      <c r="D379" s="9" t="str">
        <f t="shared" si="37"/>
        <v>43845 - 3S</v>
      </c>
      <c r="E379" s="32" t="s">
        <v>9</v>
      </c>
      <c r="F379" s="2">
        <v>8000035</v>
      </c>
      <c r="G379" s="4" t="str">
        <f>IFERROR(VLOOKUP(F379,Lists!$C:$D,2,0), "N/A")</f>
        <v>TURTLES MILK CHOC ORIGINAL</v>
      </c>
      <c r="H379" s="26">
        <f>IFERROR(VLOOKUP(F379,Lists!$C:$E,3,0),0)</f>
        <v>1.89697</v>
      </c>
      <c r="I379" s="7">
        <f t="shared" si="43"/>
        <v>4989.6000000000004</v>
      </c>
      <c r="J379" s="6">
        <v>4989.6000000000004</v>
      </c>
      <c r="K379" s="33">
        <v>347</v>
      </c>
      <c r="L379" s="5">
        <f t="shared" si="38"/>
        <v>6.954465287798621E-2</v>
      </c>
      <c r="M379" s="26">
        <f t="shared" si="39"/>
        <v>658.24859000000004</v>
      </c>
      <c r="N379" s="53" t="s">
        <v>34</v>
      </c>
    </row>
    <row r="380" spans="1:14" x14ac:dyDescent="0.25">
      <c r="A380" s="16" t="str">
        <f t="shared" si="44"/>
        <v>January</v>
      </c>
      <c r="B380" s="31">
        <v>43846</v>
      </c>
      <c r="C380" s="32" t="s">
        <v>24</v>
      </c>
      <c r="D380" s="9" t="str">
        <f t="shared" si="37"/>
        <v>43846 - 3S</v>
      </c>
      <c r="E380" s="32" t="s">
        <v>9</v>
      </c>
      <c r="F380" s="2">
        <v>8000035</v>
      </c>
      <c r="G380" s="4" t="str">
        <f>IFERROR(VLOOKUP(F380,Lists!$C:$D,2,0), "N/A")</f>
        <v>TURTLES MILK CHOC ORIGINAL</v>
      </c>
      <c r="H380" s="26">
        <f>IFERROR(VLOOKUP(F380,Lists!$C:$E,3,0),0)</f>
        <v>1.89697</v>
      </c>
      <c r="I380" s="7">
        <f t="shared" si="43"/>
        <v>4989.6000000000004</v>
      </c>
      <c r="J380" s="6">
        <v>4989.6000000000004</v>
      </c>
      <c r="K380" s="33">
        <v>546</v>
      </c>
      <c r="L380" s="5">
        <f t="shared" si="38"/>
        <v>0.10942760942760942</v>
      </c>
      <c r="M380" s="26">
        <f t="shared" si="39"/>
        <v>1035.7456199999999</v>
      </c>
    </row>
    <row r="381" spans="1:14" ht="26.25" x14ac:dyDescent="0.25">
      <c r="A381" s="16" t="str">
        <f t="shared" si="44"/>
        <v>January</v>
      </c>
      <c r="B381" s="31">
        <v>43847</v>
      </c>
      <c r="C381" s="32" t="s">
        <v>24</v>
      </c>
      <c r="D381" s="9" t="str">
        <f t="shared" si="37"/>
        <v>43847 - 3S</v>
      </c>
      <c r="E381" s="32" t="s">
        <v>9</v>
      </c>
      <c r="F381" s="2">
        <v>8000035</v>
      </c>
      <c r="G381" s="4" t="str">
        <f>IFERROR(VLOOKUP(F381,Lists!$C:$D,2,0), "N/A")</f>
        <v>TURTLES MILK CHOC ORIGINAL</v>
      </c>
      <c r="H381" s="26">
        <f>IFERROR(VLOOKUP(F381,Lists!$C:$E,3,0),0)</f>
        <v>1.89697</v>
      </c>
      <c r="I381" s="7">
        <f t="shared" si="43"/>
        <v>5480.64</v>
      </c>
      <c r="J381" s="6">
        <v>5480.64</v>
      </c>
      <c r="K381" s="33">
        <v>546</v>
      </c>
      <c r="L381" s="5">
        <f t="shared" si="38"/>
        <v>9.962340164652303E-2</v>
      </c>
      <c r="M381" s="26">
        <f t="shared" si="39"/>
        <v>1035.7456199999999</v>
      </c>
      <c r="N381" s="53" t="s">
        <v>36</v>
      </c>
    </row>
    <row r="382" spans="1:14" x14ac:dyDescent="0.25">
      <c r="A382" s="16" t="str">
        <f t="shared" si="44"/>
        <v>January</v>
      </c>
      <c r="B382" s="31">
        <v>43851</v>
      </c>
      <c r="C382" s="32" t="s">
        <v>24</v>
      </c>
      <c r="D382" s="9" t="str">
        <f t="shared" si="37"/>
        <v>43851 - 3S</v>
      </c>
      <c r="E382" s="32" t="s">
        <v>9</v>
      </c>
      <c r="F382" s="2">
        <v>8000035</v>
      </c>
      <c r="G382" s="4" t="str">
        <f>IFERROR(VLOOKUP(F382,Lists!$C:$D,2,0), "N/A")</f>
        <v>TURTLES MILK CHOC ORIGINAL</v>
      </c>
      <c r="H382" s="26">
        <f>IFERROR(VLOOKUP(F382,Lists!$C:$E,3,0),0)</f>
        <v>1.89697</v>
      </c>
      <c r="I382" s="7">
        <f t="shared" si="43"/>
        <v>1425.6</v>
      </c>
      <c r="J382" s="6">
        <v>1425.6</v>
      </c>
      <c r="K382" s="33">
        <v>250</v>
      </c>
      <c r="L382" s="5">
        <f t="shared" si="38"/>
        <v>0.17536475869809204</v>
      </c>
      <c r="M382" s="26">
        <f t="shared" si="39"/>
        <v>474.24250000000001</v>
      </c>
      <c r="N382" s="53" t="s">
        <v>37</v>
      </c>
    </row>
    <row r="383" spans="1:14" x14ac:dyDescent="0.25">
      <c r="A383" s="16" t="str">
        <f t="shared" si="44"/>
        <v>January</v>
      </c>
      <c r="B383" s="31">
        <v>43852</v>
      </c>
      <c r="C383" s="32" t="s">
        <v>24</v>
      </c>
      <c r="D383" s="9" t="str">
        <f t="shared" si="37"/>
        <v>43852 - 3S</v>
      </c>
      <c r="E383" s="32" t="s">
        <v>9</v>
      </c>
      <c r="F383" s="2">
        <v>8000038</v>
      </c>
      <c r="G383" s="4" t="str">
        <f>IFERROR(VLOOKUP(F383,Lists!$C:$D,2,0), "N/A")</f>
        <v>TURTLES MILK CHOC PEC BITE SZ</v>
      </c>
      <c r="H383" s="26">
        <f>IFERROR(VLOOKUP(F383,Lists!$C:$E,3,0),0)</f>
        <v>1.9453399999999998</v>
      </c>
      <c r="I383" s="7">
        <f t="shared" si="43"/>
        <v>5110.5600000000004</v>
      </c>
      <c r="J383" s="6">
        <v>5110.5600000000004</v>
      </c>
      <c r="K383" s="33">
        <v>674</v>
      </c>
      <c r="L383" s="5">
        <f t="shared" si="38"/>
        <v>0.13188378572993956</v>
      </c>
      <c r="M383" s="26">
        <f t="shared" si="39"/>
        <v>1311.1591599999999</v>
      </c>
      <c r="N383" s="53" t="s">
        <v>39</v>
      </c>
    </row>
    <row r="384" spans="1:14" x14ac:dyDescent="0.25">
      <c r="A384" s="16" t="str">
        <f t="shared" si="44"/>
        <v>January</v>
      </c>
      <c r="B384" s="31">
        <v>43853</v>
      </c>
      <c r="C384" s="32" t="s">
        <v>24</v>
      </c>
      <c r="D384" s="9" t="str">
        <f t="shared" si="37"/>
        <v>43853 - 3S</v>
      </c>
      <c r="E384" s="32" t="s">
        <v>9</v>
      </c>
      <c r="F384" s="2">
        <v>8000038</v>
      </c>
      <c r="G384" s="4" t="str">
        <f>IFERROR(VLOOKUP(F384,Lists!$C:$D,2,0), "N/A")</f>
        <v>TURTLES MILK CHOC PEC BITE SZ</v>
      </c>
      <c r="H384" s="26">
        <f>IFERROR(VLOOKUP(F384,Lists!$C:$E,3,0),0)</f>
        <v>1.9453399999999998</v>
      </c>
      <c r="I384" s="7">
        <f t="shared" si="43"/>
        <v>2880</v>
      </c>
      <c r="J384" s="6">
        <v>2880</v>
      </c>
      <c r="K384" s="33">
        <v>394</v>
      </c>
      <c r="L384" s="5">
        <f t="shared" si="38"/>
        <v>0.13680555555555557</v>
      </c>
      <c r="M384" s="26">
        <f t="shared" si="39"/>
        <v>766.46395999999993</v>
      </c>
    </row>
    <row r="385" spans="1:14" x14ac:dyDescent="0.25">
      <c r="A385" s="16" t="str">
        <f t="shared" si="44"/>
        <v>January</v>
      </c>
      <c r="B385" s="31">
        <v>43854</v>
      </c>
      <c r="C385" s="32" t="s">
        <v>24</v>
      </c>
      <c r="D385" s="9" t="str">
        <f t="shared" si="37"/>
        <v>43854 - 3S</v>
      </c>
      <c r="E385" s="32" t="s">
        <v>9</v>
      </c>
      <c r="F385" s="2">
        <v>8000038</v>
      </c>
      <c r="G385" s="4" t="str">
        <f>IFERROR(VLOOKUP(F385,Lists!$C:$D,2,0), "N/A")</f>
        <v>TURTLES MILK CHOC PEC BITE SZ</v>
      </c>
      <c r="H385" s="26">
        <f>IFERROR(VLOOKUP(F385,Lists!$C:$E,3,0),0)</f>
        <v>1.9453399999999998</v>
      </c>
      <c r="I385" s="7">
        <f t="shared" si="43"/>
        <v>3974.88</v>
      </c>
      <c r="J385" s="6">
        <v>3974.88</v>
      </c>
      <c r="K385" s="33">
        <v>268</v>
      </c>
      <c r="L385" s="5">
        <f t="shared" si="38"/>
        <v>6.7423419071770713E-2</v>
      </c>
      <c r="M385" s="26">
        <f t="shared" si="39"/>
        <v>521.35111999999992</v>
      </c>
    </row>
    <row r="386" spans="1:14" x14ac:dyDescent="0.25">
      <c r="A386" s="16" t="str">
        <f t="shared" si="44"/>
        <v>January</v>
      </c>
      <c r="B386" s="31">
        <v>43858</v>
      </c>
      <c r="C386" s="32" t="s">
        <v>24</v>
      </c>
      <c r="D386" s="9" t="str">
        <f t="shared" ref="D386:D449" si="45">CONCATENATE(B386," - ",C386)</f>
        <v>43858 - 3S</v>
      </c>
      <c r="E386" s="32" t="s">
        <v>9</v>
      </c>
      <c r="F386" s="2">
        <v>8000038</v>
      </c>
      <c r="G386" s="4" t="str">
        <f>IFERROR(VLOOKUP(F386,Lists!$C:$D,2,0), "N/A")</f>
        <v>TURTLES MILK CHOC PEC BITE SZ</v>
      </c>
      <c r="H386" s="26">
        <f>IFERROR(VLOOKUP(F386,Lists!$C:$E,3,0),0)</f>
        <v>1.9453399999999998</v>
      </c>
      <c r="I386" s="7">
        <f t="shared" si="43"/>
        <v>3600</v>
      </c>
      <c r="J386" s="6">
        <v>3600</v>
      </c>
      <c r="K386" s="33">
        <v>316</v>
      </c>
      <c r="L386" s="5">
        <f t="shared" ref="L386:L449" si="46">IFERROR((K386/J386),1)</f>
        <v>8.7777777777777774E-2</v>
      </c>
      <c r="M386" s="26">
        <f t="shared" ref="M386:M449" si="47">K386*H386</f>
        <v>614.72744</v>
      </c>
      <c r="N386" s="53" t="s">
        <v>41</v>
      </c>
    </row>
    <row r="387" spans="1:14" x14ac:dyDescent="0.25">
      <c r="A387" s="16" t="str">
        <f t="shared" si="44"/>
        <v>January</v>
      </c>
      <c r="B387" s="31">
        <v>43859</v>
      </c>
      <c r="C387" s="32" t="s">
        <v>24</v>
      </c>
      <c r="D387" s="9" t="str">
        <f t="shared" si="45"/>
        <v>43859 - 3S</v>
      </c>
      <c r="E387" s="32" t="s">
        <v>9</v>
      </c>
      <c r="F387" s="2">
        <v>8000038</v>
      </c>
      <c r="G387" s="4" t="str">
        <f>IFERROR(VLOOKUP(F387,Lists!$C:$D,2,0), "N/A")</f>
        <v>TURTLES MILK CHOC PEC BITE SZ</v>
      </c>
      <c r="H387" s="26">
        <f>IFERROR(VLOOKUP(F387,Lists!$C:$E,3,0),0)</f>
        <v>1.9453399999999998</v>
      </c>
      <c r="I387" s="7">
        <f t="shared" si="43"/>
        <v>7920</v>
      </c>
      <c r="J387" s="6">
        <v>7920</v>
      </c>
      <c r="K387" s="33">
        <v>310</v>
      </c>
      <c r="L387" s="5">
        <f t="shared" si="46"/>
        <v>3.9141414141414144E-2</v>
      </c>
      <c r="M387" s="26">
        <f t="shared" si="47"/>
        <v>603.05539999999996</v>
      </c>
    </row>
    <row r="388" spans="1:14" x14ac:dyDescent="0.25">
      <c r="A388" s="16" t="str">
        <f t="shared" si="44"/>
        <v>January</v>
      </c>
      <c r="B388" s="31">
        <v>43860</v>
      </c>
      <c r="C388" s="32" t="s">
        <v>24</v>
      </c>
      <c r="D388" s="9" t="str">
        <f t="shared" si="45"/>
        <v>43860 - 3S</v>
      </c>
      <c r="E388" s="32" t="s">
        <v>9</v>
      </c>
      <c r="F388" s="2">
        <v>8000038</v>
      </c>
      <c r="G388" s="4" t="str">
        <f>IFERROR(VLOOKUP(F388,Lists!$C:$D,2,0), "N/A")</f>
        <v>TURTLES MILK CHOC PEC BITE SZ</v>
      </c>
      <c r="H388" s="26">
        <f>IFERROR(VLOOKUP(F388,Lists!$C:$E,3,0),0)</f>
        <v>1.9453399999999998</v>
      </c>
      <c r="I388" s="7">
        <f t="shared" si="43"/>
        <v>3600</v>
      </c>
      <c r="J388" s="6">
        <v>3600</v>
      </c>
      <c r="K388" s="33">
        <v>241</v>
      </c>
      <c r="L388" s="5">
        <f t="shared" si="46"/>
        <v>6.6944444444444445E-2</v>
      </c>
      <c r="M388" s="26">
        <f t="shared" si="47"/>
        <v>468.82693999999998</v>
      </c>
    </row>
    <row r="389" spans="1:14" x14ac:dyDescent="0.25">
      <c r="A389" s="16" t="str">
        <f t="shared" si="44"/>
        <v>January</v>
      </c>
      <c r="B389" s="31">
        <v>43861</v>
      </c>
      <c r="C389" s="32" t="s">
        <v>24</v>
      </c>
      <c r="D389" s="9" t="str">
        <f t="shared" si="45"/>
        <v>43861 - 3S</v>
      </c>
      <c r="E389" s="32" t="s">
        <v>9</v>
      </c>
      <c r="F389" s="2">
        <v>8000038</v>
      </c>
      <c r="G389" s="4" t="str">
        <f>IFERROR(VLOOKUP(F389,Lists!$C:$D,2,0), "N/A")</f>
        <v>TURTLES MILK CHOC PEC BITE SZ</v>
      </c>
      <c r="H389" s="26">
        <f>IFERROR(VLOOKUP(F389,Lists!$C:$E,3,0),0)</f>
        <v>1.9453399999999998</v>
      </c>
      <c r="I389" s="7">
        <f t="shared" si="43"/>
        <v>5040</v>
      </c>
      <c r="J389" s="6">
        <v>5040</v>
      </c>
      <c r="K389" s="33">
        <v>204</v>
      </c>
      <c r="L389" s="5">
        <f t="shared" si="46"/>
        <v>4.0476190476190478E-2</v>
      </c>
      <c r="M389" s="26">
        <f t="shared" si="47"/>
        <v>396.84935999999999</v>
      </c>
    </row>
    <row r="390" spans="1:14" x14ac:dyDescent="0.25">
      <c r="A390" s="16" t="str">
        <f t="shared" si="44"/>
        <v>January</v>
      </c>
      <c r="B390" s="31">
        <v>43840</v>
      </c>
      <c r="C390" s="32" t="s">
        <v>24</v>
      </c>
      <c r="D390" s="9" t="str">
        <f t="shared" si="45"/>
        <v>43840 - 3S</v>
      </c>
      <c r="E390" s="32" t="s">
        <v>10</v>
      </c>
      <c r="F390" s="2">
        <v>8000039</v>
      </c>
      <c r="G390" s="4" t="str">
        <f>IFERROR(VLOOKUP(F390,Lists!$C:$D,2,0), "N/A")</f>
        <v>TURTLES MILK CHOC ORIG MINI</v>
      </c>
      <c r="H390" s="26">
        <f>IFERROR(VLOOKUP(F390,Lists!$C:$E,3,0),0)</f>
        <v>2.0602900000000002</v>
      </c>
      <c r="I390" s="7">
        <f t="shared" si="43"/>
        <v>0</v>
      </c>
      <c r="J390" s="6">
        <v>0</v>
      </c>
      <c r="K390" s="33">
        <v>50</v>
      </c>
      <c r="L390" s="5">
        <f t="shared" si="46"/>
        <v>1</v>
      </c>
      <c r="M390" s="26">
        <f t="shared" si="47"/>
        <v>103.01450000000001</v>
      </c>
    </row>
    <row r="391" spans="1:14" x14ac:dyDescent="0.25">
      <c r="A391" s="16" t="str">
        <f t="shared" si="44"/>
        <v>January</v>
      </c>
      <c r="B391" s="31">
        <v>43846</v>
      </c>
      <c r="C391" s="32" t="s">
        <v>24</v>
      </c>
      <c r="D391" s="9" t="str">
        <f t="shared" si="45"/>
        <v>43846 - 3S</v>
      </c>
      <c r="E391" s="32" t="s">
        <v>10</v>
      </c>
      <c r="F391" s="2">
        <v>8000039</v>
      </c>
      <c r="G391" s="4" t="str">
        <f>IFERROR(VLOOKUP(F391,Lists!$C:$D,2,0), "N/A")</f>
        <v>TURTLES MILK CHOC ORIG MINI</v>
      </c>
      <c r="H391" s="26">
        <f>IFERROR(VLOOKUP(F391,Lists!$C:$E,3,0),0)</f>
        <v>2.0602900000000002</v>
      </c>
      <c r="I391" s="7">
        <f t="shared" si="43"/>
        <v>13440</v>
      </c>
      <c r="J391" s="6">
        <v>13440</v>
      </c>
      <c r="K391" s="33">
        <v>0</v>
      </c>
      <c r="L391" s="5">
        <f t="shared" si="46"/>
        <v>0</v>
      </c>
      <c r="M391" s="26">
        <f t="shared" si="47"/>
        <v>0</v>
      </c>
    </row>
    <row r="392" spans="1:14" x14ac:dyDescent="0.25">
      <c r="A392" s="16" t="str">
        <f t="shared" si="44"/>
        <v>January</v>
      </c>
      <c r="B392" s="31">
        <v>43847</v>
      </c>
      <c r="C392" s="32" t="s">
        <v>24</v>
      </c>
      <c r="D392" s="9" t="str">
        <f t="shared" si="45"/>
        <v>43847 - 3S</v>
      </c>
      <c r="E392" s="32" t="s">
        <v>10</v>
      </c>
      <c r="F392" s="2">
        <v>8000039</v>
      </c>
      <c r="G392" s="4" t="str">
        <f>IFERROR(VLOOKUP(F392,Lists!$C:$D,2,0), "N/A")</f>
        <v>TURTLES MILK CHOC ORIG MINI</v>
      </c>
      <c r="H392" s="26">
        <f>IFERROR(VLOOKUP(F392,Lists!$C:$E,3,0),0)</f>
        <v>2.0602900000000002</v>
      </c>
      <c r="I392" s="7">
        <f t="shared" si="43"/>
        <v>10560</v>
      </c>
      <c r="J392" s="6">
        <v>10560</v>
      </c>
      <c r="K392" s="33">
        <v>58</v>
      </c>
      <c r="L392" s="5">
        <f t="shared" si="46"/>
        <v>5.4924242424242422E-3</v>
      </c>
      <c r="M392" s="26">
        <f t="shared" si="47"/>
        <v>119.49682000000001</v>
      </c>
    </row>
    <row r="393" spans="1:14" x14ac:dyDescent="0.25">
      <c r="A393" s="16" t="str">
        <f t="shared" si="44"/>
        <v>January</v>
      </c>
      <c r="B393" s="31">
        <v>43851</v>
      </c>
      <c r="C393" s="32" t="s">
        <v>24</v>
      </c>
      <c r="D393" s="9" t="str">
        <f t="shared" si="45"/>
        <v>43851 - 3S</v>
      </c>
      <c r="E393" s="32" t="s">
        <v>10</v>
      </c>
      <c r="F393" s="2">
        <v>8000039</v>
      </c>
      <c r="G393" s="4" t="str">
        <f>IFERROR(VLOOKUP(F393,Lists!$C:$D,2,0), "N/A")</f>
        <v>TURTLES MILK CHOC ORIG MINI</v>
      </c>
      <c r="H393" s="26">
        <f>IFERROR(VLOOKUP(F393,Lists!$C:$E,3,0),0)</f>
        <v>2.0602900000000002</v>
      </c>
      <c r="I393" s="7">
        <f t="shared" si="43"/>
        <v>2880</v>
      </c>
      <c r="J393" s="6">
        <v>2880</v>
      </c>
      <c r="K393" s="33">
        <v>91</v>
      </c>
      <c r="L393" s="5">
        <f t="shared" si="46"/>
        <v>3.1597222222222221E-2</v>
      </c>
      <c r="M393" s="26">
        <f t="shared" si="47"/>
        <v>187.48639000000003</v>
      </c>
    </row>
    <row r="394" spans="1:14" x14ac:dyDescent="0.25">
      <c r="A394" s="16" t="str">
        <f t="shared" si="44"/>
        <v>January</v>
      </c>
      <c r="B394" s="31">
        <v>43852</v>
      </c>
      <c r="C394" s="32" t="s">
        <v>24</v>
      </c>
      <c r="D394" s="9" t="str">
        <f t="shared" si="45"/>
        <v>43852 - 3S</v>
      </c>
      <c r="E394" s="32" t="s">
        <v>10</v>
      </c>
      <c r="F394" s="2">
        <v>8000039</v>
      </c>
      <c r="G394" s="4" t="str">
        <f>IFERROR(VLOOKUP(F394,Lists!$C:$D,2,0), "N/A")</f>
        <v>TURTLES MILK CHOC ORIG MINI</v>
      </c>
      <c r="H394" s="26">
        <f>IFERROR(VLOOKUP(F394,Lists!$C:$E,3,0),0)</f>
        <v>2.0602900000000002</v>
      </c>
      <c r="I394" s="7">
        <f t="shared" si="43"/>
        <v>8640</v>
      </c>
      <c r="J394" s="45">
        <v>8640</v>
      </c>
      <c r="K394" s="33">
        <v>280</v>
      </c>
      <c r="L394" s="5">
        <f t="shared" si="46"/>
        <v>3.2407407407407406E-2</v>
      </c>
      <c r="M394" s="26">
        <f t="shared" si="47"/>
        <v>576.88120000000004</v>
      </c>
    </row>
    <row r="395" spans="1:14" x14ac:dyDescent="0.25">
      <c r="A395" s="16" t="str">
        <f t="shared" si="44"/>
        <v>January</v>
      </c>
      <c r="B395" s="31">
        <v>43853</v>
      </c>
      <c r="C395" s="32" t="s">
        <v>24</v>
      </c>
      <c r="D395" s="9" t="str">
        <f t="shared" si="45"/>
        <v>43853 - 3S</v>
      </c>
      <c r="E395" s="32" t="s">
        <v>10</v>
      </c>
      <c r="F395" s="2">
        <v>8000039</v>
      </c>
      <c r="G395" s="4" t="str">
        <f>IFERROR(VLOOKUP(F395,Lists!$C:$D,2,0), "N/A")</f>
        <v>TURTLES MILK CHOC ORIG MINI</v>
      </c>
      <c r="H395" s="26">
        <f>IFERROR(VLOOKUP(F395,Lists!$C:$E,3,0),0)</f>
        <v>2.0602900000000002</v>
      </c>
      <c r="I395" s="7">
        <f t="shared" si="43"/>
        <v>12480</v>
      </c>
      <c r="J395" s="45">
        <v>12480</v>
      </c>
      <c r="K395" s="33">
        <v>40</v>
      </c>
      <c r="L395" s="5">
        <f t="shared" si="46"/>
        <v>3.205128205128205E-3</v>
      </c>
      <c r="M395" s="26">
        <f t="shared" si="47"/>
        <v>82.411600000000007</v>
      </c>
    </row>
    <row r="396" spans="1:14" x14ac:dyDescent="0.25">
      <c r="A396" s="16" t="str">
        <f t="shared" si="44"/>
        <v>January</v>
      </c>
      <c r="B396" s="31">
        <v>43844</v>
      </c>
      <c r="C396" s="32" t="s">
        <v>24</v>
      </c>
      <c r="D396" s="9" t="str">
        <f t="shared" si="45"/>
        <v>43844 - 3S</v>
      </c>
      <c r="E396" s="32" t="s">
        <v>11</v>
      </c>
      <c r="F396" s="2">
        <v>8000034</v>
      </c>
      <c r="G396" s="4" t="str">
        <f>IFERROR(VLOOKUP(F396,Lists!$C:$D,2,0), "N/A")</f>
        <v>KS MILK CHOC MACADAMIA</v>
      </c>
      <c r="H396" s="26">
        <f>IFERROR(VLOOKUP(F396,Lists!$C:$E,3,0),0)</f>
        <v>3.8560100000000004</v>
      </c>
      <c r="I396" s="7">
        <f t="shared" si="43"/>
        <v>2400</v>
      </c>
      <c r="J396" s="45">
        <v>2400</v>
      </c>
      <c r="K396" s="33">
        <v>0</v>
      </c>
      <c r="L396" s="5">
        <f t="shared" si="46"/>
        <v>0</v>
      </c>
      <c r="M396" s="26">
        <f t="shared" si="47"/>
        <v>0</v>
      </c>
    </row>
    <row r="397" spans="1:14" x14ac:dyDescent="0.25">
      <c r="A397" s="16" t="str">
        <f t="shared" si="44"/>
        <v>January</v>
      </c>
      <c r="B397" s="31">
        <v>43845</v>
      </c>
      <c r="C397" s="32" t="s">
        <v>24</v>
      </c>
      <c r="D397" s="9" t="str">
        <f t="shared" si="45"/>
        <v>43845 - 3S</v>
      </c>
      <c r="E397" s="32" t="s">
        <v>11</v>
      </c>
      <c r="F397" s="2">
        <v>8000034</v>
      </c>
      <c r="G397" s="4" t="str">
        <f>IFERROR(VLOOKUP(F397,Lists!$C:$D,2,0), "N/A")</f>
        <v>KS MILK CHOC MACADAMIA</v>
      </c>
      <c r="H397" s="26">
        <f>IFERROR(VLOOKUP(F397,Lists!$C:$E,3,0),0)</f>
        <v>3.8560100000000004</v>
      </c>
      <c r="I397" s="7">
        <f t="shared" si="43"/>
        <v>4800</v>
      </c>
      <c r="J397" s="6">
        <v>4800</v>
      </c>
      <c r="K397" s="33">
        <v>208</v>
      </c>
      <c r="L397" s="5">
        <f t="shared" si="46"/>
        <v>4.3333333333333335E-2</v>
      </c>
      <c r="M397" s="26">
        <f t="shared" si="47"/>
        <v>802.05008000000009</v>
      </c>
    </row>
    <row r="398" spans="1:14" x14ac:dyDescent="0.25">
      <c r="A398" s="16" t="str">
        <f t="shared" si="44"/>
        <v>January</v>
      </c>
      <c r="B398" s="31">
        <v>43846</v>
      </c>
      <c r="C398" s="32" t="s">
        <v>24</v>
      </c>
      <c r="D398" s="9" t="str">
        <f t="shared" si="45"/>
        <v>43846 - 3S</v>
      </c>
      <c r="E398" s="32" t="s">
        <v>11</v>
      </c>
      <c r="F398" s="2">
        <v>8000034</v>
      </c>
      <c r="G398" s="4" t="str">
        <f>IFERROR(VLOOKUP(F398,Lists!$C:$D,2,0), "N/A")</f>
        <v>KS MILK CHOC MACADAMIA</v>
      </c>
      <c r="H398" s="26">
        <f>IFERROR(VLOOKUP(F398,Lists!$C:$E,3,0),0)</f>
        <v>3.8560100000000004</v>
      </c>
      <c r="I398" s="7">
        <f t="shared" si="43"/>
        <v>6400</v>
      </c>
      <c r="J398" s="6">
        <v>6400</v>
      </c>
      <c r="K398" s="33">
        <v>94</v>
      </c>
      <c r="L398" s="5">
        <f t="shared" si="46"/>
        <v>1.4687499999999999E-2</v>
      </c>
      <c r="M398" s="26">
        <f t="shared" si="47"/>
        <v>362.46494000000001</v>
      </c>
    </row>
    <row r="399" spans="1:14" x14ac:dyDescent="0.25">
      <c r="A399" s="16" t="str">
        <f t="shared" si="44"/>
        <v>January</v>
      </c>
      <c r="B399" s="31">
        <v>43847</v>
      </c>
      <c r="C399" s="32" t="s">
        <v>24</v>
      </c>
      <c r="D399" s="9" t="str">
        <f t="shared" si="45"/>
        <v>43847 - 3S</v>
      </c>
      <c r="E399" s="32" t="s">
        <v>11</v>
      </c>
      <c r="F399" s="2">
        <v>8000034</v>
      </c>
      <c r="G399" s="4" t="str">
        <f>IFERROR(VLOOKUP(F399,Lists!$C:$D,2,0), "N/A")</f>
        <v>KS MILK CHOC MACADAMIA</v>
      </c>
      <c r="H399" s="26">
        <f>IFERROR(VLOOKUP(F399,Lists!$C:$E,3,0),0)</f>
        <v>3.8560100000000004</v>
      </c>
      <c r="I399" s="7">
        <f t="shared" si="43"/>
        <v>4000</v>
      </c>
      <c r="J399" s="6">
        <v>4000</v>
      </c>
      <c r="K399" s="33">
        <v>160</v>
      </c>
      <c r="L399" s="5">
        <f t="shared" si="46"/>
        <v>0.04</v>
      </c>
      <c r="M399" s="26">
        <f t="shared" si="47"/>
        <v>616.96160000000009</v>
      </c>
    </row>
    <row r="400" spans="1:14" x14ac:dyDescent="0.25">
      <c r="A400" s="16" t="str">
        <f t="shared" si="44"/>
        <v>January</v>
      </c>
      <c r="B400" s="31">
        <v>43852</v>
      </c>
      <c r="C400" s="32" t="s">
        <v>24</v>
      </c>
      <c r="D400" s="9" t="str">
        <f t="shared" si="45"/>
        <v>43852 - 3S</v>
      </c>
      <c r="E400" s="32" t="s">
        <v>11</v>
      </c>
      <c r="F400" s="2">
        <v>8000034</v>
      </c>
      <c r="G400" s="4" t="str">
        <f>IFERROR(VLOOKUP(F400,Lists!$C:$D,2,0), "N/A")</f>
        <v>KS MILK CHOC MACADAMIA</v>
      </c>
      <c r="H400" s="26">
        <f>IFERROR(VLOOKUP(F400,Lists!$C:$E,3,0),0)</f>
        <v>3.8560100000000004</v>
      </c>
      <c r="I400" s="7">
        <f t="shared" si="43"/>
        <v>6400</v>
      </c>
      <c r="J400" s="6">
        <v>6400</v>
      </c>
      <c r="K400" s="33">
        <v>139</v>
      </c>
      <c r="L400" s="5">
        <f t="shared" si="46"/>
        <v>2.1718749999999998E-2</v>
      </c>
      <c r="M400" s="26">
        <f t="shared" si="47"/>
        <v>535.98539000000005</v>
      </c>
    </row>
    <row r="401" spans="1:14" x14ac:dyDescent="0.25">
      <c r="A401" s="16" t="str">
        <f t="shared" si="44"/>
        <v>January</v>
      </c>
      <c r="B401" s="31">
        <v>43853</v>
      </c>
      <c r="C401" s="32" t="s">
        <v>24</v>
      </c>
      <c r="D401" s="9" t="str">
        <f t="shared" si="45"/>
        <v>43853 - 3S</v>
      </c>
      <c r="E401" s="32" t="s">
        <v>11</v>
      </c>
      <c r="F401" s="2">
        <v>8000034</v>
      </c>
      <c r="G401" s="4" t="str">
        <f>IFERROR(VLOOKUP(F401,Lists!$C:$D,2,0), "N/A")</f>
        <v>KS MILK CHOC MACADAMIA</v>
      </c>
      <c r="H401" s="26">
        <f>IFERROR(VLOOKUP(F401,Lists!$C:$E,3,0),0)</f>
        <v>3.8560100000000004</v>
      </c>
      <c r="I401" s="7">
        <f t="shared" si="43"/>
        <v>6400</v>
      </c>
      <c r="J401" s="6">
        <v>6400</v>
      </c>
      <c r="K401" s="33">
        <v>97</v>
      </c>
      <c r="L401" s="5">
        <f t="shared" si="46"/>
        <v>1.515625E-2</v>
      </c>
      <c r="M401" s="26">
        <f t="shared" si="47"/>
        <v>374.03297000000003</v>
      </c>
    </row>
    <row r="402" spans="1:14" x14ac:dyDescent="0.25">
      <c r="A402" s="16" t="str">
        <f t="shared" si="44"/>
        <v>January</v>
      </c>
      <c r="B402" s="31">
        <v>43854</v>
      </c>
      <c r="C402" s="32" t="s">
        <v>24</v>
      </c>
      <c r="D402" s="9" t="str">
        <f t="shared" si="45"/>
        <v>43854 - 3S</v>
      </c>
      <c r="E402" s="32" t="s">
        <v>11</v>
      </c>
      <c r="F402" s="2">
        <v>8000034</v>
      </c>
      <c r="G402" s="4" t="str">
        <f>IFERROR(VLOOKUP(F402,Lists!$C:$D,2,0), "N/A")</f>
        <v>KS MILK CHOC MACADAMIA</v>
      </c>
      <c r="H402" s="26">
        <f>IFERROR(VLOOKUP(F402,Lists!$C:$E,3,0),0)</f>
        <v>3.8560100000000004</v>
      </c>
      <c r="I402" s="7">
        <f t="shared" ref="I402:I422" si="48">J402</f>
        <v>6400</v>
      </c>
      <c r="J402" s="6">
        <v>6400</v>
      </c>
      <c r="K402" s="33">
        <v>169</v>
      </c>
      <c r="L402" s="5">
        <f t="shared" si="46"/>
        <v>2.6406249999999999E-2</v>
      </c>
      <c r="M402" s="26">
        <f t="shared" si="47"/>
        <v>651.66569000000004</v>
      </c>
    </row>
    <row r="403" spans="1:14" x14ac:dyDescent="0.25">
      <c r="A403" s="16" t="str">
        <f t="shared" ref="A403:A434" si="49">TEXT(B403,"mmmm")</f>
        <v>January</v>
      </c>
      <c r="B403" s="31">
        <v>43859</v>
      </c>
      <c r="C403" s="32" t="s">
        <v>24</v>
      </c>
      <c r="D403" s="9" t="str">
        <f t="shared" si="45"/>
        <v>43859 - 3S</v>
      </c>
      <c r="E403" s="32" t="s">
        <v>11</v>
      </c>
      <c r="F403" s="2">
        <v>8000034</v>
      </c>
      <c r="G403" s="4" t="str">
        <f>IFERROR(VLOOKUP(F403,Lists!$C:$D,2,0), "N/A")</f>
        <v>KS MILK CHOC MACADAMIA</v>
      </c>
      <c r="H403" s="26">
        <f>IFERROR(VLOOKUP(F403,Lists!$C:$E,3,0),0)</f>
        <v>3.8560100000000004</v>
      </c>
      <c r="I403" s="7">
        <f t="shared" si="48"/>
        <v>7200</v>
      </c>
      <c r="J403" s="6">
        <v>7200</v>
      </c>
      <c r="K403" s="33">
        <v>151</v>
      </c>
      <c r="L403" s="5">
        <f t="shared" si="46"/>
        <v>2.0972222222222222E-2</v>
      </c>
      <c r="M403" s="26">
        <f t="shared" si="47"/>
        <v>582.25751000000002</v>
      </c>
    </row>
    <row r="404" spans="1:14" ht="26.25" x14ac:dyDescent="0.25">
      <c r="A404" s="16" t="str">
        <f t="shared" si="49"/>
        <v>January</v>
      </c>
      <c r="B404" s="31">
        <v>43860</v>
      </c>
      <c r="C404" s="32" t="s">
        <v>24</v>
      </c>
      <c r="D404" s="9" t="str">
        <f t="shared" si="45"/>
        <v>43860 - 3S</v>
      </c>
      <c r="E404" s="32" t="s">
        <v>11</v>
      </c>
      <c r="F404" s="2">
        <v>8000034</v>
      </c>
      <c r="G404" s="4" t="str">
        <f>IFERROR(VLOOKUP(F404,Lists!$C:$D,2,0), "N/A")</f>
        <v>KS MILK CHOC MACADAMIA</v>
      </c>
      <c r="H404" s="26">
        <f>IFERROR(VLOOKUP(F404,Lists!$C:$E,3,0),0)</f>
        <v>3.8560100000000004</v>
      </c>
      <c r="I404" s="7">
        <f t="shared" si="48"/>
        <v>6400</v>
      </c>
      <c r="J404" s="6">
        <v>6400</v>
      </c>
      <c r="K404" s="33">
        <v>173</v>
      </c>
      <c r="L404" s="5">
        <f t="shared" si="46"/>
        <v>2.703125E-2</v>
      </c>
      <c r="M404" s="26">
        <f t="shared" si="47"/>
        <v>667.08973000000003</v>
      </c>
      <c r="N404" s="53" t="s">
        <v>40</v>
      </c>
    </row>
    <row r="405" spans="1:14" x14ac:dyDescent="0.25">
      <c r="A405" s="16" t="str">
        <f t="shared" si="49"/>
        <v>January</v>
      </c>
      <c r="B405" s="31">
        <v>43861</v>
      </c>
      <c r="C405" s="32" t="s">
        <v>24</v>
      </c>
      <c r="D405" s="9" t="str">
        <f t="shared" si="45"/>
        <v>43861 - 3S</v>
      </c>
      <c r="E405" s="32" t="s">
        <v>11</v>
      </c>
      <c r="F405" s="2">
        <v>8000034</v>
      </c>
      <c r="G405" s="4" t="str">
        <f>IFERROR(VLOOKUP(F405,Lists!$C:$D,2,0), "N/A")</f>
        <v>KS MILK CHOC MACADAMIA</v>
      </c>
      <c r="H405" s="26">
        <f>IFERROR(VLOOKUP(F405,Lists!$C:$E,3,0),0)</f>
        <v>3.8560100000000004</v>
      </c>
      <c r="I405" s="7">
        <f t="shared" si="48"/>
        <v>8000</v>
      </c>
      <c r="J405" s="6">
        <v>8000</v>
      </c>
      <c r="K405" s="33">
        <v>147</v>
      </c>
      <c r="L405" s="5">
        <f t="shared" si="46"/>
        <v>1.8374999999999999E-2</v>
      </c>
      <c r="M405" s="26">
        <f t="shared" si="47"/>
        <v>566.83347000000003</v>
      </c>
    </row>
    <row r="406" spans="1:14" x14ac:dyDescent="0.25">
      <c r="A406" s="16" t="str">
        <f t="shared" si="49"/>
        <v>January</v>
      </c>
      <c r="B406" s="31">
        <v>43838</v>
      </c>
      <c r="C406" s="32" t="s">
        <v>24</v>
      </c>
      <c r="D406" s="9" t="str">
        <f t="shared" si="45"/>
        <v>43838 - 3S</v>
      </c>
      <c r="E406" s="32" t="s">
        <v>12</v>
      </c>
      <c r="F406" s="2">
        <v>8000055</v>
      </c>
      <c r="G406" s="4" t="str">
        <f>IFERROR(VLOOKUP(F406,Lists!$C:$D,2,0), "N/A")</f>
        <v>916.BF FLIPZ 25 LB BULK MILK CHOC</v>
      </c>
      <c r="H406" s="26">
        <f>IFERROR(VLOOKUP(F406,Lists!$C:$E,3,0),0)</f>
        <v>1.1520708</v>
      </c>
      <c r="I406" s="7">
        <f t="shared" si="48"/>
        <v>0</v>
      </c>
      <c r="J406" s="6">
        <v>0</v>
      </c>
      <c r="K406" s="33">
        <v>5</v>
      </c>
      <c r="L406" s="5">
        <f t="shared" si="46"/>
        <v>1</v>
      </c>
      <c r="M406" s="26">
        <f t="shared" si="47"/>
        <v>5.7603539999999995</v>
      </c>
    </row>
    <row r="407" spans="1:14" x14ac:dyDescent="0.25">
      <c r="A407" s="16" t="str">
        <f t="shared" si="49"/>
        <v>January</v>
      </c>
      <c r="B407" s="31">
        <v>43833</v>
      </c>
      <c r="C407" s="32" t="s">
        <v>24</v>
      </c>
      <c r="D407" s="9" t="str">
        <f t="shared" si="45"/>
        <v>43833 - 3S</v>
      </c>
      <c r="E407" s="32" t="s">
        <v>13</v>
      </c>
      <c r="F407" s="2">
        <v>8000055</v>
      </c>
      <c r="G407" s="4" t="str">
        <f>IFERROR(VLOOKUP(F407,Lists!$C:$D,2,0), "N/A")</f>
        <v>916.BF FLIPZ 25 LB BULK MILK CHOC</v>
      </c>
      <c r="H407" s="26">
        <f>IFERROR(VLOOKUP(F407,Lists!$C:$E,3,0),0)</f>
        <v>1.1520708</v>
      </c>
      <c r="I407" s="7">
        <f t="shared" si="48"/>
        <v>2000</v>
      </c>
      <c r="J407" s="6">
        <v>2000</v>
      </c>
      <c r="K407" s="33">
        <v>14</v>
      </c>
      <c r="L407" s="5">
        <f t="shared" si="46"/>
        <v>7.0000000000000001E-3</v>
      </c>
      <c r="M407" s="26">
        <f t="shared" si="47"/>
        <v>16.128991199999998</v>
      </c>
    </row>
    <row r="408" spans="1:14" x14ac:dyDescent="0.25">
      <c r="A408" s="16" t="str">
        <f t="shared" si="49"/>
        <v>January</v>
      </c>
      <c r="B408" s="31">
        <v>43836</v>
      </c>
      <c r="C408" s="32" t="s">
        <v>24</v>
      </c>
      <c r="D408" s="9" t="str">
        <f t="shared" si="45"/>
        <v>43836 - 3S</v>
      </c>
      <c r="E408" s="32" t="s">
        <v>13</v>
      </c>
      <c r="F408" s="2">
        <v>8000055</v>
      </c>
      <c r="G408" s="4" t="str">
        <f>IFERROR(VLOOKUP(F408,Lists!$C:$D,2,0), "N/A")</f>
        <v>916.BF FLIPZ 25 LB BULK MILK CHOC</v>
      </c>
      <c r="H408" s="26">
        <f>IFERROR(VLOOKUP(F408,Lists!$C:$E,3,0),0)</f>
        <v>1.1520708</v>
      </c>
      <c r="I408" s="7">
        <f t="shared" si="48"/>
        <v>1000</v>
      </c>
      <c r="J408" s="6">
        <v>1000</v>
      </c>
      <c r="K408" s="33">
        <v>23</v>
      </c>
      <c r="L408" s="5">
        <f t="shared" si="46"/>
        <v>2.3E-2</v>
      </c>
      <c r="M408" s="26">
        <f t="shared" si="47"/>
        <v>26.4976284</v>
      </c>
    </row>
    <row r="409" spans="1:14" x14ac:dyDescent="0.25">
      <c r="A409" s="16" t="str">
        <f t="shared" si="49"/>
        <v>January</v>
      </c>
      <c r="B409" s="31">
        <v>43837</v>
      </c>
      <c r="C409" s="32" t="s">
        <v>24</v>
      </c>
      <c r="D409" s="9" t="str">
        <f t="shared" si="45"/>
        <v>43837 - 3S</v>
      </c>
      <c r="E409" s="32" t="s">
        <v>13</v>
      </c>
      <c r="F409" s="2">
        <v>8000055</v>
      </c>
      <c r="G409" s="4" t="str">
        <f>IFERROR(VLOOKUP(F409,Lists!$C:$D,2,0), "N/A")</f>
        <v>916.BF FLIPZ 25 LB BULK MILK CHOC</v>
      </c>
      <c r="H409" s="26">
        <f>IFERROR(VLOOKUP(F409,Lists!$C:$E,3,0),0)</f>
        <v>1.1520708</v>
      </c>
      <c r="I409" s="7">
        <f t="shared" si="48"/>
        <v>1000</v>
      </c>
      <c r="J409" s="6">
        <v>1000</v>
      </c>
      <c r="K409" s="33">
        <v>3</v>
      </c>
      <c r="L409" s="5">
        <f t="shared" si="46"/>
        <v>3.0000000000000001E-3</v>
      </c>
      <c r="M409" s="26">
        <f t="shared" si="47"/>
        <v>3.4562124000000001</v>
      </c>
    </row>
    <row r="410" spans="1:14" x14ac:dyDescent="0.25">
      <c r="A410" s="16" t="str">
        <f t="shared" si="49"/>
        <v>January</v>
      </c>
      <c r="B410" s="31">
        <v>43838</v>
      </c>
      <c r="C410" s="32" t="s">
        <v>24</v>
      </c>
      <c r="D410" s="9" t="str">
        <f t="shared" si="45"/>
        <v>43838 - 3S</v>
      </c>
      <c r="E410" s="32" t="s">
        <v>13</v>
      </c>
      <c r="F410" s="2">
        <v>8000055</v>
      </c>
      <c r="G410" s="4" t="str">
        <f>IFERROR(VLOOKUP(F410,Lists!$C:$D,2,0), "N/A")</f>
        <v>916.BF FLIPZ 25 LB BULK MILK CHOC</v>
      </c>
      <c r="H410" s="26">
        <f>IFERROR(VLOOKUP(F410,Lists!$C:$E,3,0),0)</f>
        <v>1.1520708</v>
      </c>
      <c r="I410" s="7">
        <f t="shared" si="48"/>
        <v>1000</v>
      </c>
      <c r="J410" s="6">
        <v>1000</v>
      </c>
      <c r="K410" s="33">
        <v>0</v>
      </c>
      <c r="L410" s="5">
        <f t="shared" si="46"/>
        <v>0</v>
      </c>
      <c r="M410" s="26">
        <f t="shared" si="47"/>
        <v>0</v>
      </c>
    </row>
    <row r="411" spans="1:14" x14ac:dyDescent="0.25">
      <c r="A411" s="16" t="str">
        <f t="shared" si="49"/>
        <v>January</v>
      </c>
      <c r="B411" s="31">
        <v>43839</v>
      </c>
      <c r="C411" s="32" t="s">
        <v>24</v>
      </c>
      <c r="D411" s="9" t="str">
        <f t="shared" si="45"/>
        <v>43839 - 3S</v>
      </c>
      <c r="E411" s="32" t="s">
        <v>13</v>
      </c>
      <c r="F411" s="2">
        <v>8000055</v>
      </c>
      <c r="G411" s="4" t="str">
        <f>IFERROR(VLOOKUP(F411,Lists!$C:$D,2,0), "N/A")</f>
        <v>916.BF FLIPZ 25 LB BULK MILK CHOC</v>
      </c>
      <c r="H411" s="26">
        <f>IFERROR(VLOOKUP(F411,Lists!$C:$E,3,0),0)</f>
        <v>1.1520708</v>
      </c>
      <c r="I411" s="7">
        <f t="shared" si="48"/>
        <v>1000</v>
      </c>
      <c r="J411" s="6">
        <v>1000</v>
      </c>
      <c r="K411" s="33">
        <v>9</v>
      </c>
      <c r="L411" s="5">
        <f t="shared" si="46"/>
        <v>8.9999999999999993E-3</v>
      </c>
      <c r="M411" s="26">
        <f t="shared" si="47"/>
        <v>10.3686372</v>
      </c>
    </row>
    <row r="412" spans="1:14" x14ac:dyDescent="0.25">
      <c r="A412" s="16" t="str">
        <f t="shared" si="49"/>
        <v>January</v>
      </c>
      <c r="B412" s="31">
        <v>43840</v>
      </c>
      <c r="C412" s="32" t="s">
        <v>24</v>
      </c>
      <c r="D412" s="9" t="str">
        <f t="shared" si="45"/>
        <v>43840 - 3S</v>
      </c>
      <c r="E412" s="32" t="s">
        <v>13</v>
      </c>
      <c r="F412" s="2">
        <v>8000055</v>
      </c>
      <c r="G412" s="4" t="str">
        <f>IFERROR(VLOOKUP(F412,Lists!$C:$D,2,0), "N/A")</f>
        <v>916.BF FLIPZ 25 LB BULK MILK CHOC</v>
      </c>
      <c r="H412" s="26">
        <f>IFERROR(VLOOKUP(F412,Lists!$C:$E,3,0),0)</f>
        <v>1.1520708</v>
      </c>
      <c r="I412" s="7">
        <f t="shared" si="48"/>
        <v>1000</v>
      </c>
      <c r="J412" s="6">
        <v>1000</v>
      </c>
      <c r="K412" s="33">
        <v>2</v>
      </c>
      <c r="L412" s="5">
        <f t="shared" si="46"/>
        <v>2E-3</v>
      </c>
      <c r="M412" s="26">
        <f t="shared" si="47"/>
        <v>2.3041415999999999</v>
      </c>
    </row>
    <row r="413" spans="1:14" x14ac:dyDescent="0.25">
      <c r="A413" s="16" t="str">
        <f t="shared" si="49"/>
        <v>January</v>
      </c>
      <c r="B413" s="31">
        <v>43843</v>
      </c>
      <c r="C413" s="32" t="s">
        <v>24</v>
      </c>
      <c r="D413" s="9" t="str">
        <f t="shared" si="45"/>
        <v>43843 - 3S</v>
      </c>
      <c r="E413" s="32" t="s">
        <v>13</v>
      </c>
      <c r="F413" s="2">
        <v>8000055</v>
      </c>
      <c r="G413" s="4" t="str">
        <f>IFERROR(VLOOKUP(F413,Lists!$C:$D,2,0), "N/A")</f>
        <v>916.BF FLIPZ 25 LB BULK MILK CHOC</v>
      </c>
      <c r="H413" s="26">
        <f>IFERROR(VLOOKUP(F413,Lists!$C:$E,3,0),0)</f>
        <v>1.1520708</v>
      </c>
      <c r="I413" s="7">
        <f t="shared" si="48"/>
        <v>1000</v>
      </c>
      <c r="J413" s="42">
        <v>1000</v>
      </c>
      <c r="K413" s="33">
        <v>3</v>
      </c>
      <c r="L413" s="5">
        <f t="shared" si="46"/>
        <v>3.0000000000000001E-3</v>
      </c>
      <c r="M413" s="26">
        <f t="shared" si="47"/>
        <v>3.4562124000000001</v>
      </c>
    </row>
    <row r="414" spans="1:14" x14ac:dyDescent="0.25">
      <c r="A414" s="16" t="str">
        <f t="shared" si="49"/>
        <v>January</v>
      </c>
      <c r="B414" s="31">
        <v>43845</v>
      </c>
      <c r="C414" s="32" t="s">
        <v>24</v>
      </c>
      <c r="D414" s="9" t="str">
        <f t="shared" si="45"/>
        <v>43845 - 3S</v>
      </c>
      <c r="E414" s="32" t="s">
        <v>13</v>
      </c>
      <c r="F414" s="2">
        <v>8000055</v>
      </c>
      <c r="G414" s="4" t="str">
        <f>IFERROR(VLOOKUP(F414,Lists!$C:$D,2,0), "N/A")</f>
        <v>916.BF FLIPZ 25 LB BULK MILK CHOC</v>
      </c>
      <c r="H414" s="26">
        <f>IFERROR(VLOOKUP(F414,Lists!$C:$E,3,0),0)</f>
        <v>1.1520708</v>
      </c>
      <c r="I414" s="7">
        <f t="shared" si="48"/>
        <v>1000</v>
      </c>
      <c r="J414" s="6">
        <v>1000</v>
      </c>
      <c r="K414" s="33">
        <v>0</v>
      </c>
      <c r="L414" s="5">
        <f t="shared" si="46"/>
        <v>0</v>
      </c>
      <c r="M414" s="26">
        <f t="shared" si="47"/>
        <v>0</v>
      </c>
    </row>
    <row r="415" spans="1:14" x14ac:dyDescent="0.25">
      <c r="A415" s="16" t="str">
        <f t="shared" si="49"/>
        <v>January</v>
      </c>
      <c r="B415" s="31">
        <v>43833</v>
      </c>
      <c r="C415" s="32" t="s">
        <v>24</v>
      </c>
      <c r="D415" s="9" t="str">
        <f t="shared" si="45"/>
        <v>43833 - 3S</v>
      </c>
      <c r="E415" s="32" t="s">
        <v>15</v>
      </c>
      <c r="G415" s="4" t="str">
        <f>IFERROR(VLOOKUP(F415,Lists!$C:$D,2,0), "N/A")</f>
        <v>N/A</v>
      </c>
      <c r="H415" s="26">
        <f>IFERROR(VLOOKUP(F415,Lists!$C:$E,3,0),0)</f>
        <v>0</v>
      </c>
      <c r="I415" s="7">
        <f t="shared" si="48"/>
        <v>0</v>
      </c>
      <c r="J415" s="6">
        <v>0</v>
      </c>
      <c r="K415" s="33">
        <v>10</v>
      </c>
      <c r="L415" s="5">
        <f t="shared" si="46"/>
        <v>1</v>
      </c>
      <c r="M415" s="26">
        <f t="shared" si="47"/>
        <v>0</v>
      </c>
    </row>
    <row r="416" spans="1:14" x14ac:dyDescent="0.25">
      <c r="A416" s="16" t="str">
        <f t="shared" si="49"/>
        <v>January</v>
      </c>
      <c r="B416" s="31">
        <v>43835</v>
      </c>
      <c r="C416" s="32" t="s">
        <v>24</v>
      </c>
      <c r="D416" s="9" t="str">
        <f t="shared" si="45"/>
        <v>43835 - 3S</v>
      </c>
      <c r="E416" s="32" t="s">
        <v>15</v>
      </c>
      <c r="G416" s="4" t="str">
        <f>IFERROR(VLOOKUP(F416,Lists!$C:$D,2,0), "N/A")</f>
        <v>N/A</v>
      </c>
      <c r="H416" s="26">
        <f>IFERROR(VLOOKUP(F416,Lists!$C:$E,3,0),0)</f>
        <v>0</v>
      </c>
      <c r="I416" s="7">
        <f t="shared" si="48"/>
        <v>0</v>
      </c>
      <c r="J416" s="6">
        <v>0</v>
      </c>
      <c r="K416" s="33">
        <v>3</v>
      </c>
      <c r="L416" s="5">
        <f t="shared" si="46"/>
        <v>1</v>
      </c>
      <c r="M416" s="26">
        <f t="shared" si="47"/>
        <v>0</v>
      </c>
    </row>
    <row r="417" spans="1:13" x14ac:dyDescent="0.25">
      <c r="A417" s="16" t="str">
        <f t="shared" si="49"/>
        <v>January</v>
      </c>
      <c r="B417" s="31">
        <v>43837</v>
      </c>
      <c r="C417" s="32" t="s">
        <v>24</v>
      </c>
      <c r="D417" s="9" t="str">
        <f t="shared" si="45"/>
        <v>43837 - 3S</v>
      </c>
      <c r="E417" s="32" t="s">
        <v>15</v>
      </c>
      <c r="G417" s="4" t="str">
        <f>IFERROR(VLOOKUP(F417,Lists!$C:$D,2,0), "N/A")</f>
        <v>N/A</v>
      </c>
      <c r="H417" s="26">
        <f>IFERROR(VLOOKUP(F417,Lists!$C:$E,3,0),0)</f>
        <v>0</v>
      </c>
      <c r="I417" s="7">
        <f t="shared" si="48"/>
        <v>0</v>
      </c>
      <c r="J417" s="6">
        <v>0</v>
      </c>
      <c r="K417" s="33">
        <v>10</v>
      </c>
      <c r="L417" s="5">
        <f t="shared" si="46"/>
        <v>1</v>
      </c>
      <c r="M417" s="26">
        <f t="shared" si="47"/>
        <v>0</v>
      </c>
    </row>
    <row r="418" spans="1:13" x14ac:dyDescent="0.25">
      <c r="A418" s="16" t="str">
        <f t="shared" si="49"/>
        <v>January</v>
      </c>
      <c r="B418" s="31">
        <v>43846</v>
      </c>
      <c r="C418" s="32" t="s">
        <v>24</v>
      </c>
      <c r="D418" s="9" t="str">
        <f t="shared" si="45"/>
        <v>43846 - 3S</v>
      </c>
      <c r="E418" s="32" t="s">
        <v>15</v>
      </c>
      <c r="G418" s="4" t="str">
        <f>IFERROR(VLOOKUP(F418,Lists!$C:$D,2,0), "N/A")</f>
        <v>N/A</v>
      </c>
      <c r="H418" s="26">
        <f>IFERROR(VLOOKUP(F418,Lists!$C:$E,3,0),0)</f>
        <v>0</v>
      </c>
      <c r="I418" s="7">
        <f t="shared" si="48"/>
        <v>0</v>
      </c>
      <c r="J418" s="6">
        <v>0</v>
      </c>
      <c r="K418" s="33">
        <v>58</v>
      </c>
      <c r="L418" s="5">
        <f t="shared" si="46"/>
        <v>1</v>
      </c>
      <c r="M418" s="26">
        <f t="shared" si="47"/>
        <v>0</v>
      </c>
    </row>
    <row r="419" spans="1:13" x14ac:dyDescent="0.25">
      <c r="A419" s="16" t="str">
        <f t="shared" si="49"/>
        <v>January</v>
      </c>
      <c r="B419" s="31">
        <v>43852</v>
      </c>
      <c r="C419" s="32" t="s">
        <v>24</v>
      </c>
      <c r="D419" s="9" t="str">
        <f t="shared" si="45"/>
        <v>43852 - 3S</v>
      </c>
      <c r="E419" s="32" t="s">
        <v>15</v>
      </c>
      <c r="G419" s="4" t="str">
        <f>IFERROR(VLOOKUP(F419,Lists!$C:$D,2,0), "N/A")</f>
        <v>N/A</v>
      </c>
      <c r="H419" s="26">
        <f>IFERROR(VLOOKUP(F419,Lists!$C:$E,3,0),0)</f>
        <v>0</v>
      </c>
      <c r="I419" s="7">
        <f t="shared" si="48"/>
        <v>0</v>
      </c>
      <c r="J419" s="6">
        <v>0</v>
      </c>
      <c r="K419" s="33">
        <v>71</v>
      </c>
      <c r="L419" s="5">
        <f t="shared" si="46"/>
        <v>1</v>
      </c>
      <c r="M419" s="26">
        <f t="shared" si="47"/>
        <v>0</v>
      </c>
    </row>
    <row r="420" spans="1:13" x14ac:dyDescent="0.25">
      <c r="A420" s="16" t="str">
        <f t="shared" si="49"/>
        <v>January</v>
      </c>
      <c r="B420" s="31">
        <v>43854</v>
      </c>
      <c r="C420" s="32" t="s">
        <v>24</v>
      </c>
      <c r="D420" s="9" t="str">
        <f t="shared" si="45"/>
        <v>43854 - 3S</v>
      </c>
      <c r="E420" s="32" t="s">
        <v>15</v>
      </c>
      <c r="G420" s="4" t="str">
        <f>IFERROR(VLOOKUP(F420,Lists!$C:$D,2,0), "N/A")</f>
        <v>N/A</v>
      </c>
      <c r="H420" s="26">
        <f>IFERROR(VLOOKUP(F420,Lists!$C:$E,3,0),0)</f>
        <v>0</v>
      </c>
      <c r="I420" s="7">
        <f t="shared" si="48"/>
        <v>0</v>
      </c>
      <c r="J420" s="42">
        <v>0</v>
      </c>
      <c r="K420" s="33">
        <v>2</v>
      </c>
      <c r="L420" s="5">
        <f t="shared" si="46"/>
        <v>1</v>
      </c>
      <c r="M420" s="26">
        <f t="shared" si="47"/>
        <v>0</v>
      </c>
    </row>
    <row r="421" spans="1:13" x14ac:dyDescent="0.25">
      <c r="A421" s="16" t="str">
        <f t="shared" si="49"/>
        <v>January</v>
      </c>
      <c r="B421" s="31">
        <v>43857</v>
      </c>
      <c r="C421" s="32" t="s">
        <v>24</v>
      </c>
      <c r="D421" s="9" t="str">
        <f t="shared" si="45"/>
        <v>43857 - 3S</v>
      </c>
      <c r="E421" s="32" t="s">
        <v>15</v>
      </c>
      <c r="G421" s="4" t="str">
        <f>IFERROR(VLOOKUP(F421,Lists!$C:$D,2,0), "N/A")</f>
        <v>N/A</v>
      </c>
      <c r="H421" s="26">
        <f>IFERROR(VLOOKUP(F421,Lists!$C:$E,3,0),0)</f>
        <v>0</v>
      </c>
      <c r="I421" s="7">
        <f t="shared" si="48"/>
        <v>0</v>
      </c>
      <c r="J421" s="6">
        <v>0</v>
      </c>
      <c r="K421" s="33">
        <v>7</v>
      </c>
      <c r="L421" s="5">
        <f t="shared" si="46"/>
        <v>1</v>
      </c>
      <c r="M421" s="26">
        <f t="shared" si="47"/>
        <v>0</v>
      </c>
    </row>
    <row r="422" spans="1:13" x14ac:dyDescent="0.25">
      <c r="A422" s="16" t="str">
        <f t="shared" si="49"/>
        <v>January</v>
      </c>
      <c r="B422" s="31">
        <v>43860</v>
      </c>
      <c r="C422" s="32" t="s">
        <v>24</v>
      </c>
      <c r="D422" s="9" t="str">
        <f t="shared" si="45"/>
        <v>43860 - 3S</v>
      </c>
      <c r="E422" s="32" t="s">
        <v>15</v>
      </c>
      <c r="G422" s="4" t="str">
        <f>IFERROR(VLOOKUP(F422,Lists!$C:$D,2,0), "N/A")</f>
        <v>N/A</v>
      </c>
      <c r="H422" s="26">
        <f>IFERROR(VLOOKUP(F422,Lists!$C:$E,3,0),0)</f>
        <v>0</v>
      </c>
      <c r="I422" s="7">
        <f t="shared" si="48"/>
        <v>0</v>
      </c>
      <c r="J422" s="42">
        <v>0</v>
      </c>
      <c r="K422" s="33">
        <v>3</v>
      </c>
      <c r="L422" s="5">
        <f t="shared" si="46"/>
        <v>1</v>
      </c>
      <c r="M422" s="26">
        <f t="shared" si="47"/>
        <v>0</v>
      </c>
    </row>
    <row r="423" spans="1:13" x14ac:dyDescent="0.25">
      <c r="A423" s="16" t="str">
        <f t="shared" si="49"/>
        <v>February</v>
      </c>
      <c r="B423" s="31">
        <v>43865</v>
      </c>
      <c r="C423" s="32" t="s">
        <v>24</v>
      </c>
      <c r="D423" s="9" t="str">
        <f t="shared" si="45"/>
        <v>43865 - 3S</v>
      </c>
      <c r="E423" s="32" t="s">
        <v>9</v>
      </c>
      <c r="F423" s="2">
        <v>8000035</v>
      </c>
      <c r="G423" s="4" t="str">
        <f>IFERROR(VLOOKUP(F423,Lists!$C:$D,2,0), "N/A")</f>
        <v>TURTLES MILK CHOC ORIGINAL</v>
      </c>
      <c r="H423" s="26">
        <f>IFERROR(VLOOKUP(F423,Lists!$C:$F,4,0),0)</f>
        <v>1.91178</v>
      </c>
      <c r="I423" s="7">
        <f t="shared" ref="I423:I488" si="50">J423+K423</f>
        <v>10879</v>
      </c>
      <c r="J423" s="6">
        <v>10646</v>
      </c>
      <c r="K423" s="33">
        <v>233</v>
      </c>
      <c r="L423" s="5">
        <f t="shared" si="46"/>
        <v>2.188615442419688E-2</v>
      </c>
      <c r="M423" s="26">
        <f t="shared" si="47"/>
        <v>445.44474000000002</v>
      </c>
    </row>
    <row r="424" spans="1:13" x14ac:dyDescent="0.25">
      <c r="A424" s="16" t="str">
        <f t="shared" si="49"/>
        <v>February</v>
      </c>
      <c r="B424" s="31">
        <v>43866</v>
      </c>
      <c r="C424" s="32" t="s">
        <v>24</v>
      </c>
      <c r="D424" s="9" t="str">
        <f t="shared" si="45"/>
        <v>43866 - 3S</v>
      </c>
      <c r="E424" s="32" t="s">
        <v>9</v>
      </c>
      <c r="F424" s="2">
        <v>8000035</v>
      </c>
      <c r="G424" s="4" t="str">
        <f>IFERROR(VLOOKUP(F424,Lists!$C:$D,2,0), "N/A")</f>
        <v>TURTLES MILK CHOC ORIGINAL</v>
      </c>
      <c r="H424" s="26">
        <f>IFERROR(VLOOKUP(F424,Lists!$C:$F,4,0),0)</f>
        <v>1.91178</v>
      </c>
      <c r="I424" s="7">
        <f t="shared" si="50"/>
        <v>9390</v>
      </c>
      <c r="J424" s="43">
        <v>9165</v>
      </c>
      <c r="K424" s="33">
        <v>225</v>
      </c>
      <c r="L424" s="5">
        <f t="shared" si="46"/>
        <v>2.4549918166939442E-2</v>
      </c>
      <c r="M424" s="26">
        <f t="shared" si="47"/>
        <v>430.15050000000002</v>
      </c>
    </row>
    <row r="425" spans="1:13" x14ac:dyDescent="0.25">
      <c r="A425" s="16" t="str">
        <f t="shared" si="49"/>
        <v>February</v>
      </c>
      <c r="B425" s="31">
        <v>43867</v>
      </c>
      <c r="C425" s="32" t="s">
        <v>24</v>
      </c>
      <c r="D425" s="9" t="str">
        <f t="shared" si="45"/>
        <v>43867 - 3S</v>
      </c>
      <c r="E425" s="32" t="s">
        <v>9</v>
      </c>
      <c r="F425" s="2">
        <v>8000035</v>
      </c>
      <c r="G425" s="4" t="str">
        <f>IFERROR(VLOOKUP(F425,Lists!$C:$D,2,0), "N/A")</f>
        <v>TURTLES MILK CHOC ORIGINAL</v>
      </c>
      <c r="H425" s="26">
        <f>IFERROR(VLOOKUP(F425,Lists!$C:$F,4,0),0)</f>
        <v>1.91178</v>
      </c>
      <c r="I425" s="7">
        <f t="shared" si="50"/>
        <v>8363</v>
      </c>
      <c r="J425" s="42">
        <v>8077</v>
      </c>
      <c r="K425" s="33">
        <v>286</v>
      </c>
      <c r="L425" s="5">
        <f t="shared" si="46"/>
        <v>3.5409186579175439E-2</v>
      </c>
      <c r="M425" s="26">
        <f t="shared" si="47"/>
        <v>546.76908000000003</v>
      </c>
    </row>
    <row r="426" spans="1:13" x14ac:dyDescent="0.25">
      <c r="A426" s="16" t="str">
        <f t="shared" si="49"/>
        <v>February</v>
      </c>
      <c r="B426" s="31">
        <v>43868</v>
      </c>
      <c r="C426" s="32" t="s">
        <v>24</v>
      </c>
      <c r="D426" s="9" t="str">
        <f t="shared" si="45"/>
        <v>43868 - 3S</v>
      </c>
      <c r="E426" s="32" t="s">
        <v>9</v>
      </c>
      <c r="F426" s="2">
        <v>8000035</v>
      </c>
      <c r="G426" s="4" t="str">
        <f>IFERROR(VLOOKUP(F426,Lists!$C:$D,2,0), "N/A")</f>
        <v>TURTLES MILK CHOC ORIGINAL</v>
      </c>
      <c r="H426" s="26">
        <f>IFERROR(VLOOKUP(F426,Lists!$C:$F,4,0),0)</f>
        <v>1.91178</v>
      </c>
      <c r="I426" s="7">
        <f t="shared" si="50"/>
        <v>3878</v>
      </c>
      <c r="J426" s="6">
        <v>3623</v>
      </c>
      <c r="K426" s="33">
        <v>255</v>
      </c>
      <c r="L426" s="5">
        <f t="shared" si="46"/>
        <v>7.0383659950317423E-2</v>
      </c>
      <c r="M426" s="26">
        <f t="shared" si="47"/>
        <v>487.50389999999999</v>
      </c>
    </row>
    <row r="427" spans="1:13" x14ac:dyDescent="0.25">
      <c r="A427" s="16" t="str">
        <f t="shared" si="49"/>
        <v>February</v>
      </c>
      <c r="B427" s="31">
        <v>43871</v>
      </c>
      <c r="C427" s="32" t="s">
        <v>24</v>
      </c>
      <c r="D427" s="9" t="str">
        <f t="shared" si="45"/>
        <v>43871 - 3S</v>
      </c>
      <c r="E427" s="32" t="s">
        <v>9</v>
      </c>
      <c r="F427" s="2">
        <v>8000035</v>
      </c>
      <c r="G427" s="4" t="str">
        <f>IFERROR(VLOOKUP(F427,Lists!$C:$D,2,0), "N/A")</f>
        <v>TURTLES MILK CHOC ORIGINAL</v>
      </c>
      <c r="H427" s="26">
        <f>IFERROR(VLOOKUP(F427,Lists!$C:$F,4,0),0)</f>
        <v>1.91178</v>
      </c>
      <c r="I427" s="7">
        <f t="shared" si="50"/>
        <v>57</v>
      </c>
      <c r="J427" s="6">
        <v>0</v>
      </c>
      <c r="K427" s="33">
        <v>57</v>
      </c>
      <c r="L427" s="5">
        <f t="shared" si="46"/>
        <v>1</v>
      </c>
      <c r="M427" s="26">
        <f t="shared" si="47"/>
        <v>108.97146000000001</v>
      </c>
    </row>
    <row r="428" spans="1:13" x14ac:dyDescent="0.25">
      <c r="A428" s="16" t="str">
        <f t="shared" si="49"/>
        <v>February</v>
      </c>
      <c r="B428" s="31">
        <v>43872</v>
      </c>
      <c r="C428" s="32" t="s">
        <v>24</v>
      </c>
      <c r="D428" s="9" t="str">
        <f t="shared" si="45"/>
        <v>43872 - 3S</v>
      </c>
      <c r="E428" s="32" t="s">
        <v>9</v>
      </c>
      <c r="F428" s="2">
        <v>8000046</v>
      </c>
      <c r="G428" s="4" t="str">
        <f>IFERROR(VLOOKUP(F428,Lists!$C:$D,2,0), "N/A")</f>
        <v>TURTLES MC SEA SALT PECAN</v>
      </c>
      <c r="H428" s="26">
        <f>IFERROR(VLOOKUP(F428,Lists!$C:$F,4,0),0)</f>
        <v>1.9184100000000002</v>
      </c>
      <c r="I428" s="7">
        <f t="shared" si="50"/>
        <v>6589</v>
      </c>
      <c r="J428" s="6">
        <v>6415</v>
      </c>
      <c r="K428" s="33">
        <v>174</v>
      </c>
      <c r="L428" s="5">
        <f t="shared" si="46"/>
        <v>2.7123928293063135E-2</v>
      </c>
      <c r="M428" s="26">
        <f t="shared" si="47"/>
        <v>333.80334000000005</v>
      </c>
    </row>
    <row r="429" spans="1:13" x14ac:dyDescent="0.25">
      <c r="A429" s="16" t="str">
        <f t="shared" si="49"/>
        <v>February</v>
      </c>
      <c r="B429" s="31">
        <v>43873</v>
      </c>
      <c r="C429" s="32" t="s">
        <v>24</v>
      </c>
      <c r="D429" s="9" t="str">
        <f t="shared" si="45"/>
        <v>43873 - 3S</v>
      </c>
      <c r="E429" s="32" t="s">
        <v>9</v>
      </c>
      <c r="F429" s="2">
        <v>8000046</v>
      </c>
      <c r="G429" s="4" t="str">
        <f>IFERROR(VLOOKUP(F429,Lists!$C:$D,2,0), "N/A")</f>
        <v>TURTLES MC SEA SALT PECAN</v>
      </c>
      <c r="H429" s="26">
        <f>IFERROR(VLOOKUP(F429,Lists!$C:$F,4,0),0)</f>
        <v>1.9184100000000002</v>
      </c>
      <c r="I429" s="7">
        <f t="shared" si="50"/>
        <v>7699</v>
      </c>
      <c r="J429" s="6">
        <v>7461</v>
      </c>
      <c r="K429" s="33">
        <v>238</v>
      </c>
      <c r="L429" s="5">
        <f t="shared" si="46"/>
        <v>3.189920922128401E-2</v>
      </c>
      <c r="M429" s="26">
        <f t="shared" si="47"/>
        <v>456.58158000000003</v>
      </c>
    </row>
    <row r="430" spans="1:13" x14ac:dyDescent="0.25">
      <c r="A430" s="16" t="str">
        <f t="shared" si="49"/>
        <v>February</v>
      </c>
      <c r="B430" s="31">
        <v>43874</v>
      </c>
      <c r="C430" s="32" t="s">
        <v>24</v>
      </c>
      <c r="D430" s="9" t="str">
        <f t="shared" si="45"/>
        <v>43874 - 3S</v>
      </c>
      <c r="E430" s="32" t="s">
        <v>9</v>
      </c>
      <c r="F430" s="2">
        <v>8000035</v>
      </c>
      <c r="G430" s="4" t="str">
        <f>IFERROR(VLOOKUP(F430,Lists!$C:$D,2,0), "N/A")</f>
        <v>TURTLES MILK CHOC ORIGINAL</v>
      </c>
      <c r="H430" s="26">
        <f>IFERROR(VLOOKUP(F430,Lists!$C:$F,4,0),0)</f>
        <v>1.91178</v>
      </c>
      <c r="I430" s="7">
        <f t="shared" si="50"/>
        <v>8120</v>
      </c>
      <c r="J430" s="6">
        <v>8014</v>
      </c>
      <c r="K430" s="33">
        <v>106</v>
      </c>
      <c r="L430" s="5">
        <f t="shared" si="46"/>
        <v>1.3226853007237334E-2</v>
      </c>
      <c r="M430" s="26">
        <f t="shared" si="47"/>
        <v>202.64868000000001</v>
      </c>
    </row>
    <row r="431" spans="1:13" x14ac:dyDescent="0.25">
      <c r="A431" s="16" t="str">
        <f t="shared" si="49"/>
        <v>February</v>
      </c>
      <c r="B431" s="31">
        <v>43875</v>
      </c>
      <c r="C431" s="32" t="s">
        <v>24</v>
      </c>
      <c r="D431" s="9" t="str">
        <f t="shared" si="45"/>
        <v>43875 - 3S</v>
      </c>
      <c r="E431" s="32" t="s">
        <v>9</v>
      </c>
      <c r="F431" s="2">
        <v>8000035</v>
      </c>
      <c r="G431" s="4" t="str">
        <f>IFERROR(VLOOKUP(F431,Lists!$C:$D,2,0), "N/A")</f>
        <v>TURTLES MILK CHOC ORIGINAL</v>
      </c>
      <c r="H431" s="26">
        <f>IFERROR(VLOOKUP(F431,Lists!$C:$F,4,0),0)</f>
        <v>1.91178</v>
      </c>
      <c r="I431" s="7">
        <f t="shared" si="50"/>
        <v>7502</v>
      </c>
      <c r="J431" s="6">
        <v>7301</v>
      </c>
      <c r="K431" s="33">
        <v>201</v>
      </c>
      <c r="L431" s="5">
        <f t="shared" si="46"/>
        <v>2.7530475277359266E-2</v>
      </c>
      <c r="M431" s="26">
        <f t="shared" si="47"/>
        <v>384.26778000000002</v>
      </c>
    </row>
    <row r="432" spans="1:13" x14ac:dyDescent="0.25">
      <c r="A432" s="16" t="str">
        <f t="shared" si="49"/>
        <v>February</v>
      </c>
      <c r="B432" s="31">
        <v>43866</v>
      </c>
      <c r="C432" s="32" t="s">
        <v>24</v>
      </c>
      <c r="D432" s="9" t="str">
        <f t="shared" si="45"/>
        <v>43866 - 3S</v>
      </c>
      <c r="E432" s="32" t="s">
        <v>11</v>
      </c>
      <c r="F432" s="2">
        <v>8000034</v>
      </c>
      <c r="G432" s="4" t="str">
        <f>IFERROR(VLOOKUP(F432,Lists!$C:$D,2,0), "N/A")</f>
        <v>KS MILK CHOC MACADAMIA</v>
      </c>
      <c r="H432" s="26">
        <f>IFERROR(VLOOKUP(F432,Lists!$C:$F,4,0),0)</f>
        <v>3.8943099999999999</v>
      </c>
      <c r="I432" s="7">
        <f t="shared" si="50"/>
        <v>7317</v>
      </c>
      <c r="J432" s="6">
        <v>7200</v>
      </c>
      <c r="K432" s="33">
        <v>117</v>
      </c>
      <c r="L432" s="5">
        <f t="shared" si="46"/>
        <v>1.6250000000000001E-2</v>
      </c>
      <c r="M432" s="26">
        <f t="shared" si="47"/>
        <v>455.63427000000001</v>
      </c>
    </row>
    <row r="433" spans="1:14" x14ac:dyDescent="0.25">
      <c r="A433" s="16" t="str">
        <f t="shared" si="49"/>
        <v>February</v>
      </c>
      <c r="B433" s="31">
        <v>43867</v>
      </c>
      <c r="C433" s="32" t="s">
        <v>24</v>
      </c>
      <c r="D433" s="9" t="str">
        <f t="shared" si="45"/>
        <v>43867 - 3S</v>
      </c>
      <c r="E433" s="32" t="s">
        <v>11</v>
      </c>
      <c r="F433" s="2">
        <v>8000034</v>
      </c>
      <c r="G433" s="4" t="str">
        <f>IFERROR(VLOOKUP(F433,Lists!$C:$D,2,0), "N/A")</f>
        <v>KS MILK CHOC MACADAMIA</v>
      </c>
      <c r="H433" s="26">
        <f>IFERROR(VLOOKUP(F433,Lists!$C:$F,4,0),0)</f>
        <v>3.8943099999999999</v>
      </c>
      <c r="I433" s="7">
        <f t="shared" si="50"/>
        <v>7215</v>
      </c>
      <c r="J433" s="6">
        <v>7200</v>
      </c>
      <c r="K433" s="33">
        <v>15</v>
      </c>
      <c r="L433" s="5">
        <f t="shared" si="46"/>
        <v>2.0833333333333333E-3</v>
      </c>
      <c r="M433" s="26">
        <f t="shared" si="47"/>
        <v>58.414650000000002</v>
      </c>
    </row>
    <row r="434" spans="1:14" x14ac:dyDescent="0.25">
      <c r="A434" s="16" t="str">
        <f t="shared" si="49"/>
        <v>February</v>
      </c>
      <c r="B434" s="31">
        <v>43868</v>
      </c>
      <c r="C434" s="32" t="s">
        <v>24</v>
      </c>
      <c r="D434" s="9" t="str">
        <f t="shared" si="45"/>
        <v>43868 - 3S</v>
      </c>
      <c r="E434" s="32" t="s">
        <v>11</v>
      </c>
      <c r="F434" s="2">
        <v>8000034</v>
      </c>
      <c r="G434" s="4" t="str">
        <f>IFERROR(VLOOKUP(F434,Lists!$C:$D,2,0), "N/A")</f>
        <v>KS MILK CHOC MACADAMIA</v>
      </c>
      <c r="H434" s="26">
        <f>IFERROR(VLOOKUP(F434,Lists!$C:$F,4,0),0)</f>
        <v>3.8943099999999999</v>
      </c>
      <c r="I434" s="7">
        <f t="shared" si="50"/>
        <v>7250</v>
      </c>
      <c r="J434" s="6">
        <v>7200</v>
      </c>
      <c r="K434" s="33">
        <v>50</v>
      </c>
      <c r="L434" s="5">
        <f t="shared" si="46"/>
        <v>6.9444444444444441E-3</v>
      </c>
      <c r="M434" s="26">
        <f t="shared" si="47"/>
        <v>194.71549999999999</v>
      </c>
    </row>
    <row r="435" spans="1:14" x14ac:dyDescent="0.25">
      <c r="A435" s="16" t="str">
        <f t="shared" ref="A435:A466" si="51">TEXT(B435,"mmmm")</f>
        <v>February</v>
      </c>
      <c r="B435" s="31">
        <v>43873</v>
      </c>
      <c r="C435" s="32" t="s">
        <v>24</v>
      </c>
      <c r="D435" s="9" t="str">
        <f t="shared" si="45"/>
        <v>43873 - 3S</v>
      </c>
      <c r="E435" s="32" t="s">
        <v>11</v>
      </c>
      <c r="F435" s="2">
        <v>8000034</v>
      </c>
      <c r="G435" s="4" t="str">
        <f>IFERROR(VLOOKUP(F435,Lists!$C:$D,2,0), "N/A")</f>
        <v>KS MILK CHOC MACADAMIA</v>
      </c>
      <c r="H435" s="26">
        <f>IFERROR(VLOOKUP(F435,Lists!$C:$F,4,0),0)</f>
        <v>3.8943099999999999</v>
      </c>
      <c r="I435" s="7">
        <f t="shared" si="50"/>
        <v>7345</v>
      </c>
      <c r="J435" s="6">
        <v>7200</v>
      </c>
      <c r="K435" s="33">
        <v>145</v>
      </c>
      <c r="L435" s="5">
        <f t="shared" si="46"/>
        <v>2.013888888888889E-2</v>
      </c>
      <c r="M435" s="26">
        <f t="shared" si="47"/>
        <v>564.67494999999997</v>
      </c>
    </row>
    <row r="436" spans="1:14" x14ac:dyDescent="0.25">
      <c r="A436" s="16" t="str">
        <f t="shared" si="51"/>
        <v>February</v>
      </c>
      <c r="B436" s="31">
        <v>43874</v>
      </c>
      <c r="C436" s="32" t="s">
        <v>24</v>
      </c>
      <c r="D436" s="9" t="str">
        <f t="shared" si="45"/>
        <v>43874 - 3S</v>
      </c>
      <c r="E436" s="32" t="s">
        <v>11</v>
      </c>
      <c r="F436" s="2">
        <v>8000034</v>
      </c>
      <c r="G436" s="4" t="str">
        <f>IFERROR(VLOOKUP(F436,Lists!$C:$D,2,0), "N/A")</f>
        <v>KS MILK CHOC MACADAMIA</v>
      </c>
      <c r="H436" s="26">
        <f>IFERROR(VLOOKUP(F436,Lists!$C:$F,4,0),0)</f>
        <v>3.8943099999999999</v>
      </c>
      <c r="I436" s="7">
        <f t="shared" si="50"/>
        <v>6509</v>
      </c>
      <c r="J436" s="6">
        <v>6400</v>
      </c>
      <c r="K436" s="33">
        <v>109</v>
      </c>
      <c r="L436" s="5">
        <f t="shared" si="46"/>
        <v>1.7031250000000001E-2</v>
      </c>
      <c r="M436" s="26">
        <f t="shared" si="47"/>
        <v>424.47978999999998</v>
      </c>
    </row>
    <row r="437" spans="1:14" x14ac:dyDescent="0.25">
      <c r="A437" s="16" t="str">
        <f t="shared" si="51"/>
        <v>February</v>
      </c>
      <c r="B437" s="31">
        <v>43866</v>
      </c>
      <c r="C437" s="32" t="s">
        <v>24</v>
      </c>
      <c r="D437" s="9" t="str">
        <f t="shared" si="45"/>
        <v>43866 - 3S</v>
      </c>
      <c r="E437" s="32" t="s">
        <v>15</v>
      </c>
      <c r="G437" s="4" t="str">
        <f>IFERROR(VLOOKUP(F437,Lists!$C:$D,2,0), "N/A")</f>
        <v>N/A</v>
      </c>
      <c r="H437" s="26">
        <f>IFERROR(VLOOKUP(F437,Lists!$C:$F,4,0),0)</f>
        <v>0</v>
      </c>
      <c r="I437" s="7">
        <f t="shared" si="50"/>
        <v>35</v>
      </c>
      <c r="J437" s="6">
        <v>0</v>
      </c>
      <c r="K437" s="33">
        <v>35</v>
      </c>
      <c r="L437" s="5">
        <f t="shared" si="46"/>
        <v>1</v>
      </c>
      <c r="M437" s="26">
        <f t="shared" si="47"/>
        <v>0</v>
      </c>
    </row>
    <row r="438" spans="1:14" x14ac:dyDescent="0.25">
      <c r="A438" s="16" t="str">
        <f t="shared" si="51"/>
        <v>February</v>
      </c>
      <c r="B438" s="31">
        <v>43867</v>
      </c>
      <c r="C438" s="32" t="s">
        <v>24</v>
      </c>
      <c r="D438" s="9" t="str">
        <f t="shared" si="45"/>
        <v>43867 - 3S</v>
      </c>
      <c r="E438" s="32" t="s">
        <v>15</v>
      </c>
      <c r="G438" s="4" t="str">
        <f>IFERROR(VLOOKUP(F438,Lists!$C:$D,2,0), "N/A")</f>
        <v>N/A</v>
      </c>
      <c r="H438" s="26">
        <f>IFERROR(VLOOKUP(F438,Lists!$C:$F,4,0),0)</f>
        <v>0</v>
      </c>
      <c r="I438" s="7">
        <f t="shared" si="50"/>
        <v>97</v>
      </c>
      <c r="J438" s="45">
        <v>0</v>
      </c>
      <c r="K438" s="33">
        <v>97</v>
      </c>
      <c r="L438" s="5">
        <f t="shared" si="46"/>
        <v>1</v>
      </c>
      <c r="M438" s="26">
        <f t="shared" si="47"/>
        <v>0</v>
      </c>
    </row>
    <row r="439" spans="1:14" x14ac:dyDescent="0.25">
      <c r="A439" s="16" t="str">
        <f t="shared" si="51"/>
        <v>February</v>
      </c>
      <c r="B439" s="31">
        <v>43872</v>
      </c>
      <c r="C439" s="32" t="s">
        <v>24</v>
      </c>
      <c r="D439" s="9" t="str">
        <f t="shared" si="45"/>
        <v>43872 - 3S</v>
      </c>
      <c r="E439" s="32" t="s">
        <v>15</v>
      </c>
      <c r="G439" s="4" t="str">
        <f>IFERROR(VLOOKUP(F439,Lists!$C:$D,2,0), "N/A")</f>
        <v>N/A</v>
      </c>
      <c r="H439" s="26">
        <f>IFERROR(VLOOKUP(F439,Lists!$C:$F,4,0),0)</f>
        <v>0</v>
      </c>
      <c r="I439" s="7">
        <f t="shared" si="50"/>
        <v>25</v>
      </c>
      <c r="J439" s="45">
        <v>0</v>
      </c>
      <c r="K439" s="33">
        <v>25</v>
      </c>
      <c r="L439" s="5">
        <f t="shared" si="46"/>
        <v>1</v>
      </c>
      <c r="M439" s="26">
        <f t="shared" si="47"/>
        <v>0</v>
      </c>
    </row>
    <row r="440" spans="1:14" x14ac:dyDescent="0.25">
      <c r="A440" s="16" t="str">
        <f t="shared" si="51"/>
        <v>February</v>
      </c>
      <c r="B440" s="31">
        <v>43874</v>
      </c>
      <c r="C440" s="32" t="s">
        <v>24</v>
      </c>
      <c r="D440" s="9" t="str">
        <f t="shared" si="45"/>
        <v>43874 - 3S</v>
      </c>
      <c r="E440" s="32" t="s">
        <v>15</v>
      </c>
      <c r="G440" s="4" t="str">
        <f>IFERROR(VLOOKUP(F440,Lists!$C:$D,2,0), "N/A")</f>
        <v>N/A</v>
      </c>
      <c r="H440" s="26">
        <f>IFERROR(VLOOKUP(F440,Lists!$C:$F,4,0),0)</f>
        <v>0</v>
      </c>
      <c r="I440" s="7">
        <f t="shared" si="50"/>
        <v>8</v>
      </c>
      <c r="J440" s="45">
        <v>0</v>
      </c>
      <c r="K440" s="33">
        <v>8</v>
      </c>
      <c r="L440" s="5">
        <f t="shared" si="46"/>
        <v>1</v>
      </c>
      <c r="M440" s="26">
        <f t="shared" si="47"/>
        <v>0</v>
      </c>
    </row>
    <row r="441" spans="1:14" x14ac:dyDescent="0.25">
      <c r="A441" s="16" t="str">
        <f t="shared" si="51"/>
        <v>February</v>
      </c>
      <c r="B441" s="31">
        <v>43875</v>
      </c>
      <c r="C441" s="32" t="s">
        <v>24</v>
      </c>
      <c r="D441" s="9" t="str">
        <f t="shared" si="45"/>
        <v>43875 - 3S</v>
      </c>
      <c r="E441" s="32" t="s">
        <v>15</v>
      </c>
      <c r="G441" s="4" t="str">
        <f>IFERROR(VLOOKUP(F441,Lists!$C:$D,2,0), "N/A")</f>
        <v>N/A</v>
      </c>
      <c r="H441" s="26">
        <f>IFERROR(VLOOKUP(F441,Lists!$C:$F,4,0),0)</f>
        <v>0</v>
      </c>
      <c r="I441" s="7">
        <f t="shared" si="50"/>
        <v>3</v>
      </c>
      <c r="J441" s="6">
        <v>0</v>
      </c>
      <c r="K441" s="33">
        <v>3</v>
      </c>
      <c r="L441" s="5">
        <f t="shared" si="46"/>
        <v>1</v>
      </c>
      <c r="M441" s="26">
        <f t="shared" si="47"/>
        <v>0</v>
      </c>
    </row>
    <row r="442" spans="1:14" x14ac:dyDescent="0.25">
      <c r="A442" s="16" t="str">
        <f t="shared" si="51"/>
        <v>February</v>
      </c>
      <c r="B442" s="31">
        <v>43880</v>
      </c>
      <c r="C442" s="32" t="s">
        <v>24</v>
      </c>
      <c r="D442" s="9" t="str">
        <f t="shared" si="45"/>
        <v>43880 - 3S</v>
      </c>
      <c r="E442" s="32" t="s">
        <v>15</v>
      </c>
      <c r="G442" s="4" t="str">
        <f>IFERROR(VLOOKUP(F442,Lists!$C:$D,2,0), "N/A")</f>
        <v>N/A</v>
      </c>
      <c r="H442" s="26">
        <f>IFERROR(VLOOKUP(F442,Lists!$C:$F,4,0),0)</f>
        <v>0</v>
      </c>
      <c r="I442" s="7">
        <f t="shared" si="50"/>
        <v>10</v>
      </c>
      <c r="K442" s="33">
        <v>10</v>
      </c>
      <c r="L442" s="5">
        <f t="shared" si="46"/>
        <v>1</v>
      </c>
      <c r="M442" s="26">
        <f t="shared" si="47"/>
        <v>0</v>
      </c>
    </row>
    <row r="443" spans="1:14" x14ac:dyDescent="0.25">
      <c r="A443" s="16" t="str">
        <f t="shared" si="51"/>
        <v>February</v>
      </c>
      <c r="B443" s="31">
        <v>43880</v>
      </c>
      <c r="C443" s="32" t="s">
        <v>24</v>
      </c>
      <c r="D443" s="9" t="str">
        <f t="shared" si="45"/>
        <v>43880 - 3S</v>
      </c>
      <c r="E443" s="32" t="s">
        <v>9</v>
      </c>
      <c r="F443" s="2">
        <v>8000035</v>
      </c>
      <c r="G443" s="4" t="str">
        <f>IFERROR(VLOOKUP(F443,Lists!$C:$D,2,0), "N/A")</f>
        <v>TURTLES MILK CHOC ORIGINAL</v>
      </c>
      <c r="H443" s="26">
        <f>IFERROR(VLOOKUP(F443,Lists!$C:$F,4,0),0)</f>
        <v>1.91178</v>
      </c>
      <c r="I443" s="7">
        <f t="shared" si="50"/>
        <v>9390</v>
      </c>
      <c r="J443" s="6">
        <v>9121</v>
      </c>
      <c r="K443" s="33">
        <v>269</v>
      </c>
      <c r="L443" s="5">
        <f t="shared" si="46"/>
        <v>2.9492380221466944E-2</v>
      </c>
      <c r="M443" s="26">
        <f t="shared" si="47"/>
        <v>514.26882000000001</v>
      </c>
    </row>
    <row r="444" spans="1:14" x14ac:dyDescent="0.25">
      <c r="A444" s="16" t="str">
        <f t="shared" si="51"/>
        <v>February</v>
      </c>
      <c r="B444" s="31">
        <v>43880</v>
      </c>
      <c r="C444" s="32" t="s">
        <v>24</v>
      </c>
      <c r="D444" s="9" t="str">
        <f t="shared" si="45"/>
        <v>43880 - 3S</v>
      </c>
      <c r="E444" s="32" t="s">
        <v>13</v>
      </c>
      <c r="F444" s="2">
        <v>8000040</v>
      </c>
      <c r="G444" s="4" t="str">
        <f>IFERROR(VLOOKUP(F444,Lists!$C:$D,2,0), "N/A")</f>
        <v>WIP.MSM FLIPZ MILK CHOC SUPER MINI</v>
      </c>
      <c r="H444" s="26">
        <f>IFERROR(VLOOKUP(F444,Lists!$C:$F,4,0),0)</f>
        <v>1.21353</v>
      </c>
      <c r="I444" s="7">
        <f t="shared" si="50"/>
        <v>2003</v>
      </c>
      <c r="J444" s="6">
        <v>2000</v>
      </c>
      <c r="K444" s="33">
        <v>3</v>
      </c>
      <c r="L444" s="5">
        <f t="shared" si="46"/>
        <v>1.5E-3</v>
      </c>
      <c r="M444" s="26">
        <f t="shared" si="47"/>
        <v>3.64059</v>
      </c>
    </row>
    <row r="445" spans="1:14" x14ac:dyDescent="0.25">
      <c r="A445" s="16" t="str">
        <f t="shared" si="51"/>
        <v>February</v>
      </c>
      <c r="B445" s="31">
        <v>43881</v>
      </c>
      <c r="C445" s="32" t="s">
        <v>24</v>
      </c>
      <c r="D445" s="9" t="str">
        <f t="shared" si="45"/>
        <v>43881 - 3S</v>
      </c>
      <c r="E445" s="32" t="s">
        <v>9</v>
      </c>
      <c r="F445" s="2">
        <v>8000035</v>
      </c>
      <c r="G445" s="4" t="str">
        <f>IFERROR(VLOOKUP(F445,Lists!$C:$D,2,0), "N/A")</f>
        <v>TURTLES MILK CHOC ORIGINAL</v>
      </c>
      <c r="H445" s="26">
        <f>IFERROR(VLOOKUP(F445,Lists!$C:$F,4,0),0)</f>
        <v>1.91178</v>
      </c>
      <c r="I445" s="7">
        <f t="shared" si="50"/>
        <v>8930</v>
      </c>
      <c r="J445" s="6">
        <v>8727</v>
      </c>
      <c r="K445" s="33">
        <v>203</v>
      </c>
      <c r="L445" s="5">
        <f t="shared" si="46"/>
        <v>2.326114357740346E-2</v>
      </c>
      <c r="M445" s="26">
        <f t="shared" si="47"/>
        <v>388.09134</v>
      </c>
    </row>
    <row r="446" spans="1:14" x14ac:dyDescent="0.25">
      <c r="A446" s="16" t="str">
        <f t="shared" si="51"/>
        <v>February</v>
      </c>
      <c r="B446" s="31">
        <v>43881</v>
      </c>
      <c r="C446" s="32" t="s">
        <v>24</v>
      </c>
      <c r="D446" s="9" t="str">
        <f t="shared" si="45"/>
        <v>43881 - 3S</v>
      </c>
      <c r="E446" s="32" t="s">
        <v>13</v>
      </c>
      <c r="F446" s="2">
        <v>8000040</v>
      </c>
      <c r="G446" s="4" t="str">
        <f>IFERROR(VLOOKUP(F446,Lists!$C:$D,2,0), "N/A")</f>
        <v>WIP.MSM FLIPZ MILK CHOC SUPER MINI</v>
      </c>
      <c r="H446" s="26">
        <f>IFERROR(VLOOKUP(F446,Lists!$C:$F,4,0),0)</f>
        <v>1.21353</v>
      </c>
      <c r="I446" s="7">
        <f t="shared" si="50"/>
        <v>2021</v>
      </c>
      <c r="J446" s="6">
        <v>2000</v>
      </c>
      <c r="K446" s="33">
        <v>21</v>
      </c>
      <c r="L446" s="5">
        <f t="shared" si="46"/>
        <v>1.0500000000000001E-2</v>
      </c>
      <c r="M446" s="26">
        <f t="shared" si="47"/>
        <v>25.48413</v>
      </c>
    </row>
    <row r="447" spans="1:14" x14ac:dyDescent="0.25">
      <c r="A447" s="16" t="str">
        <f t="shared" si="51"/>
        <v>February</v>
      </c>
      <c r="B447" s="31">
        <v>43882</v>
      </c>
      <c r="C447" s="32" t="s">
        <v>24</v>
      </c>
      <c r="D447" s="9" t="str">
        <f t="shared" si="45"/>
        <v>43882 - 3S</v>
      </c>
      <c r="E447" s="32" t="s">
        <v>9</v>
      </c>
      <c r="F447" s="2">
        <v>8000035</v>
      </c>
      <c r="G447" s="4" t="str">
        <f>IFERROR(VLOOKUP(F447,Lists!$C:$D,2,0), "N/A")</f>
        <v>TURTLES MILK CHOC ORIGINAL</v>
      </c>
      <c r="H447" s="26">
        <f>IFERROR(VLOOKUP(F447,Lists!$C:$F,4,0),0)</f>
        <v>1.91178</v>
      </c>
      <c r="I447" s="7">
        <f t="shared" si="50"/>
        <v>11360</v>
      </c>
      <c r="J447" s="6">
        <v>11163</v>
      </c>
      <c r="K447" s="33">
        <v>197</v>
      </c>
      <c r="L447" s="5">
        <f t="shared" si="46"/>
        <v>1.7647585774433396E-2</v>
      </c>
      <c r="M447" s="26">
        <f t="shared" si="47"/>
        <v>376.62065999999999</v>
      </c>
    </row>
    <row r="448" spans="1:14" x14ac:dyDescent="0.25">
      <c r="A448" s="16" t="str">
        <f t="shared" si="51"/>
        <v>February</v>
      </c>
      <c r="B448" s="31">
        <v>43885</v>
      </c>
      <c r="C448" s="32" t="s">
        <v>24</v>
      </c>
      <c r="D448" s="9" t="str">
        <f t="shared" si="45"/>
        <v>43885 - 3S</v>
      </c>
      <c r="E448" s="32" t="s">
        <v>9</v>
      </c>
      <c r="F448" s="2">
        <v>8000035</v>
      </c>
      <c r="G448" s="4" t="str">
        <f>IFERROR(VLOOKUP(F448,Lists!$C:$D,2,0), "N/A")</f>
        <v>TURTLES MILK CHOC ORIGINAL</v>
      </c>
      <c r="H448" s="26">
        <f>IFERROR(VLOOKUP(F448,Lists!$C:$F,4,0),0)</f>
        <v>1.91178</v>
      </c>
      <c r="I448" s="7">
        <f t="shared" si="50"/>
        <v>126</v>
      </c>
      <c r="J448" s="6">
        <v>0</v>
      </c>
      <c r="K448" s="33">
        <v>126</v>
      </c>
      <c r="L448" s="5">
        <f t="shared" si="46"/>
        <v>1</v>
      </c>
      <c r="M448" s="26">
        <f t="shared" si="47"/>
        <v>240.88428000000002</v>
      </c>
      <c r="N448" s="53" t="s">
        <v>210</v>
      </c>
    </row>
    <row r="449" spans="1:14" x14ac:dyDescent="0.25">
      <c r="A449" s="16" t="str">
        <f t="shared" si="51"/>
        <v>February</v>
      </c>
      <c r="B449" s="31">
        <v>43885</v>
      </c>
      <c r="C449" s="32" t="s">
        <v>24</v>
      </c>
      <c r="D449" s="9" t="str">
        <f t="shared" si="45"/>
        <v>43885 - 3S</v>
      </c>
      <c r="E449" s="32" t="s">
        <v>13</v>
      </c>
      <c r="F449" s="2">
        <v>8000040</v>
      </c>
      <c r="G449" s="4" t="str">
        <f>IFERROR(VLOOKUP(F449,Lists!$C:$D,2,0), "N/A")</f>
        <v>WIP.MSM FLIPZ MILK CHOC SUPER MINI</v>
      </c>
      <c r="H449" s="26">
        <f>IFERROR(VLOOKUP(F449,Lists!$C:$F,4,0),0)</f>
        <v>1.21353</v>
      </c>
      <c r="I449" s="7">
        <f t="shared" si="50"/>
        <v>1000</v>
      </c>
      <c r="J449" s="6">
        <v>1000</v>
      </c>
      <c r="K449" s="33">
        <v>0</v>
      </c>
      <c r="L449" s="5">
        <f t="shared" si="46"/>
        <v>0</v>
      </c>
      <c r="M449" s="26">
        <f t="shared" si="47"/>
        <v>0</v>
      </c>
    </row>
    <row r="450" spans="1:14" ht="51.75" x14ac:dyDescent="0.25">
      <c r="A450" s="16" t="str">
        <f t="shared" si="51"/>
        <v>February</v>
      </c>
      <c r="B450" s="31">
        <v>43886</v>
      </c>
      <c r="C450" s="32" t="s">
        <v>24</v>
      </c>
      <c r="D450" s="9" t="str">
        <f t="shared" ref="D450:D515" si="52">CONCATENATE(B450," - ",C450)</f>
        <v>43886 - 3S</v>
      </c>
      <c r="E450" s="32" t="s">
        <v>9</v>
      </c>
      <c r="F450" s="2">
        <v>8000035</v>
      </c>
      <c r="G450" s="4" t="str">
        <f>IFERROR(VLOOKUP(F450,Lists!$C:$D,2,0), "N/A")</f>
        <v>TURTLES MILK CHOC ORIGINAL</v>
      </c>
      <c r="H450" s="26">
        <f>IFERROR(VLOOKUP(F450,Lists!$C:$F,4,0),0)</f>
        <v>1.91178</v>
      </c>
      <c r="I450" s="7">
        <f t="shared" si="50"/>
        <v>9383</v>
      </c>
      <c r="J450" s="6">
        <v>8931</v>
      </c>
      <c r="K450" s="33">
        <v>452</v>
      </c>
      <c r="L450" s="5">
        <f t="shared" ref="L450:L515" si="53">IFERROR((K450/J450),1)</f>
        <v>5.0610234016347552E-2</v>
      </c>
      <c r="M450" s="26">
        <f t="shared" ref="M450:M515" si="54">K450*H450</f>
        <v>864.12455999999997</v>
      </c>
      <c r="N450" s="53" t="s">
        <v>211</v>
      </c>
    </row>
    <row r="451" spans="1:14" x14ac:dyDescent="0.25">
      <c r="A451" s="16" t="str">
        <f t="shared" si="51"/>
        <v>February</v>
      </c>
      <c r="B451" s="31">
        <v>43886</v>
      </c>
      <c r="C451" s="32" t="s">
        <v>24</v>
      </c>
      <c r="D451" s="9" t="str">
        <f t="shared" si="52"/>
        <v>43886 - 3S</v>
      </c>
      <c r="E451" s="32" t="s">
        <v>10</v>
      </c>
      <c r="F451" s="2">
        <v>8000039</v>
      </c>
      <c r="G451" s="4" t="str">
        <f>IFERROR(VLOOKUP(F451,Lists!$C:$D,2,0), "N/A")</f>
        <v>TURTLES MILK CHOC ORIG MINI</v>
      </c>
      <c r="H451" s="26">
        <f>IFERROR(VLOOKUP(F451,Lists!$C:$F,4,0),0)</f>
        <v>2.08013</v>
      </c>
      <c r="I451" s="7">
        <f t="shared" si="50"/>
        <v>9698</v>
      </c>
      <c r="J451" s="45">
        <v>9600</v>
      </c>
      <c r="K451" s="33">
        <v>98</v>
      </c>
      <c r="L451" s="5">
        <f t="shared" si="53"/>
        <v>1.0208333333333333E-2</v>
      </c>
      <c r="M451" s="26">
        <f t="shared" si="54"/>
        <v>203.85274000000001</v>
      </c>
    </row>
    <row r="452" spans="1:14" x14ac:dyDescent="0.25">
      <c r="A452" s="16" t="str">
        <f t="shared" si="51"/>
        <v>February</v>
      </c>
      <c r="B452" s="31">
        <v>43886</v>
      </c>
      <c r="C452" s="32" t="s">
        <v>24</v>
      </c>
      <c r="D452" s="9" t="str">
        <f t="shared" si="52"/>
        <v>43886 - 3S</v>
      </c>
      <c r="E452" s="32" t="s">
        <v>13</v>
      </c>
      <c r="F452" s="2">
        <v>8000040</v>
      </c>
      <c r="G452" s="4" t="str">
        <f>IFERROR(VLOOKUP(F452,Lists!$C:$D,2,0), "N/A")</f>
        <v>WIP.MSM FLIPZ MILK CHOC SUPER MINI</v>
      </c>
      <c r="H452" s="26">
        <f>IFERROR(VLOOKUP(F452,Lists!$C:$F,4,0),0)</f>
        <v>1.21353</v>
      </c>
      <c r="I452" s="7">
        <f t="shared" si="50"/>
        <v>3000</v>
      </c>
      <c r="J452" s="45">
        <v>3000</v>
      </c>
      <c r="K452" s="33">
        <v>0</v>
      </c>
      <c r="L452" s="5">
        <f t="shared" si="53"/>
        <v>0</v>
      </c>
      <c r="M452" s="26">
        <f t="shared" si="54"/>
        <v>0</v>
      </c>
    </row>
    <row r="453" spans="1:14" x14ac:dyDescent="0.25">
      <c r="A453" s="16" t="str">
        <f t="shared" si="51"/>
        <v>February</v>
      </c>
      <c r="B453" s="31">
        <v>43887</v>
      </c>
      <c r="C453" s="32" t="s">
        <v>24</v>
      </c>
      <c r="D453" s="9" t="str">
        <f t="shared" si="52"/>
        <v>43887 - 3S</v>
      </c>
      <c r="E453" s="32" t="s">
        <v>9</v>
      </c>
      <c r="F453" s="2">
        <v>8000035</v>
      </c>
      <c r="G453" s="4" t="str">
        <f>IFERROR(VLOOKUP(F453,Lists!$C:$D,2,0), "N/A")</f>
        <v>TURTLES MILK CHOC ORIGINAL</v>
      </c>
      <c r="H453" s="26">
        <f>IFERROR(VLOOKUP(F453,Lists!$C:$F,4,0),0)</f>
        <v>1.91178</v>
      </c>
      <c r="I453" s="7">
        <f t="shared" si="50"/>
        <v>11228</v>
      </c>
      <c r="J453" s="45">
        <v>10882</v>
      </c>
      <c r="K453" s="33">
        <v>346</v>
      </c>
      <c r="L453" s="5">
        <f t="shared" si="53"/>
        <v>3.179562580408013E-2</v>
      </c>
      <c r="M453" s="26">
        <f t="shared" si="54"/>
        <v>661.47587999999996</v>
      </c>
    </row>
    <row r="454" spans="1:14" x14ac:dyDescent="0.25">
      <c r="A454" s="16" t="str">
        <f t="shared" si="51"/>
        <v>February</v>
      </c>
      <c r="B454" s="31">
        <v>43887</v>
      </c>
      <c r="C454" s="32" t="s">
        <v>24</v>
      </c>
      <c r="D454" s="9" t="str">
        <f t="shared" si="52"/>
        <v>43887 - 3S</v>
      </c>
      <c r="E454" s="32" t="s">
        <v>10</v>
      </c>
      <c r="F454" s="2">
        <v>8000039</v>
      </c>
      <c r="G454" s="4" t="str">
        <f>IFERROR(VLOOKUP(F454,Lists!$C:$D,2,0), "N/A")</f>
        <v>TURTLES MILK CHOC ORIG MINI</v>
      </c>
      <c r="H454" s="26">
        <f>IFERROR(VLOOKUP(F454,Lists!$C:$F,4,0),0)</f>
        <v>2.08013</v>
      </c>
      <c r="I454" s="7">
        <f t="shared" si="50"/>
        <v>14517</v>
      </c>
      <c r="J454" s="45">
        <v>14400</v>
      </c>
      <c r="K454" s="33">
        <v>117</v>
      </c>
      <c r="L454" s="5">
        <f t="shared" si="53"/>
        <v>8.1250000000000003E-3</v>
      </c>
      <c r="M454" s="26">
        <f t="shared" si="54"/>
        <v>243.37521000000001</v>
      </c>
    </row>
    <row r="455" spans="1:14" x14ac:dyDescent="0.25">
      <c r="A455" s="16" t="str">
        <f t="shared" si="51"/>
        <v>February</v>
      </c>
      <c r="B455" s="31">
        <v>43887</v>
      </c>
      <c r="C455" s="32" t="s">
        <v>24</v>
      </c>
      <c r="D455" s="9" t="str">
        <f t="shared" si="52"/>
        <v>43887 - 3S</v>
      </c>
      <c r="E455" s="32" t="s">
        <v>13</v>
      </c>
      <c r="F455" s="2">
        <v>8000040</v>
      </c>
      <c r="G455" s="4" t="str">
        <f>IFERROR(VLOOKUP(F455,Lists!$C:$D,2,0), "N/A")</f>
        <v>WIP.MSM FLIPZ MILK CHOC SUPER MINI</v>
      </c>
      <c r="H455" s="26">
        <f>IFERROR(VLOOKUP(F455,Lists!$C:$F,4,0),0)</f>
        <v>1.21353</v>
      </c>
      <c r="I455" s="7">
        <f t="shared" si="50"/>
        <v>1000</v>
      </c>
      <c r="J455" s="45">
        <f>40*25</f>
        <v>1000</v>
      </c>
      <c r="K455" s="33">
        <v>0</v>
      </c>
      <c r="L455" s="5">
        <f t="shared" si="53"/>
        <v>0</v>
      </c>
      <c r="M455" s="26">
        <f t="shared" si="54"/>
        <v>0</v>
      </c>
    </row>
    <row r="456" spans="1:14" x14ac:dyDescent="0.25">
      <c r="A456" s="16" t="str">
        <f t="shared" si="51"/>
        <v>February</v>
      </c>
      <c r="B456" s="31">
        <v>43887</v>
      </c>
      <c r="C456" s="32" t="s">
        <v>24</v>
      </c>
      <c r="D456" s="9" t="str">
        <f t="shared" si="52"/>
        <v>43887 - 3S</v>
      </c>
      <c r="E456" s="32" t="s">
        <v>15</v>
      </c>
      <c r="G456" s="4" t="str">
        <f>IFERROR(VLOOKUP(F456,Lists!$C:$D,2,0), "N/A")</f>
        <v>N/A</v>
      </c>
      <c r="H456" s="26">
        <f>IFERROR(VLOOKUP(F456,Lists!$C:$F,4,0),0)</f>
        <v>0</v>
      </c>
      <c r="I456" s="51">
        <f t="shared" si="50"/>
        <v>0</v>
      </c>
      <c r="J456" s="45"/>
      <c r="K456" s="33">
        <v>0</v>
      </c>
      <c r="L456" s="5">
        <f t="shared" si="53"/>
        <v>1</v>
      </c>
      <c r="M456" s="26">
        <f t="shared" si="54"/>
        <v>0</v>
      </c>
    </row>
    <row r="457" spans="1:14" x14ac:dyDescent="0.25">
      <c r="A457" s="16" t="str">
        <f t="shared" si="51"/>
        <v>February</v>
      </c>
      <c r="B457" s="31">
        <v>43888</v>
      </c>
      <c r="C457" s="32" t="s">
        <v>24</v>
      </c>
      <c r="D457" s="9" t="str">
        <f t="shared" si="52"/>
        <v>43888 - 3S</v>
      </c>
      <c r="E457" s="32" t="s">
        <v>12</v>
      </c>
      <c r="F457" s="2">
        <v>8000054</v>
      </c>
      <c r="G457" s="4" t="str">
        <f>IFERROR(VLOOKUP(F457,Lists!$C:$D,2,0), "N/A")</f>
        <v>901 FLIPZ 25 LB BULK FAT FREE MINI</v>
      </c>
      <c r="H457" s="26">
        <f>IFERROR(VLOOKUP(F457,Lists!$C:$F,4,0),0)</f>
        <v>0.32519919999999997</v>
      </c>
      <c r="I457" s="7">
        <f t="shared" si="50"/>
        <v>447</v>
      </c>
      <c r="J457" s="20">
        <v>0</v>
      </c>
      <c r="K457" s="33">
        <v>447</v>
      </c>
      <c r="L457" s="5">
        <f t="shared" si="53"/>
        <v>1</v>
      </c>
      <c r="M457" s="26">
        <f t="shared" si="54"/>
        <v>145.36404239999999</v>
      </c>
      <c r="N457" s="53" t="s">
        <v>245</v>
      </c>
    </row>
    <row r="458" spans="1:14" x14ac:dyDescent="0.25">
      <c r="A458" s="16" t="str">
        <f t="shared" si="51"/>
        <v>February</v>
      </c>
      <c r="B458" s="31">
        <v>43888</v>
      </c>
      <c r="C458" s="32" t="s">
        <v>24</v>
      </c>
      <c r="D458" s="9" t="str">
        <f t="shared" si="52"/>
        <v>43888 - 3S</v>
      </c>
      <c r="E458" s="32" t="s">
        <v>9</v>
      </c>
      <c r="F458" s="2">
        <v>8000035</v>
      </c>
      <c r="G458" s="4" t="str">
        <f>IFERROR(VLOOKUP(F458,Lists!$C:$D,2,0), "N/A")</f>
        <v>TURTLES MILK CHOC ORIGINAL</v>
      </c>
      <c r="H458" s="26">
        <f>IFERROR(VLOOKUP(F458,Lists!$C:$F,4,0),0)</f>
        <v>1.91178</v>
      </c>
      <c r="I458" s="7">
        <f t="shared" si="50"/>
        <v>7684</v>
      </c>
      <c r="J458" s="20">
        <f>860+6329</f>
        <v>7189</v>
      </c>
      <c r="K458" s="33">
        <v>495</v>
      </c>
      <c r="L458" s="5">
        <f t="shared" si="53"/>
        <v>6.8855195437473912E-2</v>
      </c>
      <c r="M458" s="26">
        <f t="shared" si="54"/>
        <v>946.33109999999999</v>
      </c>
      <c r="N458" s="53" t="s">
        <v>244</v>
      </c>
    </row>
    <row r="459" spans="1:14" x14ac:dyDescent="0.25">
      <c r="A459" s="16" t="str">
        <f t="shared" si="51"/>
        <v>February</v>
      </c>
      <c r="B459" s="31">
        <v>43888</v>
      </c>
      <c r="C459" s="32" t="s">
        <v>24</v>
      </c>
      <c r="D459" s="9" t="str">
        <f t="shared" si="52"/>
        <v>43888 - 3S</v>
      </c>
      <c r="E459" s="32" t="s">
        <v>13</v>
      </c>
      <c r="F459" s="2">
        <v>8000040</v>
      </c>
      <c r="G459" s="4" t="str">
        <f>IFERROR(VLOOKUP(F459,Lists!$C:$D,2,0), "N/A")</f>
        <v>WIP.MSM FLIPZ MILK CHOC SUPER MINI</v>
      </c>
      <c r="H459" s="26">
        <f>IFERROR(VLOOKUP(F459,Lists!$C:$F,4,0),0)</f>
        <v>1.21353</v>
      </c>
      <c r="I459" s="7">
        <f t="shared" si="50"/>
        <v>1325</v>
      </c>
      <c r="J459" s="6">
        <f>53*25</f>
        <v>1325</v>
      </c>
      <c r="K459" s="33">
        <v>0</v>
      </c>
      <c r="L459" s="5">
        <f t="shared" si="53"/>
        <v>0</v>
      </c>
      <c r="M459" s="26">
        <f t="shared" si="54"/>
        <v>0</v>
      </c>
    </row>
    <row r="460" spans="1:14" x14ac:dyDescent="0.25">
      <c r="A460" s="16" t="str">
        <f t="shared" si="51"/>
        <v>February</v>
      </c>
      <c r="B460" s="31">
        <v>43888</v>
      </c>
      <c r="C460" s="32" t="s">
        <v>24</v>
      </c>
      <c r="D460" s="9" t="str">
        <f t="shared" si="52"/>
        <v>43888 - 3S</v>
      </c>
      <c r="E460" s="32" t="s">
        <v>15</v>
      </c>
      <c r="G460" s="4" t="str">
        <f>IFERROR(VLOOKUP(F460,Lists!$C:$D,2,0), "N/A")</f>
        <v>N/A</v>
      </c>
      <c r="H460" s="26">
        <f>IFERROR(VLOOKUP(F460,Lists!$C:$F,4,0),0)</f>
        <v>0</v>
      </c>
      <c r="I460" s="7">
        <f t="shared" si="50"/>
        <v>0</v>
      </c>
      <c r="K460" s="33">
        <v>0</v>
      </c>
      <c r="L460" s="5">
        <f t="shared" si="53"/>
        <v>1</v>
      </c>
      <c r="M460" s="26">
        <f t="shared" si="54"/>
        <v>0</v>
      </c>
    </row>
    <row r="461" spans="1:14" x14ac:dyDescent="0.25">
      <c r="A461" s="16" t="str">
        <f t="shared" si="51"/>
        <v>February</v>
      </c>
      <c r="B461" s="31">
        <v>43889</v>
      </c>
      <c r="C461" s="32" t="s">
        <v>24</v>
      </c>
      <c r="D461" s="9" t="str">
        <f t="shared" si="52"/>
        <v>43889 - 3S</v>
      </c>
      <c r="E461" s="32" t="s">
        <v>9</v>
      </c>
      <c r="F461" s="2">
        <v>8000035</v>
      </c>
      <c r="G461" s="4" t="str">
        <f>IFERROR(VLOOKUP(F461,Lists!$C:$D,2,0), "N/A")</f>
        <v>TURTLES MILK CHOC ORIGINAL</v>
      </c>
      <c r="H461" s="26">
        <f>IFERROR(VLOOKUP(F461,Lists!$C:$F,4,0),0)</f>
        <v>1.91178</v>
      </c>
      <c r="I461" s="7">
        <f t="shared" si="50"/>
        <v>14013</v>
      </c>
      <c r="J461" s="6">
        <v>13637</v>
      </c>
      <c r="K461" s="33">
        <v>376</v>
      </c>
      <c r="L461" s="5">
        <f t="shared" si="53"/>
        <v>2.7572046637823568E-2</v>
      </c>
      <c r="M461" s="26">
        <f t="shared" si="54"/>
        <v>718.82928000000004</v>
      </c>
    </row>
    <row r="462" spans="1:14" x14ac:dyDescent="0.25">
      <c r="A462" s="16" t="str">
        <f t="shared" si="51"/>
        <v>February</v>
      </c>
      <c r="B462" s="31">
        <v>43889</v>
      </c>
      <c r="C462" s="32" t="s">
        <v>24</v>
      </c>
      <c r="D462" s="9" t="str">
        <f t="shared" si="52"/>
        <v>43889 - 3S</v>
      </c>
      <c r="E462" s="32" t="s">
        <v>13</v>
      </c>
      <c r="F462" s="2">
        <v>8000055</v>
      </c>
      <c r="G462" s="4" t="str">
        <f>IFERROR(VLOOKUP(F462,Lists!$C:$D,2,0), "N/A")</f>
        <v>916.BF FLIPZ 25 LB BULK MILK CHOC</v>
      </c>
      <c r="H462" s="26">
        <f>IFERROR(VLOOKUP(F462,Lists!$C:$F,4,0),0)</f>
        <v>1.9508160000000001</v>
      </c>
      <c r="I462" s="7">
        <f t="shared" si="50"/>
        <v>2008</v>
      </c>
      <c r="J462" s="6">
        <v>2000</v>
      </c>
      <c r="K462" s="33">
        <v>8</v>
      </c>
      <c r="L462" s="5">
        <f t="shared" si="53"/>
        <v>4.0000000000000001E-3</v>
      </c>
      <c r="M462" s="26">
        <f t="shared" si="54"/>
        <v>15.606528000000001</v>
      </c>
    </row>
    <row r="463" spans="1:14" x14ac:dyDescent="0.25">
      <c r="A463" s="16" t="str">
        <f t="shared" si="51"/>
        <v>February</v>
      </c>
      <c r="B463" s="31">
        <v>43889</v>
      </c>
      <c r="C463" s="32" t="s">
        <v>24</v>
      </c>
      <c r="D463" s="9" t="str">
        <f t="shared" si="52"/>
        <v>43889 - 3S</v>
      </c>
      <c r="E463" s="32" t="s">
        <v>15</v>
      </c>
      <c r="G463" s="4" t="str">
        <f>IFERROR(VLOOKUP(F463,Lists!$C:$D,2,0), "N/A")</f>
        <v>N/A</v>
      </c>
      <c r="H463" s="26">
        <f>IFERROR(VLOOKUP(F463,Lists!$C:$F,4,0),0)</f>
        <v>0</v>
      </c>
      <c r="I463" s="7">
        <f t="shared" si="50"/>
        <v>65</v>
      </c>
      <c r="K463" s="33">
        <v>65</v>
      </c>
      <c r="L463" s="5">
        <f t="shared" si="53"/>
        <v>1</v>
      </c>
      <c r="M463" s="26">
        <f t="shared" si="54"/>
        <v>0</v>
      </c>
    </row>
    <row r="464" spans="1:14" x14ac:dyDescent="0.25">
      <c r="A464" s="16" t="str">
        <f t="shared" si="51"/>
        <v>March</v>
      </c>
      <c r="B464" s="31">
        <v>43891</v>
      </c>
      <c r="C464" s="32" t="s">
        <v>24</v>
      </c>
      <c r="D464" s="9" t="str">
        <f t="shared" si="52"/>
        <v>43891 - 3S</v>
      </c>
      <c r="E464" s="32" t="s">
        <v>15</v>
      </c>
      <c r="G464" s="4" t="str">
        <f>IFERROR(VLOOKUP(F464,Lists!$C:$D,2,0), "N/A")</f>
        <v>N/A</v>
      </c>
      <c r="H464" s="26">
        <f>IFERROR(VLOOKUP(F464,Lists!$C:$F,4,0),0)</f>
        <v>0</v>
      </c>
      <c r="I464" s="7">
        <f t="shared" si="50"/>
        <v>20</v>
      </c>
      <c r="K464" s="33">
        <v>20</v>
      </c>
      <c r="L464" s="5">
        <f t="shared" si="53"/>
        <v>1</v>
      </c>
      <c r="M464" s="26">
        <f t="shared" si="54"/>
        <v>0</v>
      </c>
    </row>
    <row r="465" spans="1:14" x14ac:dyDescent="0.25">
      <c r="A465" s="16" t="str">
        <f t="shared" si="51"/>
        <v>March</v>
      </c>
      <c r="B465" s="31">
        <v>43892</v>
      </c>
      <c r="C465" s="32" t="s">
        <v>24</v>
      </c>
      <c r="D465" s="9" t="str">
        <f t="shared" si="52"/>
        <v>43892 - 3S</v>
      </c>
      <c r="E465" s="32" t="s">
        <v>13</v>
      </c>
      <c r="F465" s="2">
        <v>8000055</v>
      </c>
      <c r="G465" s="4" t="str">
        <f>IFERROR(VLOOKUP(F465,Lists!$C:$D,2,0), "N/A")</f>
        <v>916.BF FLIPZ 25 LB BULK MILK CHOC</v>
      </c>
      <c r="H465" s="26">
        <f>IFERROR(VLOOKUP(F465,Lists!$C:$F,4,0),0)</f>
        <v>1.9508160000000001</v>
      </c>
      <c r="I465" s="7">
        <f t="shared" si="50"/>
        <v>1004</v>
      </c>
      <c r="J465" s="6">
        <v>1000</v>
      </c>
      <c r="K465" s="33">
        <v>4</v>
      </c>
      <c r="L465" s="5">
        <f t="shared" si="53"/>
        <v>4.0000000000000001E-3</v>
      </c>
      <c r="M465" s="26">
        <f t="shared" si="54"/>
        <v>7.8032640000000004</v>
      </c>
    </row>
    <row r="466" spans="1:14" x14ac:dyDescent="0.25">
      <c r="A466" s="16" t="str">
        <f t="shared" si="51"/>
        <v>March</v>
      </c>
      <c r="B466" s="31">
        <v>43892</v>
      </c>
      <c r="C466" s="32" t="s">
        <v>24</v>
      </c>
      <c r="D466" s="9" t="str">
        <f t="shared" si="52"/>
        <v>43892 - 3S</v>
      </c>
      <c r="E466" s="32" t="s">
        <v>15</v>
      </c>
      <c r="G466" s="4" t="str">
        <f>IFERROR(VLOOKUP(F466,Lists!$C:$D,2,0), "N/A")</f>
        <v>N/A</v>
      </c>
      <c r="H466" s="26">
        <f>IFERROR(VLOOKUP(F466,Lists!$C:$F,4,0),0)</f>
        <v>0</v>
      </c>
      <c r="I466" s="7">
        <f t="shared" si="50"/>
        <v>10</v>
      </c>
      <c r="K466" s="33">
        <v>10</v>
      </c>
      <c r="L466" s="5">
        <f t="shared" si="53"/>
        <v>1</v>
      </c>
      <c r="M466" s="26">
        <f t="shared" si="54"/>
        <v>0</v>
      </c>
    </row>
    <row r="467" spans="1:14" x14ac:dyDescent="0.25">
      <c r="A467" s="16" t="str">
        <f t="shared" ref="A467:A478" si="55">TEXT(B467,"mmmm")</f>
        <v>March</v>
      </c>
      <c r="B467" s="31">
        <v>43893</v>
      </c>
      <c r="C467" s="32" t="s">
        <v>24</v>
      </c>
      <c r="D467" s="9" t="str">
        <f t="shared" si="52"/>
        <v>43893 - 3S</v>
      </c>
      <c r="E467" s="32" t="s">
        <v>9</v>
      </c>
      <c r="F467" s="46">
        <v>8000038</v>
      </c>
      <c r="G467" s="4" t="str">
        <f>IFERROR(VLOOKUP(F467,Lists!$C:$D,2,0), "N/A")</f>
        <v>TURTLES MILK CHOC PEC BITE SZ</v>
      </c>
      <c r="H467" s="26">
        <f>IFERROR(VLOOKUP(F467,Lists!$C:$F,4,0),0)</f>
        <v>1.96</v>
      </c>
      <c r="I467" s="7">
        <f t="shared" si="50"/>
        <v>4517</v>
      </c>
      <c r="J467" s="20">
        <v>4320</v>
      </c>
      <c r="K467" s="33">
        <v>197</v>
      </c>
      <c r="L467" s="5">
        <f t="shared" si="53"/>
        <v>4.5601851851851852E-2</v>
      </c>
      <c r="M467" s="26">
        <f t="shared" si="54"/>
        <v>386.12</v>
      </c>
    </row>
    <row r="468" spans="1:14" x14ac:dyDescent="0.25">
      <c r="A468" s="16" t="str">
        <f t="shared" si="55"/>
        <v>March</v>
      </c>
      <c r="B468" s="31">
        <v>43893</v>
      </c>
      <c r="C468" s="32" t="s">
        <v>24</v>
      </c>
      <c r="D468" s="9" t="str">
        <f t="shared" si="52"/>
        <v>43893 - 3S</v>
      </c>
      <c r="E468" s="32" t="s">
        <v>11</v>
      </c>
      <c r="F468" s="46">
        <v>8000034</v>
      </c>
      <c r="G468" s="4" t="str">
        <f>IFERROR(VLOOKUP(F468,Lists!$C:$D,2,0), "N/A")</f>
        <v>KS MILK CHOC MACADAMIA</v>
      </c>
      <c r="H468" s="26">
        <f>IFERROR(VLOOKUP(F468,Lists!$C:$F,4,0),0)</f>
        <v>3.8943099999999999</v>
      </c>
      <c r="I468" s="7">
        <f t="shared" si="50"/>
        <v>7299</v>
      </c>
      <c r="J468" s="20">
        <v>7200</v>
      </c>
      <c r="K468" s="33">
        <v>99</v>
      </c>
      <c r="L468" s="5">
        <f t="shared" si="53"/>
        <v>1.375E-2</v>
      </c>
      <c r="M468" s="26">
        <f t="shared" si="54"/>
        <v>385.53669000000002</v>
      </c>
    </row>
    <row r="469" spans="1:14" x14ac:dyDescent="0.25">
      <c r="A469" s="16" t="str">
        <f t="shared" si="55"/>
        <v>March</v>
      </c>
      <c r="B469" s="31">
        <v>43893</v>
      </c>
      <c r="C469" s="32" t="s">
        <v>24</v>
      </c>
      <c r="D469" s="9" t="str">
        <f t="shared" si="52"/>
        <v>43893 - 3S</v>
      </c>
      <c r="E469" s="32" t="s">
        <v>13</v>
      </c>
      <c r="F469" s="46">
        <v>8000055</v>
      </c>
      <c r="G469" s="4" t="str">
        <f>IFERROR(VLOOKUP(F469,Lists!$C:$D,2,0), "N/A")</f>
        <v>916.BF FLIPZ 25 LB BULK MILK CHOC</v>
      </c>
      <c r="H469" s="26">
        <f>IFERROR(VLOOKUP(F469,Lists!$C:$F,4,0),0)</f>
        <v>1.9508160000000001</v>
      </c>
      <c r="I469" s="7">
        <f t="shared" si="50"/>
        <v>2004</v>
      </c>
      <c r="J469" s="20">
        <v>2000</v>
      </c>
      <c r="K469" s="33">
        <v>4</v>
      </c>
      <c r="L469" s="5">
        <f t="shared" si="53"/>
        <v>2E-3</v>
      </c>
      <c r="M469" s="26">
        <f t="shared" si="54"/>
        <v>7.8032640000000004</v>
      </c>
    </row>
    <row r="470" spans="1:14" ht="26.25" x14ac:dyDescent="0.25">
      <c r="A470" s="16" t="str">
        <f t="shared" si="55"/>
        <v>March</v>
      </c>
      <c r="B470" s="31">
        <v>43894</v>
      </c>
      <c r="C470" s="32" t="s">
        <v>24</v>
      </c>
      <c r="D470" s="9" t="str">
        <f t="shared" si="52"/>
        <v>43894 - 3S</v>
      </c>
      <c r="E470" s="32" t="s">
        <v>9</v>
      </c>
      <c r="F470" s="46">
        <v>8000038</v>
      </c>
      <c r="G470" s="4" t="str">
        <f>IFERROR(VLOOKUP(F470,Lists!$C:$D,2,0), "N/A")</f>
        <v>TURTLES MILK CHOC PEC BITE SZ</v>
      </c>
      <c r="H470" s="26">
        <f>IFERROR(VLOOKUP(F470,Lists!$C:$F,4,0),0)</f>
        <v>1.96</v>
      </c>
      <c r="I470" s="7">
        <f t="shared" si="50"/>
        <v>3909</v>
      </c>
      <c r="J470" s="20">
        <v>3600</v>
      </c>
      <c r="K470" s="33">
        <v>309</v>
      </c>
      <c r="L470" s="5">
        <f t="shared" si="53"/>
        <v>8.5833333333333331E-2</v>
      </c>
      <c r="M470" s="26">
        <f t="shared" si="54"/>
        <v>605.64</v>
      </c>
      <c r="N470" s="53" t="s">
        <v>269</v>
      </c>
    </row>
    <row r="471" spans="1:14" x14ac:dyDescent="0.25">
      <c r="A471" s="16" t="str">
        <f t="shared" si="55"/>
        <v>March</v>
      </c>
      <c r="B471" s="31">
        <v>43894</v>
      </c>
      <c r="C471" s="32" t="s">
        <v>24</v>
      </c>
      <c r="D471" s="9" t="str">
        <f t="shared" si="52"/>
        <v>43894 - 3S</v>
      </c>
      <c r="E471" s="32" t="s">
        <v>11</v>
      </c>
      <c r="F471" s="46">
        <v>8000034</v>
      </c>
      <c r="G471" s="4" t="str">
        <f>IFERROR(VLOOKUP(F471,Lists!$C:$D,2,0), "N/A")</f>
        <v>KS MILK CHOC MACADAMIA</v>
      </c>
      <c r="H471" s="26">
        <f>IFERROR(VLOOKUP(F471,Lists!$C:$F,4,0),0)</f>
        <v>3.8943099999999999</v>
      </c>
      <c r="I471" s="7">
        <f t="shared" si="50"/>
        <v>8135</v>
      </c>
      <c r="J471" s="20">
        <v>8000</v>
      </c>
      <c r="K471" s="33">
        <v>135</v>
      </c>
      <c r="L471" s="5">
        <f t="shared" si="53"/>
        <v>1.6875000000000001E-2</v>
      </c>
      <c r="M471" s="26">
        <f t="shared" si="54"/>
        <v>525.73185000000001</v>
      </c>
    </row>
    <row r="472" spans="1:14" x14ac:dyDescent="0.25">
      <c r="A472" s="16" t="str">
        <f t="shared" si="55"/>
        <v>March</v>
      </c>
      <c r="B472" s="31">
        <v>43894</v>
      </c>
      <c r="C472" s="32" t="s">
        <v>24</v>
      </c>
      <c r="D472" s="9" t="str">
        <f t="shared" si="52"/>
        <v>43894 - 3S</v>
      </c>
      <c r="E472" s="32" t="s">
        <v>13</v>
      </c>
      <c r="F472" s="46">
        <v>8000055</v>
      </c>
      <c r="G472" s="4" t="str">
        <f>IFERROR(VLOOKUP(F472,Lists!$C:$D,2,0), "N/A")</f>
        <v>916.BF FLIPZ 25 LB BULK MILK CHOC</v>
      </c>
      <c r="H472" s="26">
        <f>IFERROR(VLOOKUP(F472,Lists!$C:$F,4,0),0)</f>
        <v>1.9508160000000001</v>
      </c>
      <c r="I472" s="7">
        <f t="shared" si="50"/>
        <v>1008</v>
      </c>
      <c r="J472" s="20">
        <f>40*25</f>
        <v>1000</v>
      </c>
      <c r="K472" s="33">
        <v>8</v>
      </c>
      <c r="L472" s="5">
        <f t="shared" si="53"/>
        <v>8.0000000000000002E-3</v>
      </c>
      <c r="M472" s="26">
        <f t="shared" si="54"/>
        <v>15.606528000000001</v>
      </c>
    </row>
    <row r="473" spans="1:14" x14ac:dyDescent="0.25">
      <c r="A473" s="16" t="str">
        <f t="shared" si="55"/>
        <v>March</v>
      </c>
      <c r="B473" s="31">
        <v>43895</v>
      </c>
      <c r="C473" s="32" t="s">
        <v>24</v>
      </c>
      <c r="D473" s="9" t="str">
        <f t="shared" si="52"/>
        <v>43895 - 3S</v>
      </c>
      <c r="E473" s="32" t="s">
        <v>9</v>
      </c>
      <c r="F473" s="2">
        <v>8000038</v>
      </c>
      <c r="G473" s="4" t="str">
        <f>IFERROR(VLOOKUP(F473,Lists!$C:$D,2,0), "N/A")</f>
        <v>TURTLES MILK CHOC PEC BITE SZ</v>
      </c>
      <c r="H473" s="26">
        <f>IFERROR(VLOOKUP(F473,Lists!$C:$F,4,0),0)</f>
        <v>1.96</v>
      </c>
      <c r="I473" s="7">
        <f t="shared" si="50"/>
        <v>8214</v>
      </c>
      <c r="J473" s="6">
        <v>7920</v>
      </c>
      <c r="K473" s="33">
        <v>294</v>
      </c>
      <c r="L473" s="5">
        <f t="shared" si="53"/>
        <v>3.7121212121212124E-2</v>
      </c>
      <c r="M473" s="26">
        <f t="shared" si="54"/>
        <v>576.24</v>
      </c>
      <c r="N473" s="53" t="s">
        <v>273</v>
      </c>
    </row>
    <row r="474" spans="1:14" x14ac:dyDescent="0.25">
      <c r="A474" s="16" t="str">
        <f t="shared" si="55"/>
        <v>March</v>
      </c>
      <c r="B474" s="31">
        <v>43895</v>
      </c>
      <c r="C474" s="32" t="s">
        <v>24</v>
      </c>
      <c r="D474" s="9" t="str">
        <f t="shared" si="52"/>
        <v>43895 - 3S</v>
      </c>
      <c r="E474" s="32" t="s">
        <v>11</v>
      </c>
      <c r="F474" s="2">
        <v>8000034</v>
      </c>
      <c r="G474" s="4" t="str">
        <f>IFERROR(VLOOKUP(F474,Lists!$C:$D,2,0), "N/A")</f>
        <v>KS MILK CHOC MACADAMIA</v>
      </c>
      <c r="H474" s="26">
        <f>IFERROR(VLOOKUP(F474,Lists!$C:$F,4,0),0)</f>
        <v>3.8943099999999999</v>
      </c>
      <c r="I474" s="7">
        <f t="shared" si="50"/>
        <v>6514</v>
      </c>
      <c r="J474" s="6">
        <v>6400</v>
      </c>
      <c r="K474" s="33">
        <v>114</v>
      </c>
      <c r="L474" s="5">
        <f t="shared" si="53"/>
        <v>1.7812499999999998E-2</v>
      </c>
      <c r="M474" s="26">
        <f t="shared" si="54"/>
        <v>443.95134000000002</v>
      </c>
    </row>
    <row r="475" spans="1:14" x14ac:dyDescent="0.25">
      <c r="A475" s="16" t="str">
        <f t="shared" si="55"/>
        <v>March</v>
      </c>
      <c r="B475" s="31">
        <v>43895</v>
      </c>
      <c r="C475" s="32" t="s">
        <v>24</v>
      </c>
      <c r="D475" s="9" t="str">
        <f t="shared" si="52"/>
        <v>43895 - 3S</v>
      </c>
      <c r="E475" s="32" t="s">
        <v>13</v>
      </c>
      <c r="F475" s="2">
        <v>8000055</v>
      </c>
      <c r="G475" s="4" t="str">
        <f>IFERROR(VLOOKUP(F475,Lists!$C:$D,2,0), "N/A")</f>
        <v>916.BF FLIPZ 25 LB BULK MILK CHOC</v>
      </c>
      <c r="H475" s="26">
        <f>IFERROR(VLOOKUP(F475,Lists!$C:$F,4,0),0)</f>
        <v>1.9508160000000001</v>
      </c>
      <c r="I475" s="7">
        <f t="shared" si="50"/>
        <v>1006</v>
      </c>
      <c r="J475" s="6">
        <v>1000</v>
      </c>
      <c r="K475" s="33">
        <v>6</v>
      </c>
      <c r="L475" s="5">
        <f t="shared" si="53"/>
        <v>6.0000000000000001E-3</v>
      </c>
      <c r="M475" s="26">
        <f t="shared" si="54"/>
        <v>11.704896000000002</v>
      </c>
    </row>
    <row r="476" spans="1:14" x14ac:dyDescent="0.25">
      <c r="A476" s="16" t="str">
        <f t="shared" si="55"/>
        <v>March</v>
      </c>
      <c r="B476" s="31">
        <v>43895</v>
      </c>
      <c r="C476" s="32" t="s">
        <v>24</v>
      </c>
      <c r="D476" s="9" t="str">
        <f t="shared" si="52"/>
        <v>43895 - 3S</v>
      </c>
      <c r="E476" s="32" t="s">
        <v>15</v>
      </c>
      <c r="G476" s="4" t="str">
        <f>IFERROR(VLOOKUP(F476,Lists!$C:$D,2,0), "N/A")</f>
        <v>N/A</v>
      </c>
      <c r="H476" s="26">
        <f>IFERROR(VLOOKUP(F476,Lists!$C:$F,4,0),0)</f>
        <v>0</v>
      </c>
      <c r="I476" s="7">
        <f t="shared" si="50"/>
        <v>10</v>
      </c>
      <c r="K476" s="33">
        <v>10</v>
      </c>
      <c r="L476" s="5">
        <f t="shared" si="53"/>
        <v>1</v>
      </c>
      <c r="M476" s="26">
        <f t="shared" si="54"/>
        <v>0</v>
      </c>
    </row>
    <row r="477" spans="1:14" x14ac:dyDescent="0.25">
      <c r="A477" s="16" t="str">
        <f t="shared" si="55"/>
        <v>March</v>
      </c>
      <c r="B477" s="31">
        <v>43896</v>
      </c>
      <c r="C477" s="32" t="s">
        <v>24</v>
      </c>
      <c r="D477" s="9" t="str">
        <f t="shared" si="52"/>
        <v>43896 - 3S</v>
      </c>
      <c r="E477" s="32" t="s">
        <v>9</v>
      </c>
      <c r="F477" s="2">
        <v>8000038</v>
      </c>
      <c r="G477" s="4" t="str">
        <f>IFERROR(VLOOKUP(F477,Lists!$C:$D,2,0), "N/A")</f>
        <v>TURTLES MILK CHOC PEC BITE SZ</v>
      </c>
      <c r="H477" s="26">
        <f>IFERROR(VLOOKUP(F477,Lists!$C:$F,4,0),0)</f>
        <v>1.96</v>
      </c>
      <c r="I477" s="7">
        <f t="shared" si="50"/>
        <v>3256</v>
      </c>
      <c r="J477" s="6">
        <v>2839</v>
      </c>
      <c r="K477" s="33">
        <v>417</v>
      </c>
      <c r="L477" s="5">
        <f t="shared" si="53"/>
        <v>0.14688270517787955</v>
      </c>
      <c r="M477" s="26">
        <f t="shared" si="54"/>
        <v>817.31999999999994</v>
      </c>
    </row>
    <row r="478" spans="1:14" x14ac:dyDescent="0.25">
      <c r="A478" s="16" t="str">
        <f t="shared" si="55"/>
        <v>March</v>
      </c>
      <c r="B478" s="31">
        <v>43896</v>
      </c>
      <c r="C478" s="32" t="s">
        <v>24</v>
      </c>
      <c r="D478" s="9" t="str">
        <f t="shared" si="52"/>
        <v>43896 - 3S</v>
      </c>
      <c r="E478" s="32" t="s">
        <v>11</v>
      </c>
      <c r="F478" s="2">
        <v>8000034</v>
      </c>
      <c r="G478" s="4" t="str">
        <f>IFERROR(VLOOKUP(F478,Lists!$C:$D,2,0), "N/A")</f>
        <v>KS MILK CHOC MACADAMIA</v>
      </c>
      <c r="H478" s="26">
        <f>IFERROR(VLOOKUP(F478,Lists!$C:$F,4,0),0)</f>
        <v>3.8943099999999999</v>
      </c>
      <c r="I478" s="7">
        <f t="shared" si="50"/>
        <v>7341</v>
      </c>
      <c r="J478" s="6">
        <v>7200</v>
      </c>
      <c r="K478" s="33">
        <v>141</v>
      </c>
      <c r="L478" s="5">
        <f t="shared" si="53"/>
        <v>1.9583333333333335E-2</v>
      </c>
      <c r="M478" s="26">
        <f t="shared" si="54"/>
        <v>549.09771000000001</v>
      </c>
    </row>
    <row r="479" spans="1:14" x14ac:dyDescent="0.25">
      <c r="A479" s="16" t="str">
        <f t="shared" ref="A479" si="56">TEXT(B479,"mmmm")</f>
        <v>March</v>
      </c>
      <c r="B479" s="31">
        <v>43896</v>
      </c>
      <c r="C479" s="32" t="s">
        <v>26</v>
      </c>
      <c r="D479" s="9" t="str">
        <f t="shared" ref="D479" si="57">CONCATENATE(B479," - ",C479)</f>
        <v>43896 - 2S</v>
      </c>
      <c r="E479" s="32" t="s">
        <v>15</v>
      </c>
      <c r="G479" s="4" t="str">
        <f>IFERROR(VLOOKUP(F479,Lists!$C:$D,2,0), "N/A")</f>
        <v>N/A</v>
      </c>
      <c r="H479" s="26">
        <f>IFERROR(VLOOKUP(F479,Lists!$C:$F,4,0),0)</f>
        <v>0</v>
      </c>
      <c r="I479" s="63">
        <f t="shared" ref="I479" si="58">J479+K479</f>
        <v>60</v>
      </c>
      <c r="J479" s="45"/>
      <c r="K479" s="33">
        <v>60</v>
      </c>
      <c r="L479" s="5">
        <f t="shared" ref="L479" si="59">IFERROR((K479/J479),1)</f>
        <v>1</v>
      </c>
      <c r="M479" s="26">
        <f t="shared" ref="M479" si="60">K479*H479</f>
        <v>0</v>
      </c>
    </row>
    <row r="480" spans="1:14" x14ac:dyDescent="0.25">
      <c r="A480" s="16" t="s">
        <v>247</v>
      </c>
      <c r="B480" s="31">
        <v>43897</v>
      </c>
      <c r="C480" s="32" t="s">
        <v>24</v>
      </c>
      <c r="D480" s="9" t="str">
        <f t="shared" si="52"/>
        <v>43897 - 3S</v>
      </c>
      <c r="E480" s="32" t="s">
        <v>15</v>
      </c>
      <c r="G480" s="4" t="str">
        <f>IFERROR(VLOOKUP(F480,Lists!$C:$D,2,0), "N/A")</f>
        <v>N/A</v>
      </c>
      <c r="H480" s="26">
        <f>IFERROR(VLOOKUP(F480,Lists!$C:$F,4,0),0)</f>
        <v>0</v>
      </c>
      <c r="I480" s="7">
        <f t="shared" si="50"/>
        <v>10</v>
      </c>
      <c r="K480" s="33">
        <v>10</v>
      </c>
      <c r="L480" s="5">
        <f t="shared" si="53"/>
        <v>1</v>
      </c>
      <c r="M480" s="26">
        <f t="shared" si="54"/>
        <v>0</v>
      </c>
    </row>
    <row r="481" spans="1:14" x14ac:dyDescent="0.25">
      <c r="A481" s="16" t="s">
        <v>247</v>
      </c>
      <c r="B481" s="31">
        <v>43899</v>
      </c>
      <c r="C481" s="32" t="s">
        <v>24</v>
      </c>
      <c r="D481" s="9" t="str">
        <f t="shared" si="52"/>
        <v>43899 - 3S</v>
      </c>
      <c r="E481" s="32" t="s">
        <v>9</v>
      </c>
      <c r="F481" s="2">
        <v>8000038</v>
      </c>
      <c r="G481" s="4" t="str">
        <f>IFERROR(VLOOKUP(F481,Lists!$C:$D,2,0), "N/A")</f>
        <v>TURTLES MILK CHOC PEC BITE SZ</v>
      </c>
      <c r="H481" s="26">
        <f>IFERROR(VLOOKUP(F481,Lists!$C:$F,4,0),0)</f>
        <v>1.96</v>
      </c>
      <c r="I481" s="7">
        <f t="shared" si="50"/>
        <v>854.84</v>
      </c>
      <c r="J481" s="6">
        <v>567.84</v>
      </c>
      <c r="K481" s="33">
        <v>287</v>
      </c>
      <c r="L481" s="5">
        <f t="shared" si="53"/>
        <v>0.50542406311637078</v>
      </c>
      <c r="M481" s="26">
        <f t="shared" si="54"/>
        <v>562.52</v>
      </c>
      <c r="N481" s="53" t="s">
        <v>210</v>
      </c>
    </row>
    <row r="482" spans="1:14" x14ac:dyDescent="0.25">
      <c r="A482" s="16" t="s">
        <v>247</v>
      </c>
      <c r="B482" s="31">
        <v>43899</v>
      </c>
      <c r="C482" s="32" t="s">
        <v>24</v>
      </c>
      <c r="D482" s="9" t="str">
        <f t="shared" si="52"/>
        <v>43899 - 3S</v>
      </c>
      <c r="E482" s="32" t="s">
        <v>15</v>
      </c>
      <c r="G482" s="4" t="str">
        <f>IFERROR(VLOOKUP(F482,Lists!$C:$D,2,0), "N/A")</f>
        <v>N/A</v>
      </c>
      <c r="H482" s="26">
        <f>IFERROR(VLOOKUP(F482,Lists!$C:$F,4,0),0)</f>
        <v>0</v>
      </c>
      <c r="I482" s="7">
        <f t="shared" si="50"/>
        <v>5</v>
      </c>
      <c r="K482" s="33">
        <v>5</v>
      </c>
      <c r="L482" s="5">
        <f t="shared" si="53"/>
        <v>1</v>
      </c>
      <c r="M482" s="26">
        <f t="shared" si="54"/>
        <v>0</v>
      </c>
    </row>
    <row r="483" spans="1:14" x14ac:dyDescent="0.25">
      <c r="A483" s="16" t="s">
        <v>247</v>
      </c>
      <c r="B483" s="31">
        <v>43899</v>
      </c>
      <c r="C483" s="32" t="s">
        <v>25</v>
      </c>
      <c r="D483" s="9" t="str">
        <f t="shared" ref="D483" si="61">CONCATENATE(B483," - ",C483)</f>
        <v>43899 - 1S</v>
      </c>
      <c r="E483" s="32" t="s">
        <v>9</v>
      </c>
      <c r="F483" s="2">
        <v>8000038</v>
      </c>
      <c r="G483" s="4" t="str">
        <f>IFERROR(VLOOKUP(F483,Lists!$C:$D,2,0), "N/A")</f>
        <v>TURTLES MILK CHOC PEC BITE SZ</v>
      </c>
      <c r="H483" s="26">
        <f>IFERROR(VLOOKUP(F483,Lists!$C:$F,4,0),0)</f>
        <v>1.96</v>
      </c>
      <c r="I483" s="63">
        <f t="shared" ref="I483" si="62">J483+K483</f>
        <v>4502</v>
      </c>
      <c r="J483" s="45">
        <v>3975</v>
      </c>
      <c r="K483" s="33">
        <v>527</v>
      </c>
      <c r="L483" s="5">
        <f t="shared" ref="L483" si="63">IFERROR((K483/J483),1)</f>
        <v>0.13257861635220125</v>
      </c>
      <c r="M483" s="26">
        <f t="shared" ref="M483" si="64">K483*H483</f>
        <v>1032.92</v>
      </c>
    </row>
    <row r="484" spans="1:14" x14ac:dyDescent="0.25">
      <c r="A484" s="16" t="s">
        <v>247</v>
      </c>
      <c r="B484" s="31">
        <v>43899</v>
      </c>
      <c r="C484" s="32" t="s">
        <v>25</v>
      </c>
      <c r="D484" s="9" t="str">
        <f t="shared" si="52"/>
        <v>43899 - 1S</v>
      </c>
      <c r="E484" s="32" t="s">
        <v>12</v>
      </c>
      <c r="F484" s="2">
        <v>8000055</v>
      </c>
      <c r="G484" s="4" t="str">
        <f>IFERROR(VLOOKUP(F484,Lists!$C:$D,2,0), "N/A")</f>
        <v>916.BF FLIPZ 25 LB BULK MILK CHOC</v>
      </c>
      <c r="H484" s="26">
        <f>IFERROR(VLOOKUP(F484,Lists!$C:$F,4,0),0)</f>
        <v>1.9508160000000001</v>
      </c>
      <c r="I484" s="7">
        <f t="shared" si="50"/>
        <v>4000</v>
      </c>
      <c r="J484" s="6">
        <f>160*25</f>
        <v>4000</v>
      </c>
      <c r="K484" s="33">
        <v>0</v>
      </c>
      <c r="L484" s="5">
        <f t="shared" si="53"/>
        <v>0</v>
      </c>
      <c r="M484" s="26">
        <f t="shared" si="54"/>
        <v>0</v>
      </c>
    </row>
    <row r="485" spans="1:14" x14ac:dyDescent="0.25">
      <c r="A485" s="16" t="s">
        <v>247</v>
      </c>
      <c r="B485" s="31">
        <v>43899</v>
      </c>
      <c r="C485" s="32" t="s">
        <v>26</v>
      </c>
      <c r="D485" s="9" t="str">
        <f t="shared" si="52"/>
        <v>43899 - 2S</v>
      </c>
      <c r="E485" s="32" t="s">
        <v>9</v>
      </c>
      <c r="F485" s="2">
        <v>8000038</v>
      </c>
      <c r="G485" s="4" t="str">
        <f>IFERROR(VLOOKUP(F485,Lists!$C:$D,2,0), "N/A")</f>
        <v>TURTLES MILK CHOC PEC BITE SZ</v>
      </c>
      <c r="H485" s="26">
        <f>IFERROR(VLOOKUP(F485,Lists!$C:$F,4,0),0)</f>
        <v>1.96</v>
      </c>
      <c r="I485" s="7">
        <f t="shared" si="50"/>
        <v>4347</v>
      </c>
      <c r="J485" s="6">
        <v>3975</v>
      </c>
      <c r="K485" s="33">
        <v>372</v>
      </c>
      <c r="L485" s="5">
        <f t="shared" si="53"/>
        <v>9.358490566037736E-2</v>
      </c>
      <c r="M485" s="26">
        <f t="shared" si="54"/>
        <v>729.12</v>
      </c>
    </row>
    <row r="486" spans="1:14" x14ac:dyDescent="0.25">
      <c r="A486" s="16" t="s">
        <v>247</v>
      </c>
      <c r="B486" s="31">
        <v>43899</v>
      </c>
      <c r="C486" s="32" t="s">
        <v>26</v>
      </c>
      <c r="D486" s="9" t="str">
        <f t="shared" si="52"/>
        <v>43899 - 2S</v>
      </c>
      <c r="E486" s="32" t="s">
        <v>10</v>
      </c>
      <c r="F486" s="2">
        <v>8000039</v>
      </c>
      <c r="G486" s="4" t="str">
        <f>IFERROR(VLOOKUP(F486,Lists!$C:$D,2,0), "N/A")</f>
        <v>TURTLES MILK CHOC ORIG MINI</v>
      </c>
      <c r="H486" s="26">
        <f>IFERROR(VLOOKUP(F486,Lists!$C:$F,4,0),0)</f>
        <v>2.08013</v>
      </c>
      <c r="I486" s="7">
        <f t="shared" si="50"/>
        <v>6780</v>
      </c>
      <c r="J486" s="6">
        <v>6720</v>
      </c>
      <c r="K486" s="33">
        <v>60</v>
      </c>
      <c r="L486" s="5">
        <f t="shared" si="53"/>
        <v>8.9285714285714281E-3</v>
      </c>
      <c r="M486" s="26">
        <f t="shared" si="54"/>
        <v>124.8078</v>
      </c>
    </row>
    <row r="487" spans="1:14" x14ac:dyDescent="0.25">
      <c r="A487" s="16" t="s">
        <v>247</v>
      </c>
      <c r="B487" s="31">
        <v>43899</v>
      </c>
      <c r="C487" s="32" t="s">
        <v>26</v>
      </c>
      <c r="D487" s="9" t="str">
        <f t="shared" si="52"/>
        <v>43899 - 2S</v>
      </c>
      <c r="E487" s="32" t="s">
        <v>12</v>
      </c>
      <c r="F487" s="2">
        <v>8000055</v>
      </c>
      <c r="G487" s="4" t="str">
        <f>IFERROR(VLOOKUP(F487,Lists!$C:$D,2,0), "N/A")</f>
        <v>916.BF FLIPZ 25 LB BULK MILK CHOC</v>
      </c>
      <c r="H487" s="26">
        <f>IFERROR(VLOOKUP(F487,Lists!$C:$F,4,0),0)</f>
        <v>1.9508160000000001</v>
      </c>
      <c r="I487" s="7">
        <f t="shared" si="50"/>
        <v>9025</v>
      </c>
      <c r="J487" s="6">
        <f>360*25</f>
        <v>9000</v>
      </c>
      <c r="K487" s="33">
        <v>25</v>
      </c>
      <c r="L487" s="5">
        <f t="shared" si="53"/>
        <v>2.7777777777777779E-3</v>
      </c>
      <c r="M487" s="26">
        <f t="shared" si="54"/>
        <v>48.770400000000002</v>
      </c>
    </row>
    <row r="488" spans="1:14" x14ac:dyDescent="0.25">
      <c r="A488" s="16" t="s">
        <v>247</v>
      </c>
      <c r="B488" s="31">
        <v>43899</v>
      </c>
      <c r="C488" s="32" t="s">
        <v>26</v>
      </c>
      <c r="D488" s="9" t="str">
        <f t="shared" si="52"/>
        <v>43899 - 2S</v>
      </c>
      <c r="E488" s="32" t="s">
        <v>15</v>
      </c>
      <c r="G488" s="4" t="str">
        <f>IFERROR(VLOOKUP(F488,Lists!$C:$D,2,0), "N/A")</f>
        <v>N/A</v>
      </c>
      <c r="H488" s="26">
        <f>IFERROR(VLOOKUP(F488,Lists!$C:$F,4,0),0)</f>
        <v>0</v>
      </c>
      <c r="I488" s="7">
        <f t="shared" si="50"/>
        <v>60</v>
      </c>
      <c r="K488" s="33">
        <v>60</v>
      </c>
      <c r="L488" s="5">
        <f t="shared" si="53"/>
        <v>1</v>
      </c>
      <c r="M488" s="26">
        <f t="shared" si="54"/>
        <v>0</v>
      </c>
    </row>
    <row r="489" spans="1:14" x14ac:dyDescent="0.25">
      <c r="A489" s="16" t="s">
        <v>247</v>
      </c>
      <c r="B489" s="31">
        <v>43900</v>
      </c>
      <c r="C489" s="32" t="s">
        <v>24</v>
      </c>
      <c r="D489" s="9" t="str">
        <f t="shared" si="52"/>
        <v>43900 - 3S</v>
      </c>
      <c r="E489" s="32" t="s">
        <v>9</v>
      </c>
      <c r="F489" s="2">
        <v>8000038</v>
      </c>
      <c r="G489" s="4" t="str">
        <f>IFERROR(VLOOKUP(F489,Lists!$C:$D,2,0), "N/A")</f>
        <v>TURTLES MILK CHOC PEC BITE SZ</v>
      </c>
      <c r="H489" s="26">
        <f>IFERROR(VLOOKUP(F489,Lists!$C:$F,4,0),0)</f>
        <v>1.96</v>
      </c>
      <c r="I489" s="7">
        <f t="shared" ref="I489:I552" si="65">J489+K489</f>
        <v>4293</v>
      </c>
      <c r="J489" s="6">
        <v>3975</v>
      </c>
      <c r="K489" s="33">
        <v>318</v>
      </c>
      <c r="L489" s="5">
        <f t="shared" si="53"/>
        <v>0.08</v>
      </c>
      <c r="M489" s="26">
        <f t="shared" si="54"/>
        <v>623.28</v>
      </c>
    </row>
    <row r="490" spans="1:14" x14ac:dyDescent="0.25">
      <c r="A490" s="16" t="s">
        <v>247</v>
      </c>
      <c r="B490" s="31">
        <v>43900</v>
      </c>
      <c r="C490" s="32" t="s">
        <v>24</v>
      </c>
      <c r="D490" s="9" t="str">
        <f t="shared" si="52"/>
        <v>43900 - 3S</v>
      </c>
      <c r="E490" s="32" t="s">
        <v>10</v>
      </c>
      <c r="F490" s="2">
        <v>8000039</v>
      </c>
      <c r="G490" s="4" t="str">
        <f>IFERROR(VLOOKUP(F490,Lists!$C:$D,2,0), "N/A")</f>
        <v>TURTLES MILK CHOC ORIG MINI</v>
      </c>
      <c r="H490" s="26">
        <f>IFERROR(VLOOKUP(F490,Lists!$C:$F,4,0),0)</f>
        <v>2.08013</v>
      </c>
      <c r="I490" s="7">
        <f t="shared" si="65"/>
        <v>8762</v>
      </c>
      <c r="J490" s="6">
        <v>8640</v>
      </c>
      <c r="K490" s="33">
        <v>122</v>
      </c>
      <c r="L490" s="5">
        <f t="shared" si="53"/>
        <v>1.412037037037037E-2</v>
      </c>
      <c r="M490" s="26">
        <f t="shared" si="54"/>
        <v>253.77585999999999</v>
      </c>
    </row>
    <row r="491" spans="1:14" x14ac:dyDescent="0.25">
      <c r="A491" s="16" t="s">
        <v>247</v>
      </c>
      <c r="B491" s="31">
        <v>43900</v>
      </c>
      <c r="C491" s="32" t="s">
        <v>25</v>
      </c>
      <c r="D491" s="9" t="str">
        <f t="shared" si="52"/>
        <v>43900 - 1S</v>
      </c>
      <c r="E491" s="32" t="s">
        <v>9</v>
      </c>
      <c r="F491" s="2">
        <v>8000038</v>
      </c>
      <c r="G491" s="4" t="str">
        <f>IFERROR(VLOOKUP(F491,Lists!$C:$D,2,0), "N/A")</f>
        <v>TURTLES MILK CHOC PEC BITE SZ</v>
      </c>
      <c r="H491" s="26">
        <f>IFERROR(VLOOKUP(F491,Lists!$C:$F,4,0),0)</f>
        <v>1.96</v>
      </c>
      <c r="I491" s="7">
        <f t="shared" si="65"/>
        <v>5043</v>
      </c>
      <c r="J491" s="6">
        <v>4543</v>
      </c>
      <c r="K491" s="33">
        <v>500</v>
      </c>
      <c r="L491" s="5">
        <f t="shared" si="53"/>
        <v>0.1100594320933304</v>
      </c>
      <c r="M491" s="26">
        <f t="shared" si="54"/>
        <v>980</v>
      </c>
    </row>
    <row r="492" spans="1:14" x14ac:dyDescent="0.25">
      <c r="A492" s="16" t="s">
        <v>247</v>
      </c>
      <c r="B492" s="31">
        <v>43900</v>
      </c>
      <c r="C492" s="32" t="s">
        <v>25</v>
      </c>
      <c r="D492" s="9" t="str">
        <f t="shared" si="52"/>
        <v>43900 - 1S</v>
      </c>
      <c r="E492" s="32" t="s">
        <v>10</v>
      </c>
      <c r="F492" s="2">
        <v>8000039</v>
      </c>
      <c r="G492" s="4" t="str">
        <f>IFERROR(VLOOKUP(F492,Lists!$C:$D,2,0), "N/A")</f>
        <v>TURTLES MILK CHOC ORIG MINI</v>
      </c>
      <c r="H492" s="26">
        <f>IFERROR(VLOOKUP(F492,Lists!$C:$F,4,0),0)</f>
        <v>2.08013</v>
      </c>
      <c r="I492" s="7">
        <f t="shared" si="65"/>
        <v>8016</v>
      </c>
      <c r="J492" s="6">
        <v>7680</v>
      </c>
      <c r="K492" s="33">
        <v>336</v>
      </c>
      <c r="L492" s="5">
        <f t="shared" si="53"/>
        <v>4.3749999999999997E-2</v>
      </c>
      <c r="M492" s="26">
        <f t="shared" si="54"/>
        <v>698.92367999999999</v>
      </c>
    </row>
    <row r="493" spans="1:14" x14ac:dyDescent="0.25">
      <c r="A493" s="16" t="s">
        <v>247</v>
      </c>
      <c r="B493" s="31">
        <v>43900</v>
      </c>
      <c r="C493" s="32" t="s">
        <v>25</v>
      </c>
      <c r="D493" s="9" t="str">
        <f t="shared" si="52"/>
        <v>43900 - 1S</v>
      </c>
      <c r="E493" s="32" t="s">
        <v>11</v>
      </c>
      <c r="F493" s="2">
        <v>8000034</v>
      </c>
      <c r="G493" s="4" t="str">
        <f>IFERROR(VLOOKUP(F493,Lists!$C:$D,2,0), "N/A")</f>
        <v>KS MILK CHOC MACADAMIA</v>
      </c>
      <c r="H493" s="26">
        <f>IFERROR(VLOOKUP(F493,Lists!$C:$F,4,0),0)</f>
        <v>3.8943099999999999</v>
      </c>
      <c r="I493" s="7">
        <f t="shared" si="65"/>
        <v>2444</v>
      </c>
      <c r="J493" s="6">
        <v>2400</v>
      </c>
      <c r="K493" s="33">
        <v>44</v>
      </c>
      <c r="L493" s="5">
        <f t="shared" si="53"/>
        <v>1.8333333333333333E-2</v>
      </c>
      <c r="M493" s="26">
        <f t="shared" si="54"/>
        <v>171.34963999999999</v>
      </c>
    </row>
    <row r="494" spans="1:14" x14ac:dyDescent="0.25">
      <c r="A494" s="16" t="s">
        <v>247</v>
      </c>
      <c r="B494" s="31">
        <v>43900</v>
      </c>
      <c r="C494" s="32" t="s">
        <v>25</v>
      </c>
      <c r="D494" s="9" t="str">
        <f t="shared" si="52"/>
        <v>43900 - 1S</v>
      </c>
      <c r="E494" s="32" t="s">
        <v>12</v>
      </c>
      <c r="F494" s="2">
        <v>8000055</v>
      </c>
      <c r="G494" s="4" t="str">
        <f>IFERROR(VLOOKUP(F494,Lists!$C:$D,2,0), "N/A")</f>
        <v>916.BF FLIPZ 25 LB BULK MILK CHOC</v>
      </c>
      <c r="H494" s="26">
        <f>IFERROR(VLOOKUP(F494,Lists!$C:$F,4,0),0)</f>
        <v>1.9508160000000001</v>
      </c>
      <c r="I494" s="7">
        <f t="shared" si="65"/>
        <v>10023</v>
      </c>
      <c r="J494" s="6">
        <f>400*25</f>
        <v>10000</v>
      </c>
      <c r="K494" s="33">
        <v>23</v>
      </c>
      <c r="L494" s="5">
        <f t="shared" si="53"/>
        <v>2.3E-3</v>
      </c>
      <c r="M494" s="26">
        <f t="shared" si="54"/>
        <v>44.868768000000003</v>
      </c>
    </row>
    <row r="495" spans="1:14" x14ac:dyDescent="0.25">
      <c r="A495" s="16" t="s">
        <v>247</v>
      </c>
      <c r="B495" s="31">
        <v>43900</v>
      </c>
      <c r="C495" s="32" t="s">
        <v>25</v>
      </c>
      <c r="D495" s="9" t="str">
        <f t="shared" si="52"/>
        <v>43900 - 1S</v>
      </c>
      <c r="E495" s="32" t="s">
        <v>15</v>
      </c>
      <c r="G495" s="4" t="str">
        <f>IFERROR(VLOOKUP(F495,Lists!$C:$D,2,0), "N/A")</f>
        <v>N/A</v>
      </c>
      <c r="H495" s="26">
        <f>IFERROR(VLOOKUP(F495,Lists!$C:$F,4,0),0)</f>
        <v>0</v>
      </c>
      <c r="I495" s="7">
        <f t="shared" si="65"/>
        <v>2</v>
      </c>
      <c r="K495" s="33">
        <v>2</v>
      </c>
      <c r="L495" s="5">
        <f t="shared" si="53"/>
        <v>1</v>
      </c>
      <c r="M495" s="26">
        <f t="shared" si="54"/>
        <v>0</v>
      </c>
    </row>
    <row r="496" spans="1:14" x14ac:dyDescent="0.25">
      <c r="A496" s="16" t="s">
        <v>247</v>
      </c>
      <c r="B496" s="31">
        <v>43900</v>
      </c>
      <c r="C496" s="32" t="s">
        <v>26</v>
      </c>
      <c r="D496" s="9" t="str">
        <f t="shared" si="52"/>
        <v>43900 - 2S</v>
      </c>
      <c r="E496" s="32" t="s">
        <v>9</v>
      </c>
      <c r="F496" s="2">
        <v>8000038</v>
      </c>
      <c r="G496" s="4" t="str">
        <f>IFERROR(VLOOKUP(F496,Lists!$C:$D,2,0), "N/A")</f>
        <v>TURTLES MILK CHOC PEC BITE SZ</v>
      </c>
      <c r="H496" s="26">
        <f>IFERROR(VLOOKUP(F496,Lists!$C:$F,4,0),0)</f>
        <v>1.96</v>
      </c>
      <c r="I496" s="7">
        <f t="shared" si="65"/>
        <v>5533</v>
      </c>
      <c r="J496" s="6">
        <v>5111</v>
      </c>
      <c r="K496" s="33">
        <v>422</v>
      </c>
      <c r="L496" s="5">
        <f t="shared" si="53"/>
        <v>8.2567012326354924E-2</v>
      </c>
      <c r="M496" s="26">
        <f t="shared" si="54"/>
        <v>827.12</v>
      </c>
    </row>
    <row r="497" spans="1:13" x14ac:dyDescent="0.25">
      <c r="A497" s="16" t="s">
        <v>247</v>
      </c>
      <c r="B497" s="31">
        <v>43900</v>
      </c>
      <c r="C497" s="32" t="s">
        <v>26</v>
      </c>
      <c r="D497" s="9" t="str">
        <f t="shared" si="52"/>
        <v>43900 - 2S</v>
      </c>
      <c r="E497" s="32" t="s">
        <v>10</v>
      </c>
      <c r="F497" s="2">
        <v>8000039</v>
      </c>
      <c r="G497" s="4" t="str">
        <f>IFERROR(VLOOKUP(F497,Lists!$C:$D,2,0), "N/A")</f>
        <v>TURTLES MILK CHOC ORIG MINI</v>
      </c>
      <c r="H497" s="26">
        <f>IFERROR(VLOOKUP(F497,Lists!$C:$F,4,0),0)</f>
        <v>2.08013</v>
      </c>
      <c r="I497" s="7">
        <f t="shared" si="65"/>
        <v>8660</v>
      </c>
      <c r="J497" s="6">
        <v>8640</v>
      </c>
      <c r="K497" s="33">
        <v>20</v>
      </c>
      <c r="L497" s="5">
        <f t="shared" si="53"/>
        <v>2.3148148148148147E-3</v>
      </c>
      <c r="M497" s="26">
        <f t="shared" si="54"/>
        <v>41.602600000000002</v>
      </c>
    </row>
    <row r="498" spans="1:13" x14ac:dyDescent="0.25">
      <c r="A498" s="16" t="s">
        <v>247</v>
      </c>
      <c r="B498" s="31">
        <v>43900</v>
      </c>
      <c r="C498" s="32" t="s">
        <v>26</v>
      </c>
      <c r="D498" s="9" t="str">
        <f t="shared" si="52"/>
        <v>43900 - 2S</v>
      </c>
      <c r="E498" s="32" t="s">
        <v>11</v>
      </c>
      <c r="F498" s="2">
        <v>8000034</v>
      </c>
      <c r="G498" s="4" t="str">
        <f>IFERROR(VLOOKUP(F498,Lists!$C:$D,2,0), "N/A")</f>
        <v>KS MILK CHOC MACADAMIA</v>
      </c>
      <c r="H498" s="26">
        <f>IFERROR(VLOOKUP(F498,Lists!$C:$F,4,0),0)</f>
        <v>3.8943099999999999</v>
      </c>
      <c r="I498" s="7">
        <f t="shared" si="65"/>
        <v>6471</v>
      </c>
      <c r="J498" s="6">
        <v>6400</v>
      </c>
      <c r="K498" s="33">
        <v>71</v>
      </c>
      <c r="L498" s="5">
        <f t="shared" si="53"/>
        <v>1.1093749999999999E-2</v>
      </c>
      <c r="M498" s="26">
        <f t="shared" si="54"/>
        <v>276.49601000000001</v>
      </c>
    </row>
    <row r="499" spans="1:13" x14ac:dyDescent="0.25">
      <c r="A499" s="16" t="s">
        <v>247</v>
      </c>
      <c r="B499" s="31">
        <v>43900</v>
      </c>
      <c r="C499" s="32" t="s">
        <v>26</v>
      </c>
      <c r="D499" s="9" t="str">
        <f t="shared" si="52"/>
        <v>43900 - 2S</v>
      </c>
      <c r="E499" s="32" t="s">
        <v>12</v>
      </c>
      <c r="F499" s="2">
        <v>8000055</v>
      </c>
      <c r="G499" s="4" t="str">
        <f>IFERROR(VLOOKUP(F499,Lists!$C:$D,2,0), "N/A")</f>
        <v>916.BF FLIPZ 25 LB BULK MILK CHOC</v>
      </c>
      <c r="H499" s="26">
        <f>IFERROR(VLOOKUP(F499,Lists!$C:$F,4,0),0)</f>
        <v>1.9508160000000001</v>
      </c>
      <c r="I499" s="7">
        <f t="shared" si="65"/>
        <v>10016</v>
      </c>
      <c r="J499" s="6">
        <v>10000</v>
      </c>
      <c r="K499" s="33">
        <v>16</v>
      </c>
      <c r="L499" s="5">
        <f t="shared" si="53"/>
        <v>1.6000000000000001E-3</v>
      </c>
      <c r="M499" s="26">
        <f t="shared" si="54"/>
        <v>31.213056000000002</v>
      </c>
    </row>
    <row r="500" spans="1:13" x14ac:dyDescent="0.25">
      <c r="A500" s="16" t="s">
        <v>247</v>
      </c>
      <c r="B500" s="31">
        <v>43900</v>
      </c>
      <c r="C500" s="32" t="s">
        <v>26</v>
      </c>
      <c r="D500" s="9" t="str">
        <f t="shared" si="52"/>
        <v>43900 - 2S</v>
      </c>
      <c r="E500" s="32" t="s">
        <v>15</v>
      </c>
      <c r="G500" s="4" t="str">
        <f>IFERROR(VLOOKUP(F500,Lists!$C:$D,2,0), "N/A")</f>
        <v>N/A</v>
      </c>
      <c r="H500" s="26">
        <f>IFERROR(VLOOKUP(F500,Lists!$C:$F,4,0),0)</f>
        <v>0</v>
      </c>
      <c r="I500" s="7">
        <f t="shared" si="65"/>
        <v>150</v>
      </c>
      <c r="K500" s="33">
        <v>150</v>
      </c>
      <c r="L500" s="5">
        <f t="shared" si="53"/>
        <v>1</v>
      </c>
      <c r="M500" s="26">
        <f t="shared" si="54"/>
        <v>0</v>
      </c>
    </row>
    <row r="501" spans="1:13" x14ac:dyDescent="0.25">
      <c r="A501" s="16" t="s">
        <v>247</v>
      </c>
      <c r="B501" s="31">
        <v>43901</v>
      </c>
      <c r="C501" s="32" t="s">
        <v>24</v>
      </c>
      <c r="D501" s="9" t="str">
        <f t="shared" si="52"/>
        <v>43901 - 3S</v>
      </c>
      <c r="E501" s="32" t="s">
        <v>9</v>
      </c>
      <c r="F501" s="67"/>
      <c r="G501" s="4" t="str">
        <f>IFERROR(VLOOKUP(F501,Lists!$C:$D,2,0), "N/A")</f>
        <v>N/A</v>
      </c>
      <c r="H501" s="26">
        <f>IFERROR(VLOOKUP(F501,Lists!$C:$F,4,0),0)</f>
        <v>0</v>
      </c>
      <c r="I501" s="7">
        <f t="shared" si="65"/>
        <v>2894</v>
      </c>
      <c r="J501" s="6">
        <v>2650</v>
      </c>
      <c r="K501" s="33">
        <v>244</v>
      </c>
      <c r="L501" s="5">
        <f t="shared" si="53"/>
        <v>9.2075471698113212E-2</v>
      </c>
      <c r="M501" s="26">
        <f t="shared" si="54"/>
        <v>0</v>
      </c>
    </row>
    <row r="502" spans="1:13" x14ac:dyDescent="0.25">
      <c r="A502" s="16" t="str">
        <f t="shared" ref="A502:A516" si="66">TEXT(B502,"mmmm")</f>
        <v>March</v>
      </c>
      <c r="B502" s="31">
        <v>43901</v>
      </c>
      <c r="C502" s="32" t="s">
        <v>24</v>
      </c>
      <c r="D502" s="9" t="str">
        <f t="shared" si="52"/>
        <v>43901 - 3S</v>
      </c>
      <c r="E502" s="32" t="s">
        <v>10</v>
      </c>
      <c r="F502" s="2">
        <v>8000039</v>
      </c>
      <c r="G502" s="4" t="str">
        <f>IFERROR(VLOOKUP(F502,Lists!$C:$D,2,0), "N/A")</f>
        <v>TURTLES MILK CHOC ORIG MINI</v>
      </c>
      <c r="H502" s="26">
        <f>IFERROR(VLOOKUP(F502,Lists!$C:$F,4,0),0)</f>
        <v>2.08013</v>
      </c>
      <c r="I502" s="7">
        <f t="shared" si="65"/>
        <v>1225</v>
      </c>
      <c r="J502" s="6">
        <v>1200</v>
      </c>
      <c r="K502" s="33">
        <v>25</v>
      </c>
      <c r="L502" s="5">
        <f t="shared" si="53"/>
        <v>2.0833333333333332E-2</v>
      </c>
      <c r="M502" s="26">
        <f t="shared" si="54"/>
        <v>52.003250000000001</v>
      </c>
    </row>
    <row r="503" spans="1:13" x14ac:dyDescent="0.25">
      <c r="A503" s="16" t="str">
        <f t="shared" si="66"/>
        <v>March</v>
      </c>
      <c r="B503" s="31">
        <v>43901</v>
      </c>
      <c r="C503" s="32" t="s">
        <v>24</v>
      </c>
      <c r="D503" s="9" t="str">
        <f t="shared" si="52"/>
        <v>43901 - 3S</v>
      </c>
      <c r="E503" s="32" t="s">
        <v>11</v>
      </c>
      <c r="F503" s="2">
        <v>8000034</v>
      </c>
      <c r="G503" s="4" t="str">
        <f>IFERROR(VLOOKUP(F503,Lists!$C:$D,2,0), "N/A")</f>
        <v>KS MILK CHOC MACADAMIA</v>
      </c>
      <c r="H503" s="26">
        <f>IFERROR(VLOOKUP(F503,Lists!$C:$F,4,0),0)</f>
        <v>3.8943099999999999</v>
      </c>
      <c r="I503" s="7">
        <f t="shared" si="65"/>
        <v>5016</v>
      </c>
      <c r="J503" s="6">
        <v>4800</v>
      </c>
      <c r="K503" s="33">
        <v>216</v>
      </c>
      <c r="L503" s="5">
        <f t="shared" si="53"/>
        <v>4.4999999999999998E-2</v>
      </c>
      <c r="M503" s="26">
        <f t="shared" si="54"/>
        <v>841.17096000000004</v>
      </c>
    </row>
    <row r="504" spans="1:13" x14ac:dyDescent="0.25">
      <c r="A504" s="16" t="str">
        <f t="shared" si="66"/>
        <v>March</v>
      </c>
      <c r="B504" s="31">
        <v>43901</v>
      </c>
      <c r="C504" s="32" t="s">
        <v>24</v>
      </c>
      <c r="D504" s="9" t="str">
        <f t="shared" si="52"/>
        <v>43901 - 3S</v>
      </c>
      <c r="E504" s="32" t="s">
        <v>15</v>
      </c>
      <c r="F504" s="67"/>
      <c r="G504" s="4" t="str">
        <f>IFERROR(VLOOKUP(F504,Lists!$C:$D,2,0), "N/A")</f>
        <v>N/A</v>
      </c>
      <c r="H504" s="26">
        <f>IFERROR(VLOOKUP(F504,Lists!$C:$F,4,0),0)</f>
        <v>0</v>
      </c>
      <c r="I504" s="7">
        <f t="shared" si="65"/>
        <v>35</v>
      </c>
      <c r="K504" s="33">
        <v>35</v>
      </c>
      <c r="L504" s="5">
        <f t="shared" si="53"/>
        <v>1</v>
      </c>
      <c r="M504" s="26">
        <f t="shared" si="54"/>
        <v>0</v>
      </c>
    </row>
    <row r="505" spans="1:13" x14ac:dyDescent="0.25">
      <c r="A505" s="16" t="str">
        <f t="shared" si="66"/>
        <v>March</v>
      </c>
      <c r="B505" s="31">
        <v>43901</v>
      </c>
      <c r="C505" s="32" t="s">
        <v>25</v>
      </c>
      <c r="D505" s="9" t="str">
        <f t="shared" si="52"/>
        <v>43901 - 1S</v>
      </c>
      <c r="E505" s="32" t="s">
        <v>9</v>
      </c>
      <c r="F505" s="2">
        <v>8000035</v>
      </c>
      <c r="G505" s="4" t="str">
        <f>IFERROR(VLOOKUP(F505,Lists!$C:$D,2,0), "N/A")</f>
        <v>TURTLES MILK CHOC ORIGINAL</v>
      </c>
      <c r="H505" s="26">
        <f>IFERROR(VLOOKUP(F505,Lists!$C:$F,4,0),0)</f>
        <v>1.91178</v>
      </c>
      <c r="I505" s="7">
        <f t="shared" si="65"/>
        <v>3219</v>
      </c>
      <c r="J505" s="6">
        <v>3028</v>
      </c>
      <c r="K505" s="33">
        <v>191</v>
      </c>
      <c r="L505" s="5">
        <f t="shared" si="53"/>
        <v>6.3077939233817701E-2</v>
      </c>
      <c r="M505" s="26">
        <f t="shared" si="54"/>
        <v>365.14998000000003</v>
      </c>
    </row>
    <row r="506" spans="1:13" x14ac:dyDescent="0.25">
      <c r="A506" s="16" t="str">
        <f t="shared" si="66"/>
        <v>March</v>
      </c>
      <c r="B506" s="31">
        <v>43901</v>
      </c>
      <c r="C506" s="32" t="s">
        <v>25</v>
      </c>
      <c r="D506" s="9" t="str">
        <f t="shared" si="52"/>
        <v>43901 - 1S</v>
      </c>
      <c r="E506" s="32" t="s">
        <v>10</v>
      </c>
      <c r="F506" s="2">
        <v>8000039</v>
      </c>
      <c r="G506" s="4" t="str">
        <f>IFERROR(VLOOKUP(F506,Lists!$C:$D,2,0), "N/A")</f>
        <v>TURTLES MILK CHOC ORIG MINI</v>
      </c>
      <c r="H506" s="26">
        <f>IFERROR(VLOOKUP(F506,Lists!$C:$F,4,0),0)</f>
        <v>2.08013</v>
      </c>
      <c r="I506" s="7">
        <f t="shared" si="65"/>
        <v>7249</v>
      </c>
      <c r="J506" s="6">
        <v>6720</v>
      </c>
      <c r="K506" s="33">
        <v>529</v>
      </c>
      <c r="L506" s="5">
        <f t="shared" si="53"/>
        <v>7.8720238095238093E-2</v>
      </c>
      <c r="M506" s="26">
        <f t="shared" si="54"/>
        <v>1100.38877</v>
      </c>
    </row>
    <row r="507" spans="1:13" x14ac:dyDescent="0.25">
      <c r="A507" s="16" t="str">
        <f t="shared" si="66"/>
        <v>March</v>
      </c>
      <c r="B507" s="31">
        <v>43901</v>
      </c>
      <c r="C507" s="32" t="s">
        <v>25</v>
      </c>
      <c r="D507" s="9" t="str">
        <f t="shared" si="52"/>
        <v>43901 - 1S</v>
      </c>
      <c r="E507" s="32" t="s">
        <v>11</v>
      </c>
      <c r="F507" s="2">
        <v>8000034</v>
      </c>
      <c r="G507" s="4" t="str">
        <f>IFERROR(VLOOKUP(F507,Lists!$C:$D,2,0), "N/A")</f>
        <v>KS MILK CHOC MACADAMIA</v>
      </c>
      <c r="H507" s="26">
        <f>IFERROR(VLOOKUP(F507,Lists!$C:$F,4,0),0)</f>
        <v>3.8943099999999999</v>
      </c>
      <c r="I507" s="7">
        <f t="shared" si="65"/>
        <v>4141</v>
      </c>
      <c r="J507" s="6">
        <v>4000</v>
      </c>
      <c r="K507" s="33">
        <v>141</v>
      </c>
      <c r="L507" s="5">
        <f t="shared" si="53"/>
        <v>3.5249999999999997E-2</v>
      </c>
      <c r="M507" s="26">
        <f t="shared" si="54"/>
        <v>549.09771000000001</v>
      </c>
    </row>
    <row r="508" spans="1:13" x14ac:dyDescent="0.25">
      <c r="A508" s="16" t="str">
        <f t="shared" si="66"/>
        <v>March</v>
      </c>
      <c r="B508" s="31">
        <v>43901</v>
      </c>
      <c r="C508" s="32" t="s">
        <v>25</v>
      </c>
      <c r="D508" s="9" t="str">
        <f t="shared" si="52"/>
        <v>43901 - 1S</v>
      </c>
      <c r="E508" s="32" t="s">
        <v>12</v>
      </c>
      <c r="F508" s="2">
        <v>8000055</v>
      </c>
      <c r="G508" s="4" t="str">
        <f>IFERROR(VLOOKUP(F508,Lists!$C:$D,2,0), "N/A")</f>
        <v>916.BF FLIPZ 25 LB BULK MILK CHOC</v>
      </c>
      <c r="H508" s="26">
        <f>IFERROR(VLOOKUP(F508,Lists!$C:$F,4,0),0)</f>
        <v>1.9508160000000001</v>
      </c>
      <c r="I508" s="7">
        <f t="shared" si="65"/>
        <v>10017</v>
      </c>
      <c r="J508" s="6">
        <f>400*25</f>
        <v>10000</v>
      </c>
      <c r="K508" s="33">
        <v>17</v>
      </c>
      <c r="L508" s="5">
        <f t="shared" si="53"/>
        <v>1.6999999999999999E-3</v>
      </c>
      <c r="M508" s="26">
        <f t="shared" si="54"/>
        <v>33.163872000000005</v>
      </c>
    </row>
    <row r="509" spans="1:13" x14ac:dyDescent="0.25">
      <c r="A509" s="16" t="str">
        <f t="shared" si="66"/>
        <v>March</v>
      </c>
      <c r="B509" s="31">
        <v>43901</v>
      </c>
      <c r="C509" s="32" t="s">
        <v>25</v>
      </c>
      <c r="D509" s="9" t="str">
        <f t="shared" si="52"/>
        <v>43901 - 1S</v>
      </c>
      <c r="E509" s="32" t="s">
        <v>15</v>
      </c>
      <c r="G509" s="4" t="str">
        <f>IFERROR(VLOOKUP(F509,Lists!$C:$D,2,0), "N/A")</f>
        <v>N/A</v>
      </c>
      <c r="H509" s="26">
        <f>IFERROR(VLOOKUP(F509,Lists!$C:$F,4,0),0)</f>
        <v>0</v>
      </c>
      <c r="I509" s="7">
        <f t="shared" si="65"/>
        <v>3</v>
      </c>
      <c r="K509" s="33">
        <v>3</v>
      </c>
      <c r="L509" s="5">
        <f t="shared" si="53"/>
        <v>1</v>
      </c>
      <c r="M509" s="26">
        <f t="shared" si="54"/>
        <v>0</v>
      </c>
    </row>
    <row r="510" spans="1:13" x14ac:dyDescent="0.25">
      <c r="A510" s="16" t="str">
        <f t="shared" si="66"/>
        <v>March</v>
      </c>
      <c r="B510" s="31">
        <v>43901</v>
      </c>
      <c r="C510" s="32" t="s">
        <v>26</v>
      </c>
      <c r="D510" s="9" t="str">
        <f t="shared" si="52"/>
        <v>43901 - 2S</v>
      </c>
      <c r="E510" s="32" t="s">
        <v>9</v>
      </c>
      <c r="F510" s="2">
        <v>8000035</v>
      </c>
      <c r="G510" s="4" t="str">
        <f>IFERROR(VLOOKUP(F510,Lists!$C:$D,2,0), "N/A")</f>
        <v>TURTLES MILK CHOC ORIGINAL</v>
      </c>
      <c r="H510" s="26">
        <f>IFERROR(VLOOKUP(F510,Lists!$C:$F,4,0),0)</f>
        <v>1.91178</v>
      </c>
      <c r="I510" s="7">
        <f t="shared" si="65"/>
        <v>2426</v>
      </c>
      <c r="J510" s="6">
        <v>1426</v>
      </c>
      <c r="K510" s="33">
        <v>1000</v>
      </c>
      <c r="L510" s="5">
        <f t="shared" si="53"/>
        <v>0.70126227208976155</v>
      </c>
      <c r="M510" s="26">
        <f t="shared" si="54"/>
        <v>1911.78</v>
      </c>
    </row>
    <row r="511" spans="1:13" x14ac:dyDescent="0.25">
      <c r="A511" s="16" t="str">
        <f t="shared" si="66"/>
        <v>March</v>
      </c>
      <c r="B511" s="31">
        <v>43901</v>
      </c>
      <c r="C511" s="32" t="s">
        <v>26</v>
      </c>
      <c r="D511" s="9" t="str">
        <f t="shared" si="52"/>
        <v>43901 - 2S</v>
      </c>
      <c r="E511" s="32" t="s">
        <v>11</v>
      </c>
      <c r="F511" s="2">
        <v>8000034</v>
      </c>
      <c r="G511" s="4" t="str">
        <f>IFERROR(VLOOKUP(F511,Lists!$C:$D,2,0), "N/A")</f>
        <v>KS MILK CHOC MACADAMIA</v>
      </c>
      <c r="H511" s="26">
        <f>IFERROR(VLOOKUP(F511,Lists!$C:$F,4,0),0)</f>
        <v>3.8943099999999999</v>
      </c>
      <c r="I511" s="7">
        <f t="shared" si="65"/>
        <v>3256</v>
      </c>
      <c r="J511" s="6">
        <v>3200</v>
      </c>
      <c r="K511" s="33">
        <v>56</v>
      </c>
      <c r="L511" s="5">
        <f t="shared" si="53"/>
        <v>1.7500000000000002E-2</v>
      </c>
      <c r="M511" s="26">
        <f t="shared" si="54"/>
        <v>218.08135999999999</v>
      </c>
    </row>
    <row r="512" spans="1:13" x14ac:dyDescent="0.25">
      <c r="A512" s="16" t="str">
        <f t="shared" si="66"/>
        <v>March</v>
      </c>
      <c r="B512" s="31">
        <v>43901</v>
      </c>
      <c r="C512" s="32" t="s">
        <v>26</v>
      </c>
      <c r="D512" s="9" t="str">
        <f t="shared" si="52"/>
        <v>43901 - 2S</v>
      </c>
      <c r="E512" s="32" t="s">
        <v>12</v>
      </c>
      <c r="F512" s="2">
        <v>8000055</v>
      </c>
      <c r="G512" s="4" t="str">
        <f>IFERROR(VLOOKUP(F512,Lists!$C:$D,2,0), "N/A")</f>
        <v>916.BF FLIPZ 25 LB BULK MILK CHOC</v>
      </c>
      <c r="H512" s="26">
        <f>IFERROR(VLOOKUP(F512,Lists!$C:$F,4,0),0)</f>
        <v>1.9508160000000001</v>
      </c>
      <c r="I512" s="7">
        <f t="shared" si="65"/>
        <v>8248</v>
      </c>
      <c r="J512" s="6">
        <f>320*25</f>
        <v>8000</v>
      </c>
      <c r="K512" s="33">
        <v>248</v>
      </c>
      <c r="L512" s="5">
        <f t="shared" si="53"/>
        <v>3.1E-2</v>
      </c>
      <c r="M512" s="26">
        <f t="shared" si="54"/>
        <v>483.802368</v>
      </c>
    </row>
    <row r="513" spans="1:13" x14ac:dyDescent="0.25">
      <c r="A513" s="16" t="str">
        <f t="shared" si="66"/>
        <v>March</v>
      </c>
      <c r="B513" s="31">
        <v>43901</v>
      </c>
      <c r="C513" s="32" t="s">
        <v>26</v>
      </c>
      <c r="D513" s="9" t="str">
        <f t="shared" si="52"/>
        <v>43901 - 2S</v>
      </c>
      <c r="E513" s="32" t="s">
        <v>15</v>
      </c>
      <c r="G513" s="4" t="str">
        <f>IFERROR(VLOOKUP(F513,Lists!$C:$D,2,0), "N/A")</f>
        <v>N/A</v>
      </c>
      <c r="H513" s="26">
        <f>IFERROR(VLOOKUP(F513,Lists!$C:$F,4,0),0)</f>
        <v>0</v>
      </c>
      <c r="I513" s="7">
        <f t="shared" si="65"/>
        <v>60</v>
      </c>
      <c r="K513" s="33">
        <v>60</v>
      </c>
      <c r="L513" s="5">
        <f t="shared" si="53"/>
        <v>1</v>
      </c>
      <c r="M513" s="26">
        <f t="shared" si="54"/>
        <v>0</v>
      </c>
    </row>
    <row r="514" spans="1:13" x14ac:dyDescent="0.25">
      <c r="A514" s="16" t="str">
        <f t="shared" si="66"/>
        <v>March</v>
      </c>
      <c r="B514" s="31">
        <v>43902</v>
      </c>
      <c r="C514" s="32" t="s">
        <v>24</v>
      </c>
      <c r="D514" s="9" t="str">
        <f t="shared" si="52"/>
        <v>43902 - 3S</v>
      </c>
      <c r="E514" s="32" t="s">
        <v>9</v>
      </c>
      <c r="F514" s="2">
        <v>8000035</v>
      </c>
      <c r="G514" s="4" t="str">
        <f>IFERROR(VLOOKUP(F514,Lists!$C:$D,2,0), "N/A")</f>
        <v>TURTLES MILK CHOC ORIGINAL</v>
      </c>
      <c r="H514" s="26">
        <f>IFERROR(VLOOKUP(F514,Lists!$C:$F,4,0),0)</f>
        <v>1.91178</v>
      </c>
      <c r="I514" s="7">
        <f t="shared" si="65"/>
        <v>8229.7999999999993</v>
      </c>
      <c r="J514" s="6">
        <v>7840.8</v>
      </c>
      <c r="K514" s="33">
        <v>389</v>
      </c>
      <c r="L514" s="5">
        <f t="shared" si="53"/>
        <v>4.9612284460769311E-2</v>
      </c>
      <c r="M514" s="26">
        <f t="shared" si="54"/>
        <v>743.68241999999998</v>
      </c>
    </row>
    <row r="515" spans="1:13" x14ac:dyDescent="0.25">
      <c r="A515" s="16" t="str">
        <f t="shared" si="66"/>
        <v>March</v>
      </c>
      <c r="B515" s="31">
        <v>43902</v>
      </c>
      <c r="C515" s="32" t="s">
        <v>24</v>
      </c>
      <c r="D515" s="9" t="str">
        <f t="shared" si="52"/>
        <v>43902 - 3S</v>
      </c>
      <c r="E515" s="32" t="s">
        <v>11</v>
      </c>
      <c r="F515" s="2">
        <v>8000034</v>
      </c>
      <c r="G515" s="4" t="str">
        <f>IFERROR(VLOOKUP(F515,Lists!$C:$D,2,0), "N/A")</f>
        <v>KS MILK CHOC MACADAMIA</v>
      </c>
      <c r="H515" s="26">
        <f>IFERROR(VLOOKUP(F515,Lists!$C:$F,4,0),0)</f>
        <v>3.8943099999999999</v>
      </c>
      <c r="I515" s="7">
        <f t="shared" si="65"/>
        <v>9773</v>
      </c>
      <c r="J515" s="6">
        <v>9600</v>
      </c>
      <c r="K515" s="33">
        <v>173</v>
      </c>
      <c r="L515" s="5">
        <f t="shared" si="53"/>
        <v>1.8020833333333333E-2</v>
      </c>
      <c r="M515" s="26">
        <f t="shared" si="54"/>
        <v>673.71563000000003</v>
      </c>
    </row>
    <row r="516" spans="1:13" x14ac:dyDescent="0.25">
      <c r="A516" s="16" t="str">
        <f t="shared" si="66"/>
        <v>March</v>
      </c>
      <c r="B516" s="31">
        <v>43902</v>
      </c>
      <c r="C516" s="32" t="s">
        <v>24</v>
      </c>
      <c r="D516" s="9" t="str">
        <f t="shared" ref="D516:D579" si="67">CONCATENATE(B516," - ",C516)</f>
        <v>43902 - 3S</v>
      </c>
      <c r="E516" s="32" t="s">
        <v>15</v>
      </c>
      <c r="G516" s="4" t="str">
        <f>IFERROR(VLOOKUP(F516,Lists!$C:$D,2,0), "N/A")</f>
        <v>N/A</v>
      </c>
      <c r="H516" s="26">
        <f>IFERROR(VLOOKUP(F516,Lists!$C:$F,4,0),0)</f>
        <v>0</v>
      </c>
      <c r="I516" s="7">
        <f t="shared" si="65"/>
        <v>5</v>
      </c>
      <c r="K516" s="33">
        <v>5</v>
      </c>
      <c r="L516" s="5">
        <f t="shared" ref="L516:L579" si="68">IFERROR((K516/J516),1)</f>
        <v>1</v>
      </c>
      <c r="M516" s="26">
        <f t="shared" ref="M516:M579" si="69">K516*H516</f>
        <v>0</v>
      </c>
    </row>
    <row r="517" spans="1:13" x14ac:dyDescent="0.25">
      <c r="A517" s="16" t="s">
        <v>247</v>
      </c>
      <c r="B517" s="31">
        <v>43902</v>
      </c>
      <c r="C517" s="32" t="s">
        <v>25</v>
      </c>
      <c r="D517" s="9" t="str">
        <f t="shared" si="67"/>
        <v>43902 - 1S</v>
      </c>
      <c r="E517" s="32" t="s">
        <v>9</v>
      </c>
      <c r="F517" s="2">
        <v>8000035</v>
      </c>
      <c r="G517" s="4" t="str">
        <f>IFERROR(VLOOKUP(F517,Lists!$C:$D,2,0), "N/A")</f>
        <v>TURTLES MILK CHOC ORIGINAL</v>
      </c>
      <c r="H517" s="26">
        <f>IFERROR(VLOOKUP(F517,Lists!$C:$F,4,0),0)</f>
        <v>1.91178</v>
      </c>
      <c r="I517" s="7">
        <f t="shared" si="65"/>
        <v>7461</v>
      </c>
      <c r="J517" s="6">
        <v>7128</v>
      </c>
      <c r="K517" s="33">
        <v>333</v>
      </c>
      <c r="L517" s="5">
        <f t="shared" si="68"/>
        <v>4.671717171717172E-2</v>
      </c>
      <c r="M517" s="26">
        <f t="shared" si="69"/>
        <v>636.62274000000002</v>
      </c>
    </row>
    <row r="518" spans="1:13" x14ac:dyDescent="0.25">
      <c r="A518" s="16" t="s">
        <v>247</v>
      </c>
      <c r="B518" s="31">
        <v>43902</v>
      </c>
      <c r="C518" s="32" t="s">
        <v>25</v>
      </c>
      <c r="D518" s="9" t="str">
        <f t="shared" si="67"/>
        <v>43902 - 1S</v>
      </c>
      <c r="E518" s="32" t="s">
        <v>10</v>
      </c>
      <c r="F518" s="2">
        <v>8000039</v>
      </c>
      <c r="G518" s="4" t="str">
        <f>IFERROR(VLOOKUP(F518,Lists!$C:$D,2,0), "N/A")</f>
        <v>TURTLES MILK CHOC ORIG MINI</v>
      </c>
      <c r="H518" s="26">
        <f>IFERROR(VLOOKUP(F518,Lists!$C:$F,4,0),0)</f>
        <v>2.08013</v>
      </c>
      <c r="I518" s="7">
        <f t="shared" si="65"/>
        <v>8122</v>
      </c>
      <c r="J518" s="6">
        <v>7680</v>
      </c>
      <c r="K518" s="33">
        <v>442</v>
      </c>
      <c r="L518" s="5">
        <f t="shared" si="68"/>
        <v>5.755208333333333E-2</v>
      </c>
      <c r="M518" s="26">
        <f t="shared" si="69"/>
        <v>919.41746000000001</v>
      </c>
    </row>
    <row r="519" spans="1:13" x14ac:dyDescent="0.25">
      <c r="A519" s="16" t="s">
        <v>247</v>
      </c>
      <c r="B519" s="31">
        <v>43902</v>
      </c>
      <c r="C519" s="32" t="s">
        <v>25</v>
      </c>
      <c r="D519" s="9" t="str">
        <f t="shared" si="67"/>
        <v>43902 - 1S</v>
      </c>
      <c r="E519" s="32" t="s">
        <v>11</v>
      </c>
      <c r="F519" s="2">
        <v>8000034</v>
      </c>
      <c r="G519" s="4" t="str">
        <f>IFERROR(VLOOKUP(F519,Lists!$C:$D,2,0), "N/A")</f>
        <v>KS MILK CHOC MACADAMIA</v>
      </c>
      <c r="H519" s="26">
        <f>IFERROR(VLOOKUP(F519,Lists!$C:$F,4,0),0)</f>
        <v>3.8943099999999999</v>
      </c>
      <c r="I519" s="7">
        <f t="shared" si="65"/>
        <v>8176</v>
      </c>
      <c r="J519" s="6">
        <v>8000</v>
      </c>
      <c r="K519" s="33">
        <v>176</v>
      </c>
      <c r="L519" s="5">
        <f t="shared" si="68"/>
        <v>2.1999999999999999E-2</v>
      </c>
      <c r="M519" s="26">
        <f t="shared" si="69"/>
        <v>685.39855999999997</v>
      </c>
    </row>
    <row r="520" spans="1:13" x14ac:dyDescent="0.25">
      <c r="A520" s="16" t="s">
        <v>247</v>
      </c>
      <c r="B520" s="31">
        <v>43902</v>
      </c>
      <c r="C520" s="32" t="s">
        <v>25</v>
      </c>
      <c r="D520" s="9" t="str">
        <f t="shared" si="67"/>
        <v>43902 - 1S</v>
      </c>
      <c r="E520" s="32" t="s">
        <v>12</v>
      </c>
      <c r="F520" s="2">
        <v>8000055</v>
      </c>
      <c r="G520" s="4" t="str">
        <f>IFERROR(VLOOKUP(F520,Lists!$C:$D,2,0), "N/A")</f>
        <v>916.BF FLIPZ 25 LB BULK MILK CHOC</v>
      </c>
      <c r="H520" s="26">
        <f>IFERROR(VLOOKUP(F520,Lists!$C:$F,4,0),0)</f>
        <v>1.9508160000000001</v>
      </c>
      <c r="I520" s="7">
        <f t="shared" si="65"/>
        <v>9010</v>
      </c>
      <c r="J520" s="6">
        <f>360*25</f>
        <v>9000</v>
      </c>
      <c r="K520" s="33">
        <v>10</v>
      </c>
      <c r="L520" s="5">
        <f t="shared" si="68"/>
        <v>1.1111111111111111E-3</v>
      </c>
      <c r="M520" s="26">
        <f t="shared" si="69"/>
        <v>19.50816</v>
      </c>
    </row>
    <row r="521" spans="1:13" x14ac:dyDescent="0.25">
      <c r="A521" s="16" t="s">
        <v>247</v>
      </c>
      <c r="B521" s="31">
        <v>43902</v>
      </c>
      <c r="C521" s="32" t="s">
        <v>25</v>
      </c>
      <c r="D521" s="9" t="str">
        <f t="shared" si="67"/>
        <v>43902 - 1S</v>
      </c>
      <c r="E521" s="32" t="s">
        <v>15</v>
      </c>
      <c r="G521" s="4" t="str">
        <f>IFERROR(VLOOKUP(F521,Lists!$C:$D,2,0), "N/A")</f>
        <v>N/A</v>
      </c>
      <c r="H521" s="26">
        <f>IFERROR(VLOOKUP(F521,Lists!$C:$F,4,0),0)</f>
        <v>0</v>
      </c>
      <c r="I521" s="7">
        <f t="shared" si="65"/>
        <v>2</v>
      </c>
      <c r="K521" s="33">
        <v>2</v>
      </c>
      <c r="L521" s="5">
        <f t="shared" si="68"/>
        <v>1</v>
      </c>
      <c r="M521" s="26">
        <f t="shared" si="69"/>
        <v>0</v>
      </c>
    </row>
    <row r="522" spans="1:13" x14ac:dyDescent="0.25">
      <c r="A522" s="16" t="s">
        <v>247</v>
      </c>
      <c r="B522" s="31">
        <v>43902</v>
      </c>
      <c r="C522" s="32" t="s">
        <v>26</v>
      </c>
      <c r="D522" s="9" t="str">
        <f t="shared" si="67"/>
        <v>43902 - 2S</v>
      </c>
      <c r="E522" s="32" t="s">
        <v>9</v>
      </c>
      <c r="F522" s="2">
        <v>8000035</v>
      </c>
      <c r="G522" s="4" t="str">
        <f>IFERROR(VLOOKUP(F522,Lists!$C:$D,2,0), "N/A")</f>
        <v>TURTLES MILK CHOC ORIGINAL</v>
      </c>
      <c r="H522" s="26">
        <f>IFERROR(VLOOKUP(F522,Lists!$C:$F,4,0),0)</f>
        <v>1.91178</v>
      </c>
      <c r="I522" s="7">
        <f t="shared" si="65"/>
        <v>9440.4</v>
      </c>
      <c r="J522" s="6">
        <v>9266.4</v>
      </c>
      <c r="K522" s="33">
        <v>174</v>
      </c>
      <c r="L522" s="5">
        <f t="shared" si="68"/>
        <v>1.8777518777518779E-2</v>
      </c>
      <c r="M522" s="26">
        <f t="shared" si="69"/>
        <v>332.64972</v>
      </c>
    </row>
    <row r="523" spans="1:13" x14ac:dyDescent="0.25">
      <c r="A523" s="16" t="s">
        <v>247</v>
      </c>
      <c r="B523" s="31">
        <v>43902</v>
      </c>
      <c r="C523" s="32" t="s">
        <v>26</v>
      </c>
      <c r="D523" s="9" t="str">
        <f t="shared" si="67"/>
        <v>43902 - 2S</v>
      </c>
      <c r="E523" s="32" t="s">
        <v>10</v>
      </c>
      <c r="F523" s="2">
        <v>8000039</v>
      </c>
      <c r="G523" s="4" t="str">
        <f>IFERROR(VLOOKUP(F523,Lists!$C:$D,2,0), "N/A")</f>
        <v>TURTLES MILK CHOC ORIG MINI</v>
      </c>
      <c r="H523" s="26">
        <f>IFERROR(VLOOKUP(F523,Lists!$C:$F,4,0),0)</f>
        <v>2.08013</v>
      </c>
      <c r="I523" s="7">
        <f t="shared" si="65"/>
        <v>6168</v>
      </c>
      <c r="J523" s="6">
        <v>5760</v>
      </c>
      <c r="K523" s="33">
        <v>408</v>
      </c>
      <c r="L523" s="5">
        <f t="shared" si="68"/>
        <v>7.0833333333333331E-2</v>
      </c>
      <c r="M523" s="26">
        <f t="shared" si="69"/>
        <v>848.69304</v>
      </c>
    </row>
    <row r="524" spans="1:13" x14ac:dyDescent="0.25">
      <c r="A524" s="16" t="s">
        <v>247</v>
      </c>
      <c r="B524" s="31">
        <v>43902</v>
      </c>
      <c r="C524" s="32" t="s">
        <v>26</v>
      </c>
      <c r="D524" s="9" t="str">
        <f t="shared" si="67"/>
        <v>43902 - 2S</v>
      </c>
      <c r="E524" s="32" t="s">
        <v>11</v>
      </c>
      <c r="F524" s="2">
        <v>8000034</v>
      </c>
      <c r="G524" s="4" t="str">
        <f>IFERROR(VLOOKUP(F524,Lists!$C:$D,2,0), "N/A")</f>
        <v>KS MILK CHOC MACADAMIA</v>
      </c>
      <c r="H524" s="26">
        <f>IFERROR(VLOOKUP(F524,Lists!$C:$F,4,0),0)</f>
        <v>3.8943099999999999</v>
      </c>
      <c r="I524" s="7">
        <f t="shared" si="65"/>
        <v>8858</v>
      </c>
      <c r="J524" s="6">
        <v>8800</v>
      </c>
      <c r="K524" s="33">
        <v>58</v>
      </c>
      <c r="L524" s="5">
        <f t="shared" si="68"/>
        <v>6.5909090909090908E-3</v>
      </c>
      <c r="M524" s="26">
        <f t="shared" si="69"/>
        <v>225.86998</v>
      </c>
    </row>
    <row r="525" spans="1:13" x14ac:dyDescent="0.25">
      <c r="A525" s="16" t="s">
        <v>247</v>
      </c>
      <c r="B525" s="31">
        <v>43902</v>
      </c>
      <c r="C525" s="32" t="s">
        <v>26</v>
      </c>
      <c r="D525" s="9" t="str">
        <f t="shared" si="67"/>
        <v>43902 - 2S</v>
      </c>
      <c r="E525" s="32" t="s">
        <v>12</v>
      </c>
      <c r="F525" s="2">
        <v>8000055</v>
      </c>
      <c r="G525" s="4" t="str">
        <f>IFERROR(VLOOKUP(F525,Lists!$C:$D,2,0), "N/A")</f>
        <v>916.BF FLIPZ 25 LB BULK MILK CHOC</v>
      </c>
      <c r="H525" s="26">
        <f>IFERROR(VLOOKUP(F525,Lists!$C:$F,4,0),0)</f>
        <v>1.9508160000000001</v>
      </c>
      <c r="I525" s="7">
        <f t="shared" si="65"/>
        <v>9002</v>
      </c>
      <c r="J525" s="6">
        <f>360*25</f>
        <v>9000</v>
      </c>
      <c r="K525" s="33">
        <v>2</v>
      </c>
      <c r="L525" s="5">
        <f t="shared" si="68"/>
        <v>2.2222222222222223E-4</v>
      </c>
      <c r="M525" s="26">
        <f t="shared" si="69"/>
        <v>3.9016320000000002</v>
      </c>
    </row>
    <row r="526" spans="1:13" x14ac:dyDescent="0.25">
      <c r="A526" s="16" t="s">
        <v>295</v>
      </c>
      <c r="B526" s="31">
        <v>43902</v>
      </c>
      <c r="C526" s="32" t="s">
        <v>26</v>
      </c>
      <c r="D526" s="9" t="str">
        <f t="shared" si="67"/>
        <v>43902 - 2S</v>
      </c>
      <c r="E526" s="32" t="s">
        <v>15</v>
      </c>
      <c r="G526" s="4" t="str">
        <f>IFERROR(VLOOKUP(F526,Lists!$C:$D,2,0), "N/A")</f>
        <v>N/A</v>
      </c>
      <c r="H526" s="26">
        <f>IFERROR(VLOOKUP(F526,Lists!$C:$F,4,0),0)</f>
        <v>0</v>
      </c>
      <c r="I526" s="7">
        <f t="shared" si="65"/>
        <v>30</v>
      </c>
      <c r="K526" s="33">
        <v>30</v>
      </c>
      <c r="L526" s="5">
        <f t="shared" si="68"/>
        <v>1</v>
      </c>
      <c r="M526" s="26">
        <f t="shared" si="69"/>
        <v>0</v>
      </c>
    </row>
    <row r="527" spans="1:13" x14ac:dyDescent="0.25">
      <c r="A527" s="16" t="s">
        <v>247</v>
      </c>
      <c r="B527" s="31">
        <v>43903</v>
      </c>
      <c r="C527" s="32" t="s">
        <v>24</v>
      </c>
      <c r="D527" s="9" t="str">
        <f t="shared" si="67"/>
        <v>43903 - 3S</v>
      </c>
      <c r="E527" s="32" t="s">
        <v>9</v>
      </c>
      <c r="F527" s="2">
        <v>8000035</v>
      </c>
      <c r="G527" s="4" t="str">
        <f>IFERROR(VLOOKUP(F527,Lists!$C:$D,2,0), "N/A")</f>
        <v>TURTLES MILK CHOC ORIGINAL</v>
      </c>
      <c r="H527" s="26">
        <f>IFERROR(VLOOKUP(F527,Lists!$C:$F,4,0),0)</f>
        <v>1.91178</v>
      </c>
      <c r="I527" s="7">
        <f t="shared" si="65"/>
        <v>9566.4</v>
      </c>
      <c r="J527" s="6">
        <v>9266.4</v>
      </c>
      <c r="K527" s="33">
        <v>300</v>
      </c>
      <c r="L527" s="5">
        <f t="shared" si="68"/>
        <v>3.2375032375032378E-2</v>
      </c>
      <c r="M527" s="26">
        <f t="shared" si="69"/>
        <v>573.53399999999999</v>
      </c>
    </row>
    <row r="528" spans="1:13" x14ac:dyDescent="0.25">
      <c r="A528" s="16" t="s">
        <v>247</v>
      </c>
      <c r="B528" s="31">
        <v>43903</v>
      </c>
      <c r="C528" s="32" t="s">
        <v>24</v>
      </c>
      <c r="D528" s="9" t="str">
        <f t="shared" si="67"/>
        <v>43903 - 3S</v>
      </c>
      <c r="E528" s="32" t="s">
        <v>10</v>
      </c>
      <c r="F528" s="2">
        <v>8000039</v>
      </c>
      <c r="G528" s="4" t="str">
        <f>IFERROR(VLOOKUP(F528,Lists!$C:$D,2,0), "N/A")</f>
        <v>TURTLES MILK CHOC ORIG MINI</v>
      </c>
      <c r="H528" s="26">
        <f>IFERROR(VLOOKUP(F528,Lists!$C:$F,4,0),0)</f>
        <v>2.08013</v>
      </c>
      <c r="I528" s="7">
        <f t="shared" si="65"/>
        <v>9763</v>
      </c>
      <c r="J528" s="6">
        <v>9600</v>
      </c>
      <c r="K528" s="33">
        <v>163</v>
      </c>
      <c r="L528" s="5">
        <f t="shared" si="68"/>
        <v>1.6979166666666667E-2</v>
      </c>
      <c r="M528" s="26">
        <f t="shared" si="69"/>
        <v>339.06119000000001</v>
      </c>
    </row>
    <row r="529" spans="1:13" x14ac:dyDescent="0.25">
      <c r="A529" s="16" t="s">
        <v>247</v>
      </c>
      <c r="B529" s="31">
        <v>43903</v>
      </c>
      <c r="C529" s="32" t="s">
        <v>24</v>
      </c>
      <c r="D529" s="9" t="str">
        <f t="shared" si="67"/>
        <v>43903 - 3S</v>
      </c>
      <c r="E529" s="32" t="s">
        <v>11</v>
      </c>
      <c r="F529" s="2">
        <v>8000034</v>
      </c>
      <c r="G529" s="4" t="str">
        <f>IFERROR(VLOOKUP(F529,Lists!$C:$D,2,0), "N/A")</f>
        <v>KS MILK CHOC MACADAMIA</v>
      </c>
      <c r="H529" s="26">
        <f>IFERROR(VLOOKUP(F529,Lists!$C:$F,4,0),0)</f>
        <v>3.8943099999999999</v>
      </c>
      <c r="I529" s="7">
        <f t="shared" si="65"/>
        <v>7293</v>
      </c>
      <c r="J529" s="6">
        <v>7200</v>
      </c>
      <c r="K529" s="33">
        <v>93</v>
      </c>
      <c r="L529" s="5">
        <f t="shared" si="68"/>
        <v>1.2916666666666667E-2</v>
      </c>
      <c r="M529" s="26">
        <f t="shared" si="69"/>
        <v>362.17082999999997</v>
      </c>
    </row>
    <row r="530" spans="1:13" x14ac:dyDescent="0.25">
      <c r="A530" s="16" t="s">
        <v>247</v>
      </c>
      <c r="B530" s="31">
        <v>43903</v>
      </c>
      <c r="C530" s="32" t="s">
        <v>25</v>
      </c>
      <c r="D530" s="9" t="str">
        <f t="shared" si="67"/>
        <v>43903 - 1S</v>
      </c>
      <c r="E530" s="32" t="s">
        <v>9</v>
      </c>
      <c r="F530" s="2">
        <v>8000035</v>
      </c>
      <c r="G530" s="4" t="str">
        <f>IFERROR(VLOOKUP(F530,Lists!$C:$D,2,0), "N/A")</f>
        <v>TURTLES MILK CHOC ORIGINAL</v>
      </c>
      <c r="H530" s="26">
        <f>IFERROR(VLOOKUP(F530,Lists!$C:$F,4,0),0)</f>
        <v>1.91178</v>
      </c>
      <c r="I530" s="7">
        <f t="shared" si="65"/>
        <v>10447.200000000001</v>
      </c>
      <c r="J530" s="6">
        <v>9979.2000000000007</v>
      </c>
      <c r="K530" s="33">
        <v>468</v>
      </c>
      <c r="L530" s="5">
        <f t="shared" si="68"/>
        <v>4.6897546897546896E-2</v>
      </c>
      <c r="M530" s="26">
        <f t="shared" si="69"/>
        <v>894.71303999999998</v>
      </c>
    </row>
    <row r="531" spans="1:13" x14ac:dyDescent="0.25">
      <c r="A531" s="16" t="s">
        <v>247</v>
      </c>
      <c r="B531" s="31">
        <v>43903</v>
      </c>
      <c r="C531" s="32" t="s">
        <v>25</v>
      </c>
      <c r="D531" s="9" t="str">
        <f t="shared" si="67"/>
        <v>43903 - 1S</v>
      </c>
      <c r="E531" s="32" t="s">
        <v>10</v>
      </c>
      <c r="F531" s="2">
        <v>8000039</v>
      </c>
      <c r="G531" s="4" t="str">
        <f>IFERROR(VLOOKUP(F531,Lists!$C:$D,2,0), "N/A")</f>
        <v>TURTLES MILK CHOC ORIG MINI</v>
      </c>
      <c r="H531" s="26">
        <f>IFERROR(VLOOKUP(F531,Lists!$C:$F,4,0),0)</f>
        <v>2.08013</v>
      </c>
      <c r="I531" s="7">
        <f t="shared" si="65"/>
        <v>5805</v>
      </c>
      <c r="J531" s="6">
        <v>5760</v>
      </c>
      <c r="K531" s="33">
        <v>45</v>
      </c>
      <c r="L531" s="5">
        <f t="shared" si="68"/>
        <v>7.8125E-3</v>
      </c>
      <c r="M531" s="26">
        <f t="shared" si="69"/>
        <v>93.605850000000004</v>
      </c>
    </row>
    <row r="532" spans="1:13" x14ac:dyDescent="0.25">
      <c r="A532" s="16" t="s">
        <v>247</v>
      </c>
      <c r="B532" s="31">
        <v>43903</v>
      </c>
      <c r="C532" s="32" t="s">
        <v>25</v>
      </c>
      <c r="D532" s="9" t="str">
        <f t="shared" si="67"/>
        <v>43903 - 1S</v>
      </c>
      <c r="E532" s="32" t="s">
        <v>11</v>
      </c>
      <c r="F532" s="2">
        <v>8000034</v>
      </c>
      <c r="G532" s="4" t="str">
        <f>IFERROR(VLOOKUP(F532,Lists!$C:$D,2,0), "N/A")</f>
        <v>KS MILK CHOC MACADAMIA</v>
      </c>
      <c r="H532" s="26">
        <f>IFERROR(VLOOKUP(F532,Lists!$C:$F,4,0),0)</f>
        <v>3.8943099999999999</v>
      </c>
      <c r="I532" s="7">
        <f t="shared" si="65"/>
        <v>8945</v>
      </c>
      <c r="J532" s="6">
        <v>8800</v>
      </c>
      <c r="K532" s="33">
        <v>145</v>
      </c>
      <c r="L532" s="5">
        <f t="shared" si="68"/>
        <v>1.6477272727272726E-2</v>
      </c>
      <c r="M532" s="26">
        <f t="shared" si="69"/>
        <v>564.67494999999997</v>
      </c>
    </row>
    <row r="533" spans="1:13" x14ac:dyDescent="0.25">
      <c r="A533" s="16" t="s">
        <v>247</v>
      </c>
      <c r="B533" s="31">
        <v>43903</v>
      </c>
      <c r="C533" s="32" t="s">
        <v>25</v>
      </c>
      <c r="D533" s="9" t="str">
        <f t="shared" si="67"/>
        <v>43903 - 1S</v>
      </c>
      <c r="E533" s="32" t="s">
        <v>12</v>
      </c>
      <c r="F533" s="2">
        <v>8000055</v>
      </c>
      <c r="G533" s="4" t="str">
        <f>IFERROR(VLOOKUP(F533,Lists!$C:$D,2,0), "N/A")</f>
        <v>916.BF FLIPZ 25 LB BULK MILK CHOC</v>
      </c>
      <c r="H533" s="26">
        <f>IFERROR(VLOOKUP(F533,Lists!$C:$F,4,0),0)</f>
        <v>1.9508160000000001</v>
      </c>
      <c r="I533" s="7">
        <f t="shared" si="65"/>
        <v>10107</v>
      </c>
      <c r="J533" s="6">
        <v>10000</v>
      </c>
      <c r="K533" s="33">
        <v>107</v>
      </c>
      <c r="L533" s="5">
        <f t="shared" si="68"/>
        <v>1.0699999999999999E-2</v>
      </c>
      <c r="M533" s="26">
        <f t="shared" si="69"/>
        <v>208.737312</v>
      </c>
    </row>
    <row r="534" spans="1:13" x14ac:dyDescent="0.25">
      <c r="A534" s="16" t="s">
        <v>247</v>
      </c>
      <c r="B534" s="31">
        <v>43903</v>
      </c>
      <c r="C534" s="32" t="s">
        <v>25</v>
      </c>
      <c r="D534" s="9" t="str">
        <f t="shared" si="67"/>
        <v>43903 - 1S</v>
      </c>
      <c r="E534" s="32" t="s">
        <v>15</v>
      </c>
      <c r="G534" s="4" t="str">
        <f>IFERROR(VLOOKUP(F534,Lists!$C:$D,2,0), "N/A")</f>
        <v>N/A</v>
      </c>
      <c r="H534" s="26">
        <f>IFERROR(VLOOKUP(F534,Lists!$C:$F,4,0),0)</f>
        <v>0</v>
      </c>
      <c r="I534" s="7">
        <f t="shared" si="65"/>
        <v>15</v>
      </c>
      <c r="K534" s="33">
        <v>15</v>
      </c>
      <c r="L534" s="5">
        <f t="shared" si="68"/>
        <v>1</v>
      </c>
      <c r="M534" s="26">
        <f t="shared" si="69"/>
        <v>0</v>
      </c>
    </row>
    <row r="535" spans="1:13" x14ac:dyDescent="0.25">
      <c r="A535" s="16" t="s">
        <v>247</v>
      </c>
      <c r="B535" s="31">
        <v>43903</v>
      </c>
      <c r="C535" s="32" t="s">
        <v>26</v>
      </c>
      <c r="D535" s="9" t="str">
        <f t="shared" si="67"/>
        <v>43903 - 2S</v>
      </c>
      <c r="E535" s="32" t="s">
        <v>11</v>
      </c>
      <c r="F535" s="2">
        <v>8000034</v>
      </c>
      <c r="G535" s="4" t="str">
        <f>IFERROR(VLOOKUP(F535,Lists!$C:$D,2,0), "N/A")</f>
        <v>KS MILK CHOC MACADAMIA</v>
      </c>
      <c r="H535" s="26">
        <f>IFERROR(VLOOKUP(F535,Lists!$C:$F,4,0),0)</f>
        <v>3.8943099999999999</v>
      </c>
      <c r="I535" s="7">
        <f t="shared" si="65"/>
        <v>4826</v>
      </c>
      <c r="J535" s="6">
        <v>4800</v>
      </c>
      <c r="K535" s="33">
        <v>26</v>
      </c>
      <c r="L535" s="5">
        <f t="shared" si="68"/>
        <v>5.4166666666666669E-3</v>
      </c>
      <c r="M535" s="26">
        <f t="shared" si="69"/>
        <v>101.25206</v>
      </c>
    </row>
    <row r="536" spans="1:13" x14ac:dyDescent="0.25">
      <c r="A536" s="16" t="s">
        <v>247</v>
      </c>
      <c r="B536" s="31">
        <v>43903</v>
      </c>
      <c r="C536" s="32" t="s">
        <v>26</v>
      </c>
      <c r="D536" s="9" t="str">
        <f t="shared" si="67"/>
        <v>43903 - 2S</v>
      </c>
      <c r="E536" s="32" t="s">
        <v>12</v>
      </c>
      <c r="F536" s="2">
        <v>8000055</v>
      </c>
      <c r="G536" s="4" t="str">
        <f>IFERROR(VLOOKUP(F536,Lists!$C:$D,2,0), "N/A")</f>
        <v>916.BF FLIPZ 25 LB BULK MILK CHOC</v>
      </c>
      <c r="H536" s="26">
        <f>IFERROR(VLOOKUP(F536,Lists!$C:$F,4,0),0)</f>
        <v>1.9508160000000001</v>
      </c>
      <c r="I536" s="7">
        <f t="shared" si="65"/>
        <v>10006</v>
      </c>
      <c r="J536" s="6">
        <v>10000</v>
      </c>
      <c r="K536" s="33">
        <v>6</v>
      </c>
      <c r="L536" s="5">
        <f t="shared" si="68"/>
        <v>5.9999999999999995E-4</v>
      </c>
      <c r="M536" s="26">
        <f t="shared" si="69"/>
        <v>11.704896000000002</v>
      </c>
    </row>
    <row r="537" spans="1:13" x14ac:dyDescent="0.25">
      <c r="A537" s="16" t="s">
        <v>247</v>
      </c>
      <c r="B537" s="31">
        <v>43903</v>
      </c>
      <c r="C537" s="32" t="s">
        <v>26</v>
      </c>
      <c r="D537" s="9" t="str">
        <f t="shared" si="67"/>
        <v>43903 - 2S</v>
      </c>
      <c r="E537" s="32" t="s">
        <v>15</v>
      </c>
      <c r="G537" s="4" t="str">
        <f>IFERROR(VLOOKUP(F537,Lists!$C:$D,2,0), "N/A")</f>
        <v>N/A</v>
      </c>
      <c r="H537" s="26">
        <f>IFERROR(VLOOKUP(F537,Lists!$C:$F,4,0),0)</f>
        <v>0</v>
      </c>
      <c r="I537" s="7">
        <f t="shared" si="65"/>
        <v>27</v>
      </c>
      <c r="K537" s="33">
        <v>27</v>
      </c>
      <c r="L537" s="5">
        <f t="shared" si="68"/>
        <v>1</v>
      </c>
      <c r="M537" s="26">
        <f t="shared" si="69"/>
        <v>0</v>
      </c>
    </row>
    <row r="538" spans="1:13" x14ac:dyDescent="0.25">
      <c r="A538" s="16" t="s">
        <v>247</v>
      </c>
      <c r="B538" s="31">
        <v>43904</v>
      </c>
      <c r="C538" s="32" t="s">
        <v>25</v>
      </c>
      <c r="D538" s="9" t="str">
        <f t="shared" si="67"/>
        <v>43904 - 1S</v>
      </c>
      <c r="E538" s="32" t="s">
        <v>12</v>
      </c>
      <c r="F538" s="2">
        <v>8000055</v>
      </c>
      <c r="G538" s="4" t="str">
        <f>IFERROR(VLOOKUP(F538,Lists!$C:$D,2,0), "N/A")</f>
        <v>916.BF FLIPZ 25 LB BULK MILK CHOC</v>
      </c>
      <c r="H538" s="26">
        <f>IFERROR(VLOOKUP(F538,Lists!$C:$F,4,0),0)</f>
        <v>1.9508160000000001</v>
      </c>
      <c r="I538" s="7">
        <f t="shared" si="65"/>
        <v>9003</v>
      </c>
      <c r="J538" s="6">
        <f>360*25</f>
        <v>9000</v>
      </c>
      <c r="K538" s="33">
        <v>3</v>
      </c>
      <c r="L538" s="5">
        <f t="shared" si="68"/>
        <v>3.3333333333333332E-4</v>
      </c>
      <c r="M538" s="26">
        <f t="shared" si="69"/>
        <v>5.8524480000000008</v>
      </c>
    </row>
    <row r="539" spans="1:13" x14ac:dyDescent="0.25">
      <c r="A539" s="16" t="s">
        <v>247</v>
      </c>
      <c r="B539" s="31">
        <v>43904</v>
      </c>
      <c r="C539" s="32" t="s">
        <v>26</v>
      </c>
      <c r="D539" s="9" t="str">
        <f t="shared" si="67"/>
        <v>43904 - 2S</v>
      </c>
      <c r="E539" s="32" t="s">
        <v>12</v>
      </c>
      <c r="F539" s="2">
        <v>8000055</v>
      </c>
      <c r="G539" s="4" t="str">
        <f>IFERROR(VLOOKUP(F539,Lists!$C:$D,2,0), "N/A")</f>
        <v>916.BF FLIPZ 25 LB BULK MILK CHOC</v>
      </c>
      <c r="H539" s="26">
        <f>IFERROR(VLOOKUP(F539,Lists!$C:$F,4,0),0)</f>
        <v>1.9508160000000001</v>
      </c>
      <c r="I539" s="7">
        <f t="shared" si="65"/>
        <v>10003</v>
      </c>
      <c r="J539" s="6">
        <f>400*25</f>
        <v>10000</v>
      </c>
      <c r="K539" s="33">
        <v>3</v>
      </c>
      <c r="L539" s="5">
        <f t="shared" si="68"/>
        <v>2.9999999999999997E-4</v>
      </c>
      <c r="M539" s="26">
        <f t="shared" si="69"/>
        <v>5.8524480000000008</v>
      </c>
    </row>
    <row r="540" spans="1:13" x14ac:dyDescent="0.25">
      <c r="A540" s="16" t="s">
        <v>247</v>
      </c>
      <c r="B540" s="31">
        <v>43905</v>
      </c>
      <c r="C540" s="32" t="s">
        <v>25</v>
      </c>
      <c r="D540" s="9" t="str">
        <f t="shared" si="67"/>
        <v>43905 - 1S</v>
      </c>
      <c r="E540" s="32" t="s">
        <v>12</v>
      </c>
      <c r="F540" s="2">
        <v>8000055</v>
      </c>
      <c r="G540" s="4" t="str">
        <f>IFERROR(VLOOKUP(F540,Lists!$C:$D,2,0), "N/A")</f>
        <v>916.BF FLIPZ 25 LB BULK MILK CHOC</v>
      </c>
      <c r="H540" s="26">
        <f>IFERROR(VLOOKUP(F540,Lists!$C:$F,4,0),0)</f>
        <v>1.9508160000000001</v>
      </c>
      <c r="I540" s="7">
        <f t="shared" si="65"/>
        <v>5017</v>
      </c>
      <c r="J540" s="6">
        <f>200*25</f>
        <v>5000</v>
      </c>
      <c r="K540" s="33">
        <v>17</v>
      </c>
      <c r="L540" s="5">
        <f t="shared" si="68"/>
        <v>3.3999999999999998E-3</v>
      </c>
      <c r="M540" s="26">
        <f t="shared" si="69"/>
        <v>33.163872000000005</v>
      </c>
    </row>
    <row r="541" spans="1:13" x14ac:dyDescent="0.25">
      <c r="A541" s="16" t="s">
        <v>247</v>
      </c>
      <c r="B541" s="31">
        <v>43905</v>
      </c>
      <c r="C541" s="32" t="s">
        <v>26</v>
      </c>
      <c r="D541" s="9" t="str">
        <f t="shared" si="67"/>
        <v>43905 - 2S</v>
      </c>
      <c r="E541" s="32" t="s">
        <v>12</v>
      </c>
      <c r="F541" s="2">
        <v>8000055</v>
      </c>
      <c r="G541" s="4" t="str">
        <f>IFERROR(VLOOKUP(F541,Lists!$C:$D,2,0), "N/A")</f>
        <v>916.BF FLIPZ 25 LB BULK MILK CHOC</v>
      </c>
      <c r="H541" s="26">
        <f>IFERROR(VLOOKUP(F541,Lists!$C:$F,4,0),0)</f>
        <v>1.9508160000000001</v>
      </c>
      <c r="I541" s="7">
        <f t="shared" si="65"/>
        <v>12003</v>
      </c>
      <c r="J541" s="6">
        <f>480*25</f>
        <v>12000</v>
      </c>
      <c r="K541" s="33">
        <v>3</v>
      </c>
      <c r="L541" s="5">
        <f t="shared" si="68"/>
        <v>2.5000000000000001E-4</v>
      </c>
      <c r="M541" s="26">
        <f t="shared" si="69"/>
        <v>5.8524480000000008</v>
      </c>
    </row>
    <row r="542" spans="1:13" x14ac:dyDescent="0.25">
      <c r="A542" s="16" t="s">
        <v>247</v>
      </c>
      <c r="B542" s="31">
        <v>43906</v>
      </c>
      <c r="C542" s="32" t="s">
        <v>25</v>
      </c>
      <c r="D542" s="9" t="str">
        <f t="shared" si="67"/>
        <v>43906 - 1S</v>
      </c>
      <c r="E542" s="32" t="s">
        <v>9</v>
      </c>
      <c r="F542" s="2">
        <v>8000046</v>
      </c>
      <c r="G542" s="4" t="str">
        <f>IFERROR(VLOOKUP(F542,Lists!$C:$D,2,0), "N/A")</f>
        <v>TURTLES MC SEA SALT PECAN</v>
      </c>
      <c r="H542" s="26">
        <f>IFERROR(VLOOKUP(F542,Lists!$C:$F,4,0),0)</f>
        <v>1.9184100000000002</v>
      </c>
      <c r="I542" s="7">
        <f t="shared" si="65"/>
        <v>3224.2</v>
      </c>
      <c r="J542" s="6">
        <v>2851.2</v>
      </c>
      <c r="K542" s="33">
        <v>373</v>
      </c>
      <c r="L542" s="5">
        <f t="shared" si="68"/>
        <v>0.13082210998877666</v>
      </c>
      <c r="M542" s="26">
        <f t="shared" si="69"/>
        <v>715.56693000000007</v>
      </c>
    </row>
    <row r="543" spans="1:13" x14ac:dyDescent="0.25">
      <c r="A543" s="16" t="s">
        <v>247</v>
      </c>
      <c r="B543" s="31">
        <v>43906</v>
      </c>
      <c r="C543" s="32" t="s">
        <v>25</v>
      </c>
      <c r="D543" s="9" t="str">
        <f t="shared" si="67"/>
        <v>43906 - 1S</v>
      </c>
      <c r="E543" s="32" t="s">
        <v>12</v>
      </c>
      <c r="F543" s="2">
        <v>8000055</v>
      </c>
      <c r="G543" s="4" t="str">
        <f>IFERROR(VLOOKUP(F543,Lists!$C:$D,2,0), "N/A")</f>
        <v>916.BF FLIPZ 25 LB BULK MILK CHOC</v>
      </c>
      <c r="H543" s="26">
        <f>IFERROR(VLOOKUP(F543,Lists!$C:$F,4,0),0)</f>
        <v>1.9508160000000001</v>
      </c>
      <c r="I543" s="7">
        <f t="shared" si="65"/>
        <v>10042</v>
      </c>
      <c r="J543" s="6">
        <f>400*25</f>
        <v>10000</v>
      </c>
      <c r="K543" s="33">
        <v>42</v>
      </c>
      <c r="L543" s="5">
        <f t="shared" si="68"/>
        <v>4.1999999999999997E-3</v>
      </c>
      <c r="M543" s="26">
        <f t="shared" si="69"/>
        <v>81.934272000000007</v>
      </c>
    </row>
    <row r="544" spans="1:13" x14ac:dyDescent="0.25">
      <c r="A544" s="16" t="s">
        <v>247</v>
      </c>
      <c r="B544" s="31">
        <v>43906</v>
      </c>
      <c r="C544" s="32" t="s">
        <v>25</v>
      </c>
      <c r="D544" s="9" t="str">
        <f t="shared" si="67"/>
        <v>43906 - 1S</v>
      </c>
      <c r="E544" s="32" t="s">
        <v>13</v>
      </c>
      <c r="F544" s="46">
        <v>8000055</v>
      </c>
      <c r="G544" s="4" t="str">
        <f>IFERROR(VLOOKUP(F544,Lists!$C:$D,2,0), "N/A")</f>
        <v>916.BF FLIPZ 25 LB BULK MILK CHOC</v>
      </c>
      <c r="H544" s="26">
        <f>IFERROR(VLOOKUP(F544,Lists!$C:$F,4,0),0)</f>
        <v>1.9508160000000001</v>
      </c>
      <c r="I544" s="7">
        <f t="shared" si="65"/>
        <v>665</v>
      </c>
      <c r="J544" s="6">
        <f>26*25</f>
        <v>650</v>
      </c>
      <c r="K544" s="33">
        <v>15</v>
      </c>
      <c r="L544" s="5">
        <f t="shared" si="68"/>
        <v>2.3076923076923078E-2</v>
      </c>
      <c r="M544" s="26">
        <f t="shared" si="69"/>
        <v>29.262240000000002</v>
      </c>
    </row>
    <row r="545" spans="1:13" x14ac:dyDescent="0.25">
      <c r="A545" s="16" t="s">
        <v>247</v>
      </c>
      <c r="B545" s="31">
        <v>43906</v>
      </c>
      <c r="C545" s="32" t="s">
        <v>25</v>
      </c>
      <c r="D545" s="9" t="str">
        <f t="shared" si="67"/>
        <v>43906 - 1S</v>
      </c>
      <c r="E545" s="32" t="s">
        <v>15</v>
      </c>
      <c r="G545" s="4" t="str">
        <f>IFERROR(VLOOKUP(F545,Lists!$C:$D,2,0), "N/A")</f>
        <v>N/A</v>
      </c>
      <c r="H545" s="26">
        <f>IFERROR(VLOOKUP(F545,Lists!$C:$F,4,0),0)</f>
        <v>0</v>
      </c>
      <c r="I545" s="7">
        <f t="shared" si="65"/>
        <v>20</v>
      </c>
      <c r="K545" s="33">
        <v>20</v>
      </c>
      <c r="L545" s="5">
        <f t="shared" si="68"/>
        <v>1</v>
      </c>
      <c r="M545" s="26">
        <f t="shared" si="69"/>
        <v>0</v>
      </c>
    </row>
    <row r="546" spans="1:13" x14ac:dyDescent="0.25">
      <c r="A546" s="16" t="s">
        <v>247</v>
      </c>
      <c r="B546" s="31">
        <v>43906</v>
      </c>
      <c r="C546" s="32" t="s">
        <v>26</v>
      </c>
      <c r="D546" s="9" t="str">
        <f t="shared" si="67"/>
        <v>43906 - 2S</v>
      </c>
      <c r="E546" s="32" t="s">
        <v>9</v>
      </c>
      <c r="F546" s="2">
        <v>8000046</v>
      </c>
      <c r="G546" s="4" t="str">
        <f>IFERROR(VLOOKUP(F546,Lists!$C:$D,2,0), "N/A")</f>
        <v>TURTLES MC SEA SALT PECAN</v>
      </c>
      <c r="H546" s="26">
        <f>IFERROR(VLOOKUP(F546,Lists!$C:$F,4,0),0)</f>
        <v>1.9184100000000002</v>
      </c>
      <c r="I546" s="7">
        <f t="shared" si="65"/>
        <v>6893.2</v>
      </c>
      <c r="J546" s="6">
        <v>6415.2</v>
      </c>
      <c r="K546" s="33">
        <v>478</v>
      </c>
      <c r="L546" s="5">
        <f t="shared" si="68"/>
        <v>7.4510537473500435E-2</v>
      </c>
      <c r="M546" s="26">
        <f t="shared" si="69"/>
        <v>916.99998000000005</v>
      </c>
    </row>
    <row r="547" spans="1:13" x14ac:dyDescent="0.25">
      <c r="A547" s="16" t="s">
        <v>247</v>
      </c>
      <c r="B547" s="31">
        <v>43906</v>
      </c>
      <c r="C547" s="32" t="s">
        <v>26</v>
      </c>
      <c r="D547" s="9" t="str">
        <f t="shared" si="67"/>
        <v>43906 - 2S</v>
      </c>
      <c r="E547" s="32" t="s">
        <v>12</v>
      </c>
      <c r="F547" s="2">
        <v>8000055</v>
      </c>
      <c r="G547" s="4" t="str">
        <f>IFERROR(VLOOKUP(F547,Lists!$C:$D,2,0), "N/A")</f>
        <v>916.BF FLIPZ 25 LB BULK MILK CHOC</v>
      </c>
      <c r="H547" s="26">
        <f>IFERROR(VLOOKUP(F547,Lists!$C:$F,4,0),0)</f>
        <v>1.9508160000000001</v>
      </c>
      <c r="I547" s="7">
        <f t="shared" si="65"/>
        <v>10014</v>
      </c>
      <c r="J547" s="6">
        <f>400*25</f>
        <v>10000</v>
      </c>
      <c r="K547" s="33">
        <v>14</v>
      </c>
      <c r="L547" s="5">
        <f t="shared" si="68"/>
        <v>1.4E-3</v>
      </c>
      <c r="M547" s="26">
        <f t="shared" si="69"/>
        <v>27.311424000000002</v>
      </c>
    </row>
    <row r="548" spans="1:13" x14ac:dyDescent="0.25">
      <c r="A548" s="16" t="s">
        <v>247</v>
      </c>
      <c r="B548" s="31">
        <v>43907</v>
      </c>
      <c r="C548" s="32" t="s">
        <v>24</v>
      </c>
      <c r="D548" s="9" t="str">
        <f t="shared" si="67"/>
        <v>43907 - 3S</v>
      </c>
      <c r="E548" s="32" t="s">
        <v>9</v>
      </c>
      <c r="F548" s="2">
        <v>8000046</v>
      </c>
      <c r="G548" s="4" t="str">
        <f>IFERROR(VLOOKUP(F548,Lists!$C:$D,2,0), "N/A")</f>
        <v>TURTLES MC SEA SALT PECAN</v>
      </c>
      <c r="H548" s="26">
        <f>IFERROR(VLOOKUP(F548,Lists!$C:$F,4,0),0)</f>
        <v>1.9184100000000002</v>
      </c>
      <c r="I548" s="7">
        <f t="shared" si="65"/>
        <v>8230.7999999999993</v>
      </c>
      <c r="J548" s="6">
        <v>7840.8</v>
      </c>
      <c r="K548" s="33">
        <v>390</v>
      </c>
      <c r="L548" s="5">
        <f t="shared" si="68"/>
        <v>4.9739822467095192E-2</v>
      </c>
      <c r="M548" s="26">
        <f t="shared" si="69"/>
        <v>748.17990000000009</v>
      </c>
    </row>
    <row r="549" spans="1:13" x14ac:dyDescent="0.25">
      <c r="A549" s="16" t="s">
        <v>247</v>
      </c>
      <c r="B549" s="31">
        <v>43907</v>
      </c>
      <c r="C549" s="32" t="s">
        <v>24</v>
      </c>
      <c r="D549" s="9" t="str">
        <f t="shared" si="67"/>
        <v>43907 - 3S</v>
      </c>
      <c r="E549" s="32" t="s">
        <v>13</v>
      </c>
      <c r="F549" s="46">
        <v>8000055</v>
      </c>
      <c r="G549" s="4" t="str">
        <f>IFERROR(VLOOKUP(F549,Lists!$C:$D,2,0), "N/A")</f>
        <v>916.BF FLIPZ 25 LB BULK MILK CHOC</v>
      </c>
      <c r="H549" s="26">
        <f>IFERROR(VLOOKUP(F549,Lists!$C:$F,4,0),0)</f>
        <v>1.9508160000000001</v>
      </c>
      <c r="I549" s="7">
        <f t="shared" si="65"/>
        <v>2003</v>
      </c>
      <c r="J549" s="6">
        <f>80*25</f>
        <v>2000</v>
      </c>
      <c r="K549" s="33">
        <v>3</v>
      </c>
      <c r="L549" s="5">
        <f t="shared" si="68"/>
        <v>1.5E-3</v>
      </c>
      <c r="M549" s="26">
        <f t="shared" si="69"/>
        <v>5.8524480000000008</v>
      </c>
    </row>
    <row r="550" spans="1:13" x14ac:dyDescent="0.25">
      <c r="A550" s="16" t="s">
        <v>247</v>
      </c>
      <c r="B550" s="31">
        <v>43907</v>
      </c>
      <c r="C550" s="32" t="s">
        <v>25</v>
      </c>
      <c r="D550" s="9" t="str">
        <f t="shared" si="67"/>
        <v>43907 - 1S</v>
      </c>
      <c r="E550" s="32" t="s">
        <v>9</v>
      </c>
      <c r="F550" s="2">
        <v>8000046</v>
      </c>
      <c r="G550" s="4" t="str">
        <f>IFERROR(VLOOKUP(F550,Lists!$C:$D,2,0), "N/A")</f>
        <v>TURTLES MC SEA SALT PECAN</v>
      </c>
      <c r="H550" s="26">
        <f>IFERROR(VLOOKUP(F550,Lists!$C:$F,4,0),0)</f>
        <v>1.9184100000000002</v>
      </c>
      <c r="I550" s="7">
        <f t="shared" si="65"/>
        <v>7785.92</v>
      </c>
      <c r="J550" s="6">
        <v>7333.92</v>
      </c>
      <c r="K550" s="33">
        <v>452</v>
      </c>
      <c r="L550" s="5">
        <f t="shared" si="68"/>
        <v>6.1631433121713895E-2</v>
      </c>
      <c r="M550" s="26">
        <f t="shared" si="69"/>
        <v>867.12132000000008</v>
      </c>
    </row>
    <row r="551" spans="1:13" x14ac:dyDescent="0.25">
      <c r="A551" s="16" t="s">
        <v>247</v>
      </c>
      <c r="B551" s="31">
        <v>43907</v>
      </c>
      <c r="C551" s="32" t="s">
        <v>25</v>
      </c>
      <c r="D551" s="9" t="str">
        <f t="shared" si="67"/>
        <v>43907 - 1S</v>
      </c>
      <c r="E551" s="32" t="s">
        <v>11</v>
      </c>
      <c r="F551" s="2">
        <v>8000034</v>
      </c>
      <c r="G551" s="4" t="str">
        <f>IFERROR(VLOOKUP(F551,Lists!$C:$D,2,0), "N/A")</f>
        <v>KS MILK CHOC MACADAMIA</v>
      </c>
      <c r="H551" s="26">
        <f>IFERROR(VLOOKUP(F551,Lists!$C:$F,4,0),0)</f>
        <v>3.8943099999999999</v>
      </c>
      <c r="I551" s="7">
        <f t="shared" si="65"/>
        <v>4827</v>
      </c>
      <c r="J551" s="6">
        <v>4800</v>
      </c>
      <c r="K551" s="33">
        <v>27</v>
      </c>
      <c r="L551" s="5">
        <f t="shared" si="68"/>
        <v>5.6249999999999998E-3</v>
      </c>
      <c r="M551" s="26">
        <f t="shared" si="69"/>
        <v>105.14637</v>
      </c>
    </row>
    <row r="552" spans="1:13" x14ac:dyDescent="0.25">
      <c r="A552" s="16" t="s">
        <v>247</v>
      </c>
      <c r="B552" s="31">
        <v>43907</v>
      </c>
      <c r="C552" s="32" t="s">
        <v>25</v>
      </c>
      <c r="D552" s="9" t="str">
        <f t="shared" si="67"/>
        <v>43907 - 1S</v>
      </c>
      <c r="E552" s="32" t="s">
        <v>12</v>
      </c>
      <c r="F552" s="2">
        <v>8000055</v>
      </c>
      <c r="G552" s="4" t="str">
        <f>IFERROR(VLOOKUP(F552,Lists!$C:$D,2,0), "N/A")</f>
        <v>916.BF FLIPZ 25 LB BULK MILK CHOC</v>
      </c>
      <c r="H552" s="26">
        <f>IFERROR(VLOOKUP(F552,Lists!$C:$F,4,0),0)</f>
        <v>1.9508160000000001</v>
      </c>
      <c r="I552" s="7">
        <f t="shared" si="65"/>
        <v>9005</v>
      </c>
      <c r="J552" s="6">
        <f>360*25</f>
        <v>9000</v>
      </c>
      <c r="K552" s="33">
        <v>5</v>
      </c>
      <c r="L552" s="5">
        <f t="shared" si="68"/>
        <v>5.5555555555555556E-4</v>
      </c>
      <c r="M552" s="26">
        <f t="shared" si="69"/>
        <v>9.7540800000000001</v>
      </c>
    </row>
    <row r="553" spans="1:13" x14ac:dyDescent="0.25">
      <c r="A553" s="16" t="s">
        <v>247</v>
      </c>
      <c r="B553" s="31">
        <v>43907</v>
      </c>
      <c r="C553" s="32" t="s">
        <v>25</v>
      </c>
      <c r="D553" s="9" t="str">
        <f t="shared" si="67"/>
        <v>43907 - 1S</v>
      </c>
      <c r="E553" s="32" t="s">
        <v>13</v>
      </c>
      <c r="F553" s="46">
        <v>8000055</v>
      </c>
      <c r="G553" s="4" t="str">
        <f>IFERROR(VLOOKUP(F553,Lists!$C:$D,2,0), "N/A")</f>
        <v>916.BF FLIPZ 25 LB BULK MILK CHOC</v>
      </c>
      <c r="H553" s="26">
        <f>IFERROR(VLOOKUP(F553,Lists!$C:$F,4,0),0)</f>
        <v>1.9508160000000001</v>
      </c>
      <c r="I553" s="7">
        <f t="shared" ref="I553:I619" si="70">J553+K553</f>
        <v>2029</v>
      </c>
      <c r="J553" s="6">
        <f>80*25</f>
        <v>2000</v>
      </c>
      <c r="K553" s="33">
        <v>29</v>
      </c>
      <c r="L553" s="5">
        <f t="shared" si="68"/>
        <v>1.4500000000000001E-2</v>
      </c>
      <c r="M553" s="26">
        <f t="shared" si="69"/>
        <v>56.573664000000001</v>
      </c>
    </row>
    <row r="554" spans="1:13" x14ac:dyDescent="0.25">
      <c r="A554" s="16" t="s">
        <v>247</v>
      </c>
      <c r="B554" s="31">
        <v>43907</v>
      </c>
      <c r="C554" s="32" t="s">
        <v>26</v>
      </c>
      <c r="D554" s="9" t="str">
        <f t="shared" si="67"/>
        <v>43907 - 2S</v>
      </c>
      <c r="E554" s="32" t="s">
        <v>9</v>
      </c>
      <c r="F554" s="2">
        <v>8000035</v>
      </c>
      <c r="G554" s="4" t="str">
        <f>IFERROR(VLOOKUP(F554,Lists!$C:$D,2,0), "N/A")</f>
        <v>TURTLES MILK CHOC ORIGINAL</v>
      </c>
      <c r="H554" s="26">
        <f>IFERROR(VLOOKUP(F554,Lists!$C:$F,4,0),0)</f>
        <v>1.91178</v>
      </c>
      <c r="I554" s="7">
        <f t="shared" si="70"/>
        <v>6684.2</v>
      </c>
      <c r="J554" s="6">
        <v>6415.2</v>
      </c>
      <c r="K554" s="33">
        <v>269</v>
      </c>
      <c r="L554" s="5">
        <f t="shared" si="68"/>
        <v>4.1931662302032671E-2</v>
      </c>
      <c r="M554" s="26">
        <f t="shared" si="69"/>
        <v>514.26882000000001</v>
      </c>
    </row>
    <row r="555" spans="1:13" x14ac:dyDescent="0.25">
      <c r="A555" s="16" t="s">
        <v>247</v>
      </c>
      <c r="B555" s="31">
        <v>43907</v>
      </c>
      <c r="C555" s="32" t="s">
        <v>26</v>
      </c>
      <c r="D555" s="9" t="str">
        <f t="shared" si="67"/>
        <v>43907 - 2S</v>
      </c>
      <c r="E555" s="32" t="s">
        <v>11</v>
      </c>
      <c r="F555" s="2">
        <v>8000034</v>
      </c>
      <c r="G555" s="4" t="str">
        <f>IFERROR(VLOOKUP(F555,Lists!$C:$D,2,0), "N/A")</f>
        <v>KS MILK CHOC MACADAMIA</v>
      </c>
      <c r="H555" s="26">
        <f>IFERROR(VLOOKUP(F555,Lists!$C:$F,4,0),0)</f>
        <v>3.8943099999999999</v>
      </c>
      <c r="I555" s="7">
        <f t="shared" si="70"/>
        <v>5612</v>
      </c>
      <c r="J555" s="6">
        <v>5600</v>
      </c>
      <c r="K555" s="33">
        <v>12</v>
      </c>
      <c r="L555" s="5">
        <f t="shared" si="68"/>
        <v>2.142857142857143E-3</v>
      </c>
      <c r="M555" s="26">
        <f t="shared" si="69"/>
        <v>46.731719999999996</v>
      </c>
    </row>
    <row r="556" spans="1:13" x14ac:dyDescent="0.25">
      <c r="A556" s="16" t="s">
        <v>247</v>
      </c>
      <c r="B556" s="31">
        <v>43907</v>
      </c>
      <c r="C556" s="32" t="s">
        <v>26</v>
      </c>
      <c r="D556" s="9" t="str">
        <f t="shared" si="67"/>
        <v>43907 - 2S</v>
      </c>
      <c r="E556" s="32" t="s">
        <v>12</v>
      </c>
      <c r="F556" s="2">
        <v>8000055</v>
      </c>
      <c r="G556" s="4" t="str">
        <f>IFERROR(VLOOKUP(F556,Lists!$C:$D,2,0), "N/A")</f>
        <v>916.BF FLIPZ 25 LB BULK MILK CHOC</v>
      </c>
      <c r="H556" s="26">
        <f>IFERROR(VLOOKUP(F556,Lists!$C:$F,4,0),0)</f>
        <v>1.9508160000000001</v>
      </c>
      <c r="I556" s="7">
        <f t="shared" si="70"/>
        <v>12016</v>
      </c>
      <c r="J556" s="6">
        <f>480*25</f>
        <v>12000</v>
      </c>
      <c r="K556" s="33">
        <v>16</v>
      </c>
      <c r="L556" s="5">
        <f t="shared" si="68"/>
        <v>1.3333333333333333E-3</v>
      </c>
      <c r="M556" s="26">
        <f t="shared" si="69"/>
        <v>31.213056000000002</v>
      </c>
    </row>
    <row r="557" spans="1:13" x14ac:dyDescent="0.25">
      <c r="A557" s="16" t="s">
        <v>247</v>
      </c>
      <c r="B557" s="31">
        <v>43907</v>
      </c>
      <c r="C557" s="32" t="s">
        <v>26</v>
      </c>
      <c r="D557" s="9" t="str">
        <f t="shared" si="67"/>
        <v>43907 - 2S</v>
      </c>
      <c r="E557" s="32" t="s">
        <v>13</v>
      </c>
      <c r="F557" s="46">
        <v>8000055</v>
      </c>
      <c r="G557" s="4" t="str">
        <f>IFERROR(VLOOKUP(F557,Lists!$C:$D,2,0), "N/A")</f>
        <v>916.BF FLIPZ 25 LB BULK MILK CHOC</v>
      </c>
      <c r="H557" s="26">
        <f>IFERROR(VLOOKUP(F557,Lists!$C:$F,4,0),0)</f>
        <v>1.9508160000000001</v>
      </c>
      <c r="I557" s="7">
        <f t="shared" si="70"/>
        <v>2010</v>
      </c>
      <c r="J557" s="6">
        <f>80*25</f>
        <v>2000</v>
      </c>
      <c r="K557" s="33">
        <v>10</v>
      </c>
      <c r="L557" s="5">
        <f t="shared" si="68"/>
        <v>5.0000000000000001E-3</v>
      </c>
      <c r="M557" s="26">
        <f t="shared" si="69"/>
        <v>19.50816</v>
      </c>
    </row>
    <row r="558" spans="1:13" x14ac:dyDescent="0.25">
      <c r="A558" s="16" t="s">
        <v>247</v>
      </c>
      <c r="B558" s="31">
        <v>43907</v>
      </c>
      <c r="C558" s="32" t="s">
        <v>26</v>
      </c>
      <c r="D558" s="9" t="str">
        <f t="shared" si="67"/>
        <v>43907 - 2S</v>
      </c>
      <c r="E558" s="32" t="s">
        <v>15</v>
      </c>
      <c r="G558" s="4" t="str">
        <f>IFERROR(VLOOKUP(F558,Lists!$C:$D,2,0), "N/A")</f>
        <v>N/A</v>
      </c>
      <c r="H558" s="26">
        <f>IFERROR(VLOOKUP(F558,Lists!$C:$F,4,0),0)</f>
        <v>0</v>
      </c>
      <c r="I558" s="7">
        <f t="shared" si="70"/>
        <v>5</v>
      </c>
      <c r="K558" s="33">
        <v>5</v>
      </c>
      <c r="L558" s="5">
        <f t="shared" si="68"/>
        <v>1</v>
      </c>
      <c r="M558" s="26">
        <f t="shared" si="69"/>
        <v>0</v>
      </c>
    </row>
    <row r="559" spans="1:13" x14ac:dyDescent="0.25">
      <c r="A559" s="16" t="str">
        <f t="shared" ref="A559:A624" si="71">TEXT(B559,"mmmm")</f>
        <v>March</v>
      </c>
      <c r="B559" s="31">
        <v>43908</v>
      </c>
      <c r="C559" s="32" t="s">
        <v>24</v>
      </c>
      <c r="D559" s="9" t="str">
        <f t="shared" si="67"/>
        <v>43908 - 3S</v>
      </c>
      <c r="E559" s="32" t="s">
        <v>9</v>
      </c>
      <c r="F559" s="2">
        <v>8000035</v>
      </c>
      <c r="G559" s="4" t="str">
        <f>IFERROR(VLOOKUP(F559,Lists!$C:$D,2,0), "N/A")</f>
        <v>TURTLES MILK CHOC ORIGINAL</v>
      </c>
      <c r="H559" s="26">
        <f>IFERROR(VLOOKUP(F559,Lists!$C:$F,4,0),0)</f>
        <v>1.91178</v>
      </c>
      <c r="I559" s="7">
        <f t="shared" si="70"/>
        <v>8071.8</v>
      </c>
      <c r="J559" s="6">
        <v>7840.8</v>
      </c>
      <c r="K559" s="33">
        <v>231</v>
      </c>
      <c r="L559" s="5">
        <f t="shared" si="68"/>
        <v>2.9461279461279459E-2</v>
      </c>
      <c r="M559" s="26">
        <f t="shared" si="69"/>
        <v>441.62117999999998</v>
      </c>
    </row>
    <row r="560" spans="1:13" x14ac:dyDescent="0.25">
      <c r="A560" s="16" t="str">
        <f t="shared" si="71"/>
        <v>March</v>
      </c>
      <c r="B560" s="31">
        <v>43908</v>
      </c>
      <c r="C560" s="32" t="s">
        <v>24</v>
      </c>
      <c r="D560" s="9" t="str">
        <f t="shared" si="67"/>
        <v>43908 - 3S</v>
      </c>
      <c r="E560" s="32" t="s">
        <v>11</v>
      </c>
      <c r="F560" s="2">
        <v>8000034</v>
      </c>
      <c r="G560" s="4" t="str">
        <f>IFERROR(VLOOKUP(F560,Lists!$C:$D,2,0), "N/A")</f>
        <v>KS MILK CHOC MACADAMIA</v>
      </c>
      <c r="H560" s="26">
        <f>IFERROR(VLOOKUP(F560,Lists!$C:$F,4,0),0)</f>
        <v>3.8943099999999999</v>
      </c>
      <c r="I560" s="7">
        <f t="shared" si="70"/>
        <v>5703</v>
      </c>
      <c r="J560" s="6">
        <v>5600</v>
      </c>
      <c r="K560" s="33">
        <v>103</v>
      </c>
      <c r="L560" s="5">
        <f t="shared" si="68"/>
        <v>1.8392857142857141E-2</v>
      </c>
      <c r="M560" s="26">
        <f t="shared" si="69"/>
        <v>401.11392999999998</v>
      </c>
    </row>
    <row r="561" spans="1:13" x14ac:dyDescent="0.25">
      <c r="A561" s="16" t="str">
        <f t="shared" si="71"/>
        <v>March</v>
      </c>
      <c r="B561" s="31">
        <v>43908</v>
      </c>
      <c r="C561" s="32" t="s">
        <v>25</v>
      </c>
      <c r="D561" s="9" t="str">
        <f t="shared" si="67"/>
        <v>43908 - 1S</v>
      </c>
      <c r="E561" s="32" t="s">
        <v>9</v>
      </c>
      <c r="F561" s="2">
        <v>8000035</v>
      </c>
      <c r="G561" s="4" t="str">
        <f>IFERROR(VLOOKUP(F561,Lists!$C:$D,2,0), "N/A")</f>
        <v>TURTLES MILK CHOC ORIGINAL</v>
      </c>
      <c r="H561" s="26">
        <f>IFERROR(VLOOKUP(F561,Lists!$C:$F,4,0),0)</f>
        <v>1.91178</v>
      </c>
      <c r="I561" s="7">
        <f t="shared" si="70"/>
        <v>10545.2</v>
      </c>
      <c r="J561" s="6">
        <v>10243.200000000001</v>
      </c>
      <c r="K561" s="33">
        <v>302</v>
      </c>
      <c r="L561" s="5">
        <f t="shared" si="68"/>
        <v>2.9482974070602935E-2</v>
      </c>
      <c r="M561" s="26">
        <f t="shared" si="69"/>
        <v>577.35756000000003</v>
      </c>
    </row>
    <row r="562" spans="1:13" x14ac:dyDescent="0.25">
      <c r="A562" s="16" t="str">
        <f t="shared" si="71"/>
        <v>March</v>
      </c>
      <c r="B562" s="31">
        <v>43908</v>
      </c>
      <c r="C562" s="32" t="s">
        <v>25</v>
      </c>
      <c r="D562" s="9" t="str">
        <f t="shared" si="67"/>
        <v>43908 - 1S</v>
      </c>
      <c r="E562" s="32" t="s">
        <v>11</v>
      </c>
      <c r="F562" s="2">
        <v>8000034</v>
      </c>
      <c r="G562" s="4" t="str">
        <f>IFERROR(VLOOKUP(F562,Lists!$C:$D,2,0), "N/A")</f>
        <v>KS MILK CHOC MACADAMIA</v>
      </c>
      <c r="H562" s="26">
        <f>IFERROR(VLOOKUP(F562,Lists!$C:$F,4,0),0)</f>
        <v>3.8943099999999999</v>
      </c>
      <c r="I562" s="7">
        <f t="shared" si="70"/>
        <v>7298</v>
      </c>
      <c r="J562" s="6">
        <v>7200</v>
      </c>
      <c r="K562" s="33">
        <v>98</v>
      </c>
      <c r="L562" s="5">
        <f t="shared" si="68"/>
        <v>1.361111111111111E-2</v>
      </c>
      <c r="M562" s="26">
        <f t="shared" si="69"/>
        <v>381.64238</v>
      </c>
    </row>
    <row r="563" spans="1:13" x14ac:dyDescent="0.25">
      <c r="A563" s="16" t="str">
        <f t="shared" si="71"/>
        <v>March</v>
      </c>
      <c r="B563" s="31">
        <v>43908</v>
      </c>
      <c r="C563" s="32" t="s">
        <v>25</v>
      </c>
      <c r="D563" s="9" t="str">
        <f t="shared" si="67"/>
        <v>43908 - 1S</v>
      </c>
      <c r="E563" s="32" t="s">
        <v>12</v>
      </c>
      <c r="F563" s="2">
        <v>8000055</v>
      </c>
      <c r="G563" s="4" t="str">
        <f>IFERROR(VLOOKUP(F563,Lists!$C:$D,2,0), "N/A")</f>
        <v>916.BF FLIPZ 25 LB BULK MILK CHOC</v>
      </c>
      <c r="H563" s="26">
        <f>IFERROR(VLOOKUP(F563,Lists!$C:$F,4,0),0)</f>
        <v>1.9508160000000001</v>
      </c>
      <c r="I563" s="7">
        <f t="shared" si="70"/>
        <v>8007</v>
      </c>
      <c r="J563" s="6">
        <f>320*25</f>
        <v>8000</v>
      </c>
      <c r="K563" s="33">
        <v>7</v>
      </c>
      <c r="L563" s="5">
        <f t="shared" si="68"/>
        <v>8.7500000000000002E-4</v>
      </c>
      <c r="M563" s="26">
        <f t="shared" si="69"/>
        <v>13.655712000000001</v>
      </c>
    </row>
    <row r="564" spans="1:13" x14ac:dyDescent="0.25">
      <c r="A564" s="16" t="str">
        <f t="shared" si="71"/>
        <v>March</v>
      </c>
      <c r="B564" s="31">
        <v>43908</v>
      </c>
      <c r="C564" s="32" t="s">
        <v>25</v>
      </c>
      <c r="D564" s="9" t="str">
        <f t="shared" si="67"/>
        <v>43908 - 1S</v>
      </c>
      <c r="E564" s="32" t="s">
        <v>15</v>
      </c>
      <c r="G564" s="4" t="str">
        <f>IFERROR(VLOOKUP(F564,Lists!$C:$D,2,0), "N/A")</f>
        <v>N/A</v>
      </c>
      <c r="H564" s="26">
        <f>IFERROR(VLOOKUP(F564,Lists!$C:$F,4,0),0)</f>
        <v>0</v>
      </c>
      <c r="I564" s="7">
        <f t="shared" si="70"/>
        <v>12</v>
      </c>
      <c r="K564" s="33">
        <v>12</v>
      </c>
      <c r="L564" s="5">
        <f t="shared" si="68"/>
        <v>1</v>
      </c>
      <c r="M564" s="26">
        <f t="shared" si="69"/>
        <v>0</v>
      </c>
    </row>
    <row r="565" spans="1:13" x14ac:dyDescent="0.25">
      <c r="A565" s="16" t="str">
        <f t="shared" si="71"/>
        <v>March</v>
      </c>
      <c r="B565" s="31">
        <v>43908</v>
      </c>
      <c r="C565" s="32" t="s">
        <v>26</v>
      </c>
      <c r="D565" s="9" t="str">
        <f t="shared" si="67"/>
        <v>43908 - 2S</v>
      </c>
      <c r="E565" s="32" t="s">
        <v>9</v>
      </c>
      <c r="F565" s="2">
        <v>8000035</v>
      </c>
      <c r="G565" s="4" t="str">
        <f>IFERROR(VLOOKUP(F565,Lists!$C:$D,2,0), "N/A")</f>
        <v>TURTLES MILK CHOC ORIGINAL</v>
      </c>
      <c r="H565" s="26">
        <f>IFERROR(VLOOKUP(F565,Lists!$C:$F,4,0),0)</f>
        <v>1.91178</v>
      </c>
      <c r="I565" s="7">
        <f t="shared" si="70"/>
        <v>9786.7999999999993</v>
      </c>
      <c r="J565" s="6">
        <v>9380.7999999999993</v>
      </c>
      <c r="K565" s="33">
        <v>406</v>
      </c>
      <c r="L565" s="5">
        <f t="shared" si="68"/>
        <v>4.3279890840866454E-2</v>
      </c>
      <c r="M565" s="26">
        <f t="shared" si="69"/>
        <v>776.18268</v>
      </c>
    </row>
    <row r="566" spans="1:13" x14ac:dyDescent="0.25">
      <c r="A566" s="16" t="str">
        <f t="shared" si="71"/>
        <v>March</v>
      </c>
      <c r="B566" s="31">
        <v>43908</v>
      </c>
      <c r="C566" s="32" t="s">
        <v>26</v>
      </c>
      <c r="D566" s="9" t="str">
        <f t="shared" si="67"/>
        <v>43908 - 2S</v>
      </c>
      <c r="E566" s="32" t="s">
        <v>11</v>
      </c>
      <c r="F566" s="2">
        <v>8000034</v>
      </c>
      <c r="G566" s="4" t="str">
        <f>IFERROR(VLOOKUP(F566,Lists!$C:$D,2,0), "N/A")</f>
        <v>KS MILK CHOC MACADAMIA</v>
      </c>
      <c r="H566" s="26">
        <f>IFERROR(VLOOKUP(F566,Lists!$C:$F,4,0),0)</f>
        <v>3.8943099999999999</v>
      </c>
      <c r="I566" s="7">
        <f t="shared" si="70"/>
        <v>6477</v>
      </c>
      <c r="J566" s="6">
        <v>6400</v>
      </c>
      <c r="K566" s="33">
        <v>77</v>
      </c>
      <c r="L566" s="5">
        <f t="shared" si="68"/>
        <v>1.203125E-2</v>
      </c>
      <c r="M566" s="26">
        <f t="shared" si="69"/>
        <v>299.86187000000001</v>
      </c>
    </row>
    <row r="567" spans="1:13" x14ac:dyDescent="0.25">
      <c r="A567" s="16" t="str">
        <f t="shared" si="71"/>
        <v>March</v>
      </c>
      <c r="B567" s="31">
        <v>43908</v>
      </c>
      <c r="C567" s="32" t="s">
        <v>26</v>
      </c>
      <c r="D567" s="9" t="str">
        <f t="shared" si="67"/>
        <v>43908 - 2S</v>
      </c>
      <c r="E567" s="32" t="s">
        <v>12</v>
      </c>
      <c r="F567" s="2">
        <v>8000055</v>
      </c>
      <c r="G567" s="4" t="str">
        <f>IFERROR(VLOOKUP(F567,Lists!$C:$D,2,0), "N/A")</f>
        <v>916.BF FLIPZ 25 LB BULK MILK CHOC</v>
      </c>
      <c r="H567" s="26">
        <f>IFERROR(VLOOKUP(F567,Lists!$C:$F,4,0),0)</f>
        <v>1.9508160000000001</v>
      </c>
      <c r="I567" s="7">
        <f t="shared" si="70"/>
        <v>9012</v>
      </c>
      <c r="J567" s="6">
        <f>360*25</f>
        <v>9000</v>
      </c>
      <c r="K567" s="33">
        <v>12</v>
      </c>
      <c r="L567" s="5">
        <f t="shared" si="68"/>
        <v>1.3333333333333333E-3</v>
      </c>
      <c r="M567" s="26">
        <f t="shared" si="69"/>
        <v>23.409792000000003</v>
      </c>
    </row>
    <row r="568" spans="1:13" x14ac:dyDescent="0.25">
      <c r="A568" s="16" t="str">
        <f t="shared" si="71"/>
        <v>March</v>
      </c>
      <c r="B568" s="31">
        <v>43908</v>
      </c>
      <c r="C568" s="32" t="s">
        <v>26</v>
      </c>
      <c r="D568" s="9" t="str">
        <f t="shared" si="67"/>
        <v>43908 - 2S</v>
      </c>
      <c r="E568" s="32" t="s">
        <v>15</v>
      </c>
      <c r="G568" s="4" t="str">
        <f>IFERROR(VLOOKUP(F568,Lists!$C:$D,2,0), "N/A")</f>
        <v>N/A</v>
      </c>
      <c r="H568" s="26">
        <f>IFERROR(VLOOKUP(F568,Lists!$C:$F,4,0),0)</f>
        <v>0</v>
      </c>
      <c r="I568" s="7">
        <f t="shared" si="70"/>
        <v>30</v>
      </c>
      <c r="K568" s="33">
        <v>30</v>
      </c>
      <c r="L568" s="5">
        <f t="shared" si="68"/>
        <v>1</v>
      </c>
      <c r="M568" s="26">
        <f t="shared" si="69"/>
        <v>0</v>
      </c>
    </row>
    <row r="569" spans="1:13" x14ac:dyDescent="0.25">
      <c r="A569" s="16" t="str">
        <f t="shared" si="71"/>
        <v>March</v>
      </c>
      <c r="B569" s="31">
        <v>43909</v>
      </c>
      <c r="C569" s="32" t="s">
        <v>24</v>
      </c>
      <c r="D569" s="9" t="str">
        <f t="shared" si="67"/>
        <v>43909 - 3S</v>
      </c>
      <c r="E569" s="32" t="s">
        <v>9</v>
      </c>
      <c r="F569" s="2">
        <v>8000035</v>
      </c>
      <c r="G569" s="4" t="str">
        <f>IFERROR(VLOOKUP(F569,Lists!$C:$D,2,0), "N/A")</f>
        <v>TURTLES MILK CHOC ORIGINAL</v>
      </c>
      <c r="H569" s="26">
        <f>IFERROR(VLOOKUP(F569,Lists!$C:$F,4,0),0)</f>
        <v>1.91178</v>
      </c>
      <c r="I569" s="7">
        <f t="shared" si="70"/>
        <v>9742.7999999999993</v>
      </c>
      <c r="J569" s="6">
        <v>9380.7999999999993</v>
      </c>
      <c r="K569" s="33">
        <v>362</v>
      </c>
      <c r="L569" s="5">
        <f t="shared" si="68"/>
        <v>3.8589459321166641E-2</v>
      </c>
      <c r="M569" s="26">
        <f t="shared" si="69"/>
        <v>692.06435999999997</v>
      </c>
    </row>
    <row r="570" spans="1:13" x14ac:dyDescent="0.25">
      <c r="A570" s="16" t="str">
        <f t="shared" si="71"/>
        <v>March</v>
      </c>
      <c r="B570" s="31">
        <v>43909</v>
      </c>
      <c r="C570" s="32" t="s">
        <v>24</v>
      </c>
      <c r="D570" s="9" t="str">
        <f t="shared" si="67"/>
        <v>43909 - 3S</v>
      </c>
      <c r="E570" s="32" t="s">
        <v>11</v>
      </c>
      <c r="F570" s="2">
        <v>8000034</v>
      </c>
      <c r="G570" s="4" t="str">
        <f>IFERROR(VLOOKUP(F570,Lists!$C:$D,2,0), "N/A")</f>
        <v>KS MILK CHOC MACADAMIA</v>
      </c>
      <c r="H570" s="26">
        <f>IFERROR(VLOOKUP(F570,Lists!$C:$F,4,0),0)</f>
        <v>3.8943099999999999</v>
      </c>
      <c r="I570" s="7">
        <f t="shared" si="70"/>
        <v>6546</v>
      </c>
      <c r="J570" s="6">
        <v>6400</v>
      </c>
      <c r="K570" s="33">
        <v>146</v>
      </c>
      <c r="L570" s="5">
        <f t="shared" si="68"/>
        <v>2.2812499999999999E-2</v>
      </c>
      <c r="M570" s="26">
        <f t="shared" si="69"/>
        <v>568.56925999999999</v>
      </c>
    </row>
    <row r="571" spans="1:13" x14ac:dyDescent="0.25">
      <c r="A571" s="16" t="str">
        <f t="shared" si="71"/>
        <v>March</v>
      </c>
      <c r="B571" s="31">
        <v>43909</v>
      </c>
      <c r="C571" s="32" t="s">
        <v>25</v>
      </c>
      <c r="D571" s="9" t="str">
        <f t="shared" si="67"/>
        <v>43909 - 1S</v>
      </c>
      <c r="E571" s="32" t="s">
        <v>9</v>
      </c>
      <c r="F571" s="2">
        <v>8000035</v>
      </c>
      <c r="G571" s="4" t="str">
        <f>IFERROR(VLOOKUP(F571,Lists!$C:$D,2,0), "N/A")</f>
        <v>TURTLES MILK CHOC ORIGINAL</v>
      </c>
      <c r="H571" s="26">
        <f>IFERROR(VLOOKUP(F571,Lists!$C:$F,4,0),0)</f>
        <v>1.91178</v>
      </c>
      <c r="I571" s="7">
        <f t="shared" si="70"/>
        <v>11172.4</v>
      </c>
      <c r="J571" s="6">
        <v>10806.4</v>
      </c>
      <c r="K571" s="33">
        <v>366</v>
      </c>
      <c r="L571" s="5">
        <f t="shared" si="68"/>
        <v>3.3868818477939003E-2</v>
      </c>
      <c r="M571" s="26">
        <f t="shared" si="69"/>
        <v>699.71148000000005</v>
      </c>
    </row>
    <row r="572" spans="1:13" x14ac:dyDescent="0.25">
      <c r="A572" s="16" t="str">
        <f t="shared" si="71"/>
        <v>March</v>
      </c>
      <c r="B572" s="31">
        <v>43909</v>
      </c>
      <c r="C572" s="32" t="s">
        <v>25</v>
      </c>
      <c r="D572" s="9" t="str">
        <f t="shared" si="67"/>
        <v>43909 - 1S</v>
      </c>
      <c r="E572" s="32" t="s">
        <v>11</v>
      </c>
      <c r="F572" s="2">
        <v>8000034</v>
      </c>
      <c r="G572" s="4" t="str">
        <f>IFERROR(VLOOKUP(F572,Lists!$C:$D,2,0), "N/A")</f>
        <v>KS MILK CHOC MACADAMIA</v>
      </c>
      <c r="H572" s="26">
        <f>IFERROR(VLOOKUP(F572,Lists!$C:$F,4,0),0)</f>
        <v>3.8943099999999999</v>
      </c>
      <c r="I572" s="7">
        <f t="shared" si="70"/>
        <v>8928</v>
      </c>
      <c r="J572" s="6">
        <v>8800</v>
      </c>
      <c r="K572" s="33">
        <v>128</v>
      </c>
      <c r="L572" s="5">
        <f t="shared" si="68"/>
        <v>1.4545454545454545E-2</v>
      </c>
      <c r="M572" s="26">
        <f t="shared" si="69"/>
        <v>498.47167999999999</v>
      </c>
    </row>
    <row r="573" spans="1:13" x14ac:dyDescent="0.25">
      <c r="A573" s="16" t="str">
        <f t="shared" si="71"/>
        <v>March</v>
      </c>
      <c r="B573" s="31">
        <v>43909</v>
      </c>
      <c r="C573" s="32" t="s">
        <v>25</v>
      </c>
      <c r="D573" s="9" t="str">
        <f t="shared" si="67"/>
        <v>43909 - 1S</v>
      </c>
      <c r="E573" s="32" t="s">
        <v>12</v>
      </c>
      <c r="F573" s="2">
        <v>8000055</v>
      </c>
      <c r="G573" s="4" t="str">
        <f>IFERROR(VLOOKUP(F573,Lists!$C:$D,2,0), "N/A")</f>
        <v>916.BF FLIPZ 25 LB BULK MILK CHOC</v>
      </c>
      <c r="H573" s="26">
        <f>IFERROR(VLOOKUP(F573,Lists!$C:$F,4,0),0)</f>
        <v>1.9508160000000001</v>
      </c>
      <c r="I573" s="7">
        <f t="shared" si="70"/>
        <v>6021</v>
      </c>
      <c r="J573" s="6">
        <f>240*25</f>
        <v>6000</v>
      </c>
      <c r="K573" s="33">
        <v>21</v>
      </c>
      <c r="L573" s="5">
        <f t="shared" si="68"/>
        <v>3.5000000000000001E-3</v>
      </c>
      <c r="M573" s="26">
        <f t="shared" si="69"/>
        <v>40.967136000000004</v>
      </c>
    </row>
    <row r="574" spans="1:13" x14ac:dyDescent="0.25">
      <c r="A574" s="16" t="str">
        <f t="shared" si="71"/>
        <v>March</v>
      </c>
      <c r="B574" s="31">
        <v>43909</v>
      </c>
      <c r="C574" s="32" t="s">
        <v>26</v>
      </c>
      <c r="D574" s="9" t="str">
        <f t="shared" si="67"/>
        <v>43909 - 2S</v>
      </c>
      <c r="E574" s="32" t="s">
        <v>9</v>
      </c>
      <c r="F574" s="2">
        <v>8000035</v>
      </c>
      <c r="G574" s="4" t="str">
        <f>IFERROR(VLOOKUP(F574,Lists!$C:$D,2,0), "N/A")</f>
        <v>TURTLES MILK CHOC ORIGINAL</v>
      </c>
      <c r="H574" s="26">
        <f>IFERROR(VLOOKUP(F574,Lists!$C:$F,4,0),0)</f>
        <v>1.91178</v>
      </c>
      <c r="I574" s="7">
        <f t="shared" si="70"/>
        <v>9801.7999999999993</v>
      </c>
      <c r="J574" s="6">
        <v>9380.7999999999993</v>
      </c>
      <c r="K574" s="33">
        <v>421</v>
      </c>
      <c r="L574" s="5">
        <f t="shared" si="68"/>
        <v>4.4878901586218663E-2</v>
      </c>
      <c r="M574" s="26">
        <f t="shared" si="69"/>
        <v>804.85937999999999</v>
      </c>
    </row>
    <row r="575" spans="1:13" x14ac:dyDescent="0.25">
      <c r="A575" s="16" t="str">
        <f t="shared" si="71"/>
        <v>March</v>
      </c>
      <c r="B575" s="31">
        <v>43909</v>
      </c>
      <c r="C575" s="32" t="s">
        <v>26</v>
      </c>
      <c r="D575" s="9" t="str">
        <f t="shared" si="67"/>
        <v>43909 - 2S</v>
      </c>
      <c r="E575" s="32" t="s">
        <v>11</v>
      </c>
      <c r="F575" s="2">
        <v>8000034</v>
      </c>
      <c r="G575" s="4" t="str">
        <f>IFERROR(VLOOKUP(F575,Lists!$C:$D,2,0), "N/A")</f>
        <v>KS MILK CHOC MACADAMIA</v>
      </c>
      <c r="H575" s="26">
        <f>IFERROR(VLOOKUP(F575,Lists!$C:$F,4,0),0)</f>
        <v>3.8943099999999999</v>
      </c>
      <c r="I575" s="7">
        <f t="shared" si="70"/>
        <v>8030</v>
      </c>
      <c r="J575" s="6">
        <v>8000</v>
      </c>
      <c r="K575" s="33">
        <v>30</v>
      </c>
      <c r="L575" s="5">
        <f t="shared" si="68"/>
        <v>3.7499999999999999E-3</v>
      </c>
      <c r="M575" s="26">
        <f t="shared" si="69"/>
        <v>116.8293</v>
      </c>
    </row>
    <row r="576" spans="1:13" x14ac:dyDescent="0.25">
      <c r="A576" s="16" t="str">
        <f t="shared" si="71"/>
        <v>March</v>
      </c>
      <c r="B576" s="31">
        <v>43909</v>
      </c>
      <c r="C576" s="32" t="s">
        <v>26</v>
      </c>
      <c r="D576" s="9" t="str">
        <f t="shared" si="67"/>
        <v>43909 - 2S</v>
      </c>
      <c r="E576" s="32" t="s">
        <v>12</v>
      </c>
      <c r="F576" s="2">
        <v>8000055</v>
      </c>
      <c r="G576" s="4" t="str">
        <f>IFERROR(VLOOKUP(F576,Lists!$C:$D,2,0), "N/A")</f>
        <v>916.BF FLIPZ 25 LB BULK MILK CHOC</v>
      </c>
      <c r="H576" s="26">
        <f>IFERROR(VLOOKUP(F576,Lists!$C:$F,4,0),0)</f>
        <v>1.9508160000000001</v>
      </c>
      <c r="I576" s="7">
        <f t="shared" si="70"/>
        <v>9019</v>
      </c>
      <c r="J576" s="6">
        <f>360*25</f>
        <v>9000</v>
      </c>
      <c r="K576" s="33">
        <v>19</v>
      </c>
      <c r="L576" s="5">
        <f t="shared" si="68"/>
        <v>2.1111111111111109E-3</v>
      </c>
      <c r="M576" s="26">
        <f t="shared" si="69"/>
        <v>37.065504000000004</v>
      </c>
    </row>
    <row r="577" spans="1:13" x14ac:dyDescent="0.25">
      <c r="A577" s="16" t="str">
        <f t="shared" si="71"/>
        <v>March</v>
      </c>
      <c r="B577" s="31">
        <v>43909</v>
      </c>
      <c r="C577" s="32" t="s">
        <v>26</v>
      </c>
      <c r="D577" s="9" t="str">
        <f t="shared" si="67"/>
        <v>43909 - 2S</v>
      </c>
      <c r="E577" s="32" t="s">
        <v>15</v>
      </c>
      <c r="G577" s="4" t="str">
        <f>IFERROR(VLOOKUP(F577,Lists!$C:$D,2,0), "N/A")</f>
        <v>N/A</v>
      </c>
      <c r="H577" s="26">
        <f>IFERROR(VLOOKUP(F577,Lists!$C:$F,4,0),0)</f>
        <v>0</v>
      </c>
      <c r="I577" s="7">
        <f t="shared" si="70"/>
        <v>20</v>
      </c>
      <c r="K577" s="33">
        <v>20</v>
      </c>
      <c r="L577" s="5">
        <f t="shared" si="68"/>
        <v>1</v>
      </c>
      <c r="M577" s="26">
        <f t="shared" si="69"/>
        <v>0</v>
      </c>
    </row>
    <row r="578" spans="1:13" x14ac:dyDescent="0.25">
      <c r="A578" s="16" t="str">
        <f t="shared" si="71"/>
        <v>March</v>
      </c>
      <c r="B578" s="31">
        <v>43910</v>
      </c>
      <c r="C578" s="32" t="s">
        <v>24</v>
      </c>
      <c r="D578" s="9" t="str">
        <f t="shared" si="67"/>
        <v>43910 - 3S</v>
      </c>
      <c r="E578" s="32" t="s">
        <v>9</v>
      </c>
      <c r="F578" s="2">
        <v>8000035</v>
      </c>
      <c r="G578" s="4" t="str">
        <f>IFERROR(VLOOKUP(F578,Lists!$C:$D,2,0), "N/A")</f>
        <v>TURTLES MILK CHOC ORIGINAL</v>
      </c>
      <c r="H578" s="26">
        <f>IFERROR(VLOOKUP(F578,Lists!$C:$F,4,0),0)</f>
        <v>1.91178</v>
      </c>
      <c r="I578" s="7">
        <f t="shared" si="70"/>
        <v>10302.6</v>
      </c>
      <c r="J578" s="6">
        <v>10093.6</v>
      </c>
      <c r="K578" s="33">
        <v>209</v>
      </c>
      <c r="L578" s="5">
        <f t="shared" si="68"/>
        <v>2.0706190061028772E-2</v>
      </c>
      <c r="M578" s="26">
        <f t="shared" si="69"/>
        <v>399.56202000000002</v>
      </c>
    </row>
    <row r="579" spans="1:13" x14ac:dyDescent="0.25">
      <c r="A579" s="16" t="str">
        <f t="shared" si="71"/>
        <v>March</v>
      </c>
      <c r="B579" s="31">
        <v>43910</v>
      </c>
      <c r="C579" s="32" t="s">
        <v>24</v>
      </c>
      <c r="D579" s="9" t="str">
        <f t="shared" si="67"/>
        <v>43910 - 3S</v>
      </c>
      <c r="E579" s="32" t="s">
        <v>11</v>
      </c>
      <c r="F579" s="2">
        <v>8000034</v>
      </c>
      <c r="G579" s="4" t="str">
        <f>IFERROR(VLOOKUP(F579,Lists!$C:$D,2,0), "N/A")</f>
        <v>KS MILK CHOC MACADAMIA</v>
      </c>
      <c r="H579" s="26">
        <f>IFERROR(VLOOKUP(F579,Lists!$C:$F,4,0),0)</f>
        <v>3.8943099999999999</v>
      </c>
      <c r="I579" s="7">
        <f t="shared" si="70"/>
        <v>5607</v>
      </c>
      <c r="J579" s="6">
        <v>5600</v>
      </c>
      <c r="K579" s="33">
        <v>7</v>
      </c>
      <c r="L579" s="5">
        <f t="shared" si="68"/>
        <v>1.25E-3</v>
      </c>
      <c r="M579" s="26">
        <f t="shared" si="69"/>
        <v>27.260169999999999</v>
      </c>
    </row>
    <row r="580" spans="1:13" x14ac:dyDescent="0.25">
      <c r="A580" s="16" t="str">
        <f t="shared" si="71"/>
        <v>March</v>
      </c>
      <c r="B580" s="31">
        <v>43910</v>
      </c>
      <c r="C580" s="32" t="s">
        <v>24</v>
      </c>
      <c r="D580" s="9" t="str">
        <f t="shared" ref="D580:D646" si="72">CONCATENATE(B580," - ",C580)</f>
        <v>43910 - 3S</v>
      </c>
      <c r="E580" s="32" t="s">
        <v>15</v>
      </c>
      <c r="G580" s="4" t="str">
        <f>IFERROR(VLOOKUP(F580,Lists!$C:$D,2,0), "N/A")</f>
        <v>N/A</v>
      </c>
      <c r="H580" s="26">
        <f>IFERROR(VLOOKUP(F580,Lists!$C:$F,4,0),0)</f>
        <v>0</v>
      </c>
      <c r="I580" s="7">
        <f t="shared" si="70"/>
        <v>20</v>
      </c>
      <c r="K580" s="33">
        <v>20</v>
      </c>
      <c r="L580" s="5">
        <f t="shared" ref="L580:L646" si="73">IFERROR((K580/J580),1)</f>
        <v>1</v>
      </c>
      <c r="M580" s="26">
        <f t="shared" ref="M580:M646" si="74">K580*H580</f>
        <v>0</v>
      </c>
    </row>
    <row r="581" spans="1:13" x14ac:dyDescent="0.25">
      <c r="A581" s="16" t="str">
        <f t="shared" si="71"/>
        <v>March</v>
      </c>
      <c r="B581" s="31">
        <v>43910</v>
      </c>
      <c r="C581" s="32" t="s">
        <v>25</v>
      </c>
      <c r="D581" s="9" t="str">
        <f t="shared" si="72"/>
        <v>43910 - 1S</v>
      </c>
      <c r="E581" s="32" t="s">
        <v>9</v>
      </c>
      <c r="F581" s="2">
        <v>8000035</v>
      </c>
      <c r="G581" s="4" t="str">
        <f>IFERROR(VLOOKUP(F581,Lists!$C:$D,2,0), "N/A")</f>
        <v>TURTLES MILK CHOC ORIGINAL</v>
      </c>
      <c r="H581" s="26">
        <f>IFERROR(VLOOKUP(F581,Lists!$C:$F,4,0),0)</f>
        <v>1.91178</v>
      </c>
      <c r="I581" s="7">
        <f t="shared" si="70"/>
        <v>10919.8</v>
      </c>
      <c r="J581" s="6">
        <v>10656.8</v>
      </c>
      <c r="K581" s="33">
        <v>263</v>
      </c>
      <c r="L581" s="5">
        <f t="shared" si="73"/>
        <v>2.4679078147286242E-2</v>
      </c>
      <c r="M581" s="26">
        <f t="shared" si="74"/>
        <v>502.79813999999999</v>
      </c>
    </row>
    <row r="582" spans="1:13" x14ac:dyDescent="0.25">
      <c r="A582" s="16" t="str">
        <f t="shared" si="71"/>
        <v>March</v>
      </c>
      <c r="B582" s="31">
        <v>43910</v>
      </c>
      <c r="C582" s="32" t="s">
        <v>25</v>
      </c>
      <c r="D582" s="9" t="str">
        <f t="shared" si="72"/>
        <v>43910 - 1S</v>
      </c>
      <c r="E582" s="32" t="s">
        <v>11</v>
      </c>
      <c r="F582" s="2">
        <v>8000034</v>
      </c>
      <c r="G582" s="4" t="str">
        <f>IFERROR(VLOOKUP(F582,Lists!$C:$D,2,0), "N/A")</f>
        <v>KS MILK CHOC MACADAMIA</v>
      </c>
      <c r="H582" s="26">
        <f>IFERROR(VLOOKUP(F582,Lists!$C:$F,4,0),0)</f>
        <v>3.8943099999999999</v>
      </c>
      <c r="I582" s="7">
        <f t="shared" si="70"/>
        <v>8916</v>
      </c>
      <c r="J582" s="6">
        <v>8800</v>
      </c>
      <c r="K582" s="33">
        <v>116</v>
      </c>
      <c r="L582" s="5">
        <f t="shared" si="73"/>
        <v>1.3181818181818182E-2</v>
      </c>
      <c r="M582" s="26">
        <f t="shared" si="74"/>
        <v>451.73996</v>
      </c>
    </row>
    <row r="583" spans="1:13" x14ac:dyDescent="0.25">
      <c r="A583" s="16" t="str">
        <f t="shared" si="71"/>
        <v>March</v>
      </c>
      <c r="B583" s="31">
        <v>43910</v>
      </c>
      <c r="C583" s="32" t="s">
        <v>26</v>
      </c>
      <c r="D583" s="9" t="str">
        <f t="shared" si="72"/>
        <v>43910 - 2S</v>
      </c>
      <c r="E583" s="32" t="s">
        <v>9</v>
      </c>
      <c r="F583" s="2">
        <v>8000035</v>
      </c>
      <c r="G583" s="4" t="str">
        <f>IFERROR(VLOOKUP(F583,Lists!$C:$D,2,0), "N/A")</f>
        <v>TURTLES MILK CHOC ORIGINAL</v>
      </c>
      <c r="H583" s="26">
        <f>IFERROR(VLOOKUP(F583,Lists!$C:$F,4,0),0)</f>
        <v>1.91178</v>
      </c>
      <c r="I583" s="7">
        <f t="shared" si="70"/>
        <v>9643.7999999999993</v>
      </c>
      <c r="J583" s="6">
        <v>9380.7999999999993</v>
      </c>
      <c r="K583" s="33">
        <v>263</v>
      </c>
      <c r="L583" s="5">
        <f t="shared" si="73"/>
        <v>2.8035988401842061E-2</v>
      </c>
      <c r="M583" s="26">
        <f t="shared" si="74"/>
        <v>502.79813999999999</v>
      </c>
    </row>
    <row r="584" spans="1:13" x14ac:dyDescent="0.25">
      <c r="A584" s="16" t="str">
        <f t="shared" si="71"/>
        <v>March</v>
      </c>
      <c r="B584" s="31">
        <v>43910</v>
      </c>
      <c r="C584" s="32" t="s">
        <v>26</v>
      </c>
      <c r="D584" s="9" t="str">
        <f t="shared" si="72"/>
        <v>43910 - 2S</v>
      </c>
      <c r="E584" s="32" t="s">
        <v>11</v>
      </c>
      <c r="F584" s="2">
        <v>8000034</v>
      </c>
      <c r="G584" s="4" t="str">
        <f>IFERROR(VLOOKUP(F584,Lists!$C:$D,2,0), "N/A")</f>
        <v>KS MILK CHOC MACADAMIA</v>
      </c>
      <c r="H584" s="26">
        <f>IFERROR(VLOOKUP(F584,Lists!$C:$F,4,0),0)</f>
        <v>3.8943099999999999</v>
      </c>
      <c r="I584" s="7">
        <f t="shared" si="70"/>
        <v>4025</v>
      </c>
      <c r="J584" s="6">
        <v>4000</v>
      </c>
      <c r="K584" s="33">
        <v>25</v>
      </c>
      <c r="L584" s="5">
        <f t="shared" si="73"/>
        <v>6.2500000000000003E-3</v>
      </c>
      <c r="M584" s="26">
        <f t="shared" si="74"/>
        <v>97.357749999999996</v>
      </c>
    </row>
    <row r="585" spans="1:13" x14ac:dyDescent="0.25">
      <c r="A585" s="16" t="str">
        <f t="shared" si="71"/>
        <v>March</v>
      </c>
      <c r="B585" s="31">
        <v>43910</v>
      </c>
      <c r="C585" s="32" t="s">
        <v>26</v>
      </c>
      <c r="D585" s="9" t="str">
        <f t="shared" si="72"/>
        <v>43910 - 2S</v>
      </c>
      <c r="E585" s="32" t="s">
        <v>15</v>
      </c>
      <c r="G585" s="4" t="str">
        <f>IFERROR(VLOOKUP(F585,Lists!$C:$D,2,0), "N/A")</f>
        <v>N/A</v>
      </c>
      <c r="H585" s="26">
        <f>IFERROR(VLOOKUP(F585,Lists!$C:$F,4,0),0)</f>
        <v>0</v>
      </c>
      <c r="I585" s="7">
        <f t="shared" si="70"/>
        <v>28</v>
      </c>
      <c r="K585" s="33">
        <v>28</v>
      </c>
      <c r="L585" s="5">
        <f t="shared" si="73"/>
        <v>1</v>
      </c>
      <c r="M585" s="26">
        <f t="shared" si="74"/>
        <v>0</v>
      </c>
    </row>
    <row r="586" spans="1:13" x14ac:dyDescent="0.25">
      <c r="A586" s="16" t="str">
        <f t="shared" si="71"/>
        <v>March</v>
      </c>
      <c r="B586" s="31">
        <v>43911</v>
      </c>
      <c r="C586" s="32" t="s">
        <v>25</v>
      </c>
      <c r="D586" s="9" t="str">
        <f t="shared" si="72"/>
        <v>43911 - 1S</v>
      </c>
      <c r="E586" s="32" t="s">
        <v>9</v>
      </c>
      <c r="F586" s="2">
        <v>8000035</v>
      </c>
      <c r="G586" s="4" t="str">
        <f>IFERROR(VLOOKUP(F586,Lists!$C:$D,2,0), "N/A")</f>
        <v>TURTLES MILK CHOC ORIGINAL</v>
      </c>
      <c r="H586" s="26">
        <f>IFERROR(VLOOKUP(F586,Lists!$C:$F,4,0),0)</f>
        <v>1.91178</v>
      </c>
      <c r="I586" s="7">
        <f t="shared" si="70"/>
        <v>7367</v>
      </c>
      <c r="J586" s="6">
        <v>7128</v>
      </c>
      <c r="K586" s="33">
        <v>239</v>
      </c>
      <c r="L586" s="5">
        <f t="shared" si="73"/>
        <v>3.3529741863075196E-2</v>
      </c>
      <c r="M586" s="26">
        <f t="shared" si="74"/>
        <v>456.91541999999998</v>
      </c>
    </row>
    <row r="587" spans="1:13" x14ac:dyDescent="0.25">
      <c r="A587" s="16" t="str">
        <f t="shared" si="71"/>
        <v>March</v>
      </c>
      <c r="B587" s="31">
        <v>43911</v>
      </c>
      <c r="C587" s="32" t="s">
        <v>26</v>
      </c>
      <c r="D587" s="9" t="str">
        <f t="shared" si="72"/>
        <v>43911 - 2S</v>
      </c>
      <c r="E587" s="32" t="s">
        <v>9</v>
      </c>
      <c r="F587" s="2">
        <v>8000035</v>
      </c>
      <c r="G587" s="4" t="str">
        <f>IFERROR(VLOOKUP(F587,Lists!$C:$D,2,0), "N/A")</f>
        <v>TURTLES MILK CHOC ORIGINAL</v>
      </c>
      <c r="H587" s="26">
        <f>IFERROR(VLOOKUP(F587,Lists!$C:$F,4,0),0)</f>
        <v>1.91178</v>
      </c>
      <c r="I587" s="7">
        <f t="shared" si="70"/>
        <v>7831.48</v>
      </c>
      <c r="J587" s="6">
        <v>7476.48</v>
      </c>
      <c r="K587" s="33">
        <v>355</v>
      </c>
      <c r="L587" s="5">
        <f t="shared" si="73"/>
        <v>4.7482237630542719E-2</v>
      </c>
      <c r="M587" s="26">
        <f t="shared" si="74"/>
        <v>678.68190000000004</v>
      </c>
    </row>
    <row r="588" spans="1:13" x14ac:dyDescent="0.25">
      <c r="A588" s="16" t="str">
        <f t="shared" si="71"/>
        <v>March</v>
      </c>
      <c r="B588" s="31">
        <v>43911</v>
      </c>
      <c r="C588" s="32" t="s">
        <v>24</v>
      </c>
      <c r="D588" s="9" t="str">
        <f t="shared" si="72"/>
        <v>43911 - 3S</v>
      </c>
      <c r="E588" s="32" t="s">
        <v>9</v>
      </c>
      <c r="F588" s="2">
        <v>8000035</v>
      </c>
      <c r="G588" s="4" t="str">
        <f>IFERROR(VLOOKUP(F588,Lists!$C:$D,2,0), "N/A")</f>
        <v>TURTLES MILK CHOC ORIGINAL</v>
      </c>
      <c r="H588" s="26">
        <f>IFERROR(VLOOKUP(F588,Lists!$C:$F,4,0),0)</f>
        <v>1.91178</v>
      </c>
      <c r="I588" s="7">
        <f t="shared" si="70"/>
        <v>8847.6</v>
      </c>
      <c r="J588" s="6">
        <v>8553.6</v>
      </c>
      <c r="K588" s="33">
        <v>294</v>
      </c>
      <c r="L588" s="5">
        <f t="shared" si="73"/>
        <v>3.4371492704826034E-2</v>
      </c>
      <c r="M588" s="26">
        <f t="shared" si="74"/>
        <v>562.06331999999998</v>
      </c>
    </row>
    <row r="589" spans="1:13" x14ac:dyDescent="0.25">
      <c r="A589" s="16" t="str">
        <f t="shared" si="71"/>
        <v>March</v>
      </c>
      <c r="B589" s="31">
        <v>43912</v>
      </c>
      <c r="C589" s="32" t="s">
        <v>25</v>
      </c>
      <c r="D589" s="9" t="str">
        <f t="shared" si="72"/>
        <v>43912 - 1S</v>
      </c>
      <c r="E589" s="32" t="s">
        <v>12</v>
      </c>
      <c r="F589" s="2">
        <v>8000031</v>
      </c>
      <c r="G589" s="4" t="str">
        <f>IFERROR(VLOOKUP(F589,Lists!$C:$D,2,0), "N/A")</f>
        <v>WIP.DCP FLIPZ  DARK CHOC PRETZEL</v>
      </c>
      <c r="H589" s="26">
        <f>IFERROR(VLOOKUP(F589,Lists!$C:$F,4,0),0)</f>
        <v>1.4516300000000002</v>
      </c>
      <c r="I589" s="73">
        <f t="shared" si="70"/>
        <v>11027</v>
      </c>
      <c r="J589" s="45">
        <f>440*25</f>
        <v>11000</v>
      </c>
      <c r="K589" s="33">
        <v>27</v>
      </c>
      <c r="L589" s="5">
        <f t="shared" si="73"/>
        <v>2.4545454545454545E-3</v>
      </c>
      <c r="M589" s="26">
        <f t="shared" si="74"/>
        <v>39.194010000000006</v>
      </c>
    </row>
    <row r="590" spans="1:13" x14ac:dyDescent="0.25">
      <c r="A590" s="16" t="str">
        <f t="shared" si="71"/>
        <v>March</v>
      </c>
      <c r="B590" s="31">
        <v>43912</v>
      </c>
      <c r="C590" s="32" t="s">
        <v>26</v>
      </c>
      <c r="D590" s="9" t="str">
        <f t="shared" si="72"/>
        <v>43912 - 2S</v>
      </c>
      <c r="E590" s="32" t="s">
        <v>12</v>
      </c>
      <c r="F590" s="2">
        <v>8000031</v>
      </c>
      <c r="G590" s="4" t="str">
        <f>IFERROR(VLOOKUP(F590,Lists!$C:$D,2,0), "N/A")</f>
        <v>WIP.DCP FLIPZ  DARK CHOC PRETZEL</v>
      </c>
      <c r="H590" s="26">
        <f>IFERROR(VLOOKUP(F590,Lists!$C:$F,4,0),0)</f>
        <v>1.4516300000000002</v>
      </c>
      <c r="I590" s="73">
        <f t="shared" si="70"/>
        <v>10013</v>
      </c>
      <c r="J590" s="45">
        <f>400*25</f>
        <v>10000</v>
      </c>
      <c r="K590" s="33">
        <v>13</v>
      </c>
      <c r="L590" s="5">
        <f t="shared" si="73"/>
        <v>1.2999999999999999E-3</v>
      </c>
      <c r="M590" s="26">
        <f t="shared" si="74"/>
        <v>18.871190000000002</v>
      </c>
    </row>
    <row r="591" spans="1:13" x14ac:dyDescent="0.25">
      <c r="A591" s="16" t="str">
        <f t="shared" si="71"/>
        <v>March</v>
      </c>
      <c r="B591" s="31">
        <v>43913</v>
      </c>
      <c r="C591" s="32" t="s">
        <v>24</v>
      </c>
      <c r="D591" s="9" t="str">
        <f t="shared" si="72"/>
        <v>43913 - 3S</v>
      </c>
      <c r="E591" s="32" t="s">
        <v>9</v>
      </c>
      <c r="F591" s="2">
        <v>8000035</v>
      </c>
      <c r="G591" s="4" t="str">
        <f>IFERROR(VLOOKUP(F591,Lists!$C:$D,2,0), "N/A")</f>
        <v>TURTLES MILK CHOC ORIGINAL</v>
      </c>
      <c r="H591" s="26">
        <f>IFERROR(VLOOKUP(F591,Lists!$C:$F,4,0),0)</f>
        <v>1.91178</v>
      </c>
      <c r="I591" s="7">
        <f t="shared" si="70"/>
        <v>2789.5</v>
      </c>
      <c r="J591" s="6">
        <v>2587.5</v>
      </c>
      <c r="K591" s="33">
        <v>202</v>
      </c>
      <c r="L591" s="5">
        <f t="shared" si="73"/>
        <v>7.8067632850241542E-2</v>
      </c>
      <c r="M591" s="26">
        <f t="shared" si="74"/>
        <v>386.17955999999998</v>
      </c>
    </row>
    <row r="592" spans="1:13" x14ac:dyDescent="0.25">
      <c r="A592" s="16" t="s">
        <v>247</v>
      </c>
      <c r="B592" s="31">
        <v>43913</v>
      </c>
      <c r="C592" s="32" t="s">
        <v>25</v>
      </c>
      <c r="D592" s="9" t="str">
        <f t="shared" si="72"/>
        <v>43913 - 1S</v>
      </c>
      <c r="E592" s="32" t="s">
        <v>9</v>
      </c>
      <c r="F592" s="2">
        <v>8000035</v>
      </c>
      <c r="G592" s="4" t="str">
        <f>IFERROR(VLOOKUP(F592,Lists!$C:$D,2,0), "N/A")</f>
        <v>TURTLES MILK CHOC ORIGINAL</v>
      </c>
      <c r="H592" s="26">
        <f>IFERROR(VLOOKUP(F592,Lists!$C:$F,4,0),0)</f>
        <v>1.91178</v>
      </c>
      <c r="I592" s="7">
        <f t="shared" si="70"/>
        <v>8148.1</v>
      </c>
      <c r="J592" s="6">
        <v>7727.1</v>
      </c>
      <c r="K592" s="33">
        <v>421</v>
      </c>
      <c r="L592" s="5">
        <f t="shared" si="73"/>
        <v>5.4483570809229852E-2</v>
      </c>
      <c r="M592" s="26">
        <f t="shared" si="74"/>
        <v>804.85937999999999</v>
      </c>
    </row>
    <row r="593" spans="1:13" x14ac:dyDescent="0.25">
      <c r="A593" s="16" t="s">
        <v>247</v>
      </c>
      <c r="B593" s="31">
        <v>43913</v>
      </c>
      <c r="C593" s="32" t="s">
        <v>26</v>
      </c>
      <c r="D593" s="9" t="str">
        <f t="shared" si="72"/>
        <v>43913 - 2S</v>
      </c>
      <c r="E593" s="32" t="s">
        <v>9</v>
      </c>
      <c r="F593" s="2">
        <v>8000035</v>
      </c>
      <c r="G593" s="4" t="str">
        <f>IFERROR(VLOOKUP(F593,Lists!$C:$D,2,0), "N/A")</f>
        <v>TURTLES MILK CHOC ORIGINAL</v>
      </c>
      <c r="H593" s="26">
        <f>IFERROR(VLOOKUP(F593,Lists!$C:$F,4,0),0)</f>
        <v>1.91178</v>
      </c>
      <c r="I593" s="7">
        <f t="shared" si="70"/>
        <v>7481.9</v>
      </c>
      <c r="J593" s="6">
        <v>7163.9</v>
      </c>
      <c r="K593" s="33">
        <v>318</v>
      </c>
      <c r="L593" s="5">
        <f t="shared" si="73"/>
        <v>4.4389229330392667E-2</v>
      </c>
      <c r="M593" s="26">
        <f t="shared" si="74"/>
        <v>607.94604000000004</v>
      </c>
    </row>
    <row r="594" spans="1:13" x14ac:dyDescent="0.25">
      <c r="A594" s="16" t="s">
        <v>247</v>
      </c>
      <c r="B594" s="31">
        <v>43913</v>
      </c>
      <c r="C594" s="32" t="s">
        <v>25</v>
      </c>
      <c r="D594" s="9" t="str">
        <f t="shared" si="72"/>
        <v>43913 - 1S</v>
      </c>
      <c r="E594" s="32" t="s">
        <v>12</v>
      </c>
      <c r="F594" s="2">
        <v>8000031</v>
      </c>
      <c r="G594" s="4" t="str">
        <f>IFERROR(VLOOKUP(F594,Lists!$C:$D,2,0), "N/A")</f>
        <v>WIP.DCP FLIPZ  DARK CHOC PRETZEL</v>
      </c>
      <c r="H594" s="26">
        <f>IFERROR(VLOOKUP(F594,Lists!$C:$F,4,0),0)</f>
        <v>1.4516300000000002</v>
      </c>
      <c r="I594" s="74">
        <f t="shared" si="70"/>
        <v>6012</v>
      </c>
      <c r="J594" s="45">
        <f>240*25</f>
        <v>6000</v>
      </c>
      <c r="K594" s="33">
        <v>12</v>
      </c>
      <c r="L594" s="5">
        <f t="shared" si="73"/>
        <v>2E-3</v>
      </c>
      <c r="M594" s="26"/>
    </row>
    <row r="595" spans="1:13" x14ac:dyDescent="0.25">
      <c r="A595" s="16" t="s">
        <v>247</v>
      </c>
      <c r="B595" s="31">
        <v>43913</v>
      </c>
      <c r="C595" s="32" t="s">
        <v>25</v>
      </c>
      <c r="D595" s="9" t="str">
        <f t="shared" si="72"/>
        <v>43913 - 1S</v>
      </c>
      <c r="E595" s="32" t="s">
        <v>13</v>
      </c>
      <c r="F595" s="46">
        <v>8000055</v>
      </c>
      <c r="G595" s="4" t="str">
        <f>IFERROR(VLOOKUP(F595,Lists!$C:$D,2,0), "N/A")</f>
        <v>916.BF FLIPZ 25 LB BULK MILK CHOC</v>
      </c>
      <c r="H595" s="26">
        <f>IFERROR(VLOOKUP(F595,Lists!$C:$F,4,0),0)</f>
        <v>1.9508160000000001</v>
      </c>
      <c r="I595" s="75">
        <f t="shared" si="70"/>
        <v>2026</v>
      </c>
      <c r="J595" s="45">
        <f>80*25</f>
        <v>2000</v>
      </c>
      <c r="K595" s="33">
        <v>26</v>
      </c>
      <c r="L595" s="5">
        <f t="shared" si="73"/>
        <v>1.2999999999999999E-2</v>
      </c>
      <c r="M595" s="26"/>
    </row>
    <row r="596" spans="1:13" x14ac:dyDescent="0.25">
      <c r="A596" s="16" t="s">
        <v>247</v>
      </c>
      <c r="B596" s="31">
        <v>43913</v>
      </c>
      <c r="C596" s="32" t="s">
        <v>26</v>
      </c>
      <c r="D596" s="9" t="str">
        <f t="shared" si="72"/>
        <v>43913 - 2S</v>
      </c>
      <c r="E596" s="32" t="s">
        <v>12</v>
      </c>
      <c r="F596" s="2">
        <v>8000031</v>
      </c>
      <c r="G596" s="4" t="str">
        <f>IFERROR(VLOOKUP(F596,Lists!$C:$D,2,0), "N/A")</f>
        <v>WIP.DCP FLIPZ  DARK CHOC PRETZEL</v>
      </c>
      <c r="H596" s="26">
        <f>IFERROR(VLOOKUP(F596,Lists!$C:$F,4,0),0)</f>
        <v>1.4516300000000002</v>
      </c>
      <c r="I596" s="7">
        <f t="shared" si="70"/>
        <v>6022</v>
      </c>
      <c r="J596" s="6">
        <f>240*25</f>
        <v>6000</v>
      </c>
      <c r="K596" s="33">
        <v>22</v>
      </c>
      <c r="L596" s="5">
        <f t="shared" si="73"/>
        <v>3.6666666666666666E-3</v>
      </c>
      <c r="M596" s="26">
        <f t="shared" si="74"/>
        <v>31.935860000000005</v>
      </c>
    </row>
    <row r="597" spans="1:13" x14ac:dyDescent="0.25">
      <c r="A597" s="16" t="s">
        <v>247</v>
      </c>
      <c r="B597" s="31">
        <v>43914</v>
      </c>
      <c r="C597" s="32" t="s">
        <v>24</v>
      </c>
      <c r="D597" s="9" t="str">
        <f t="shared" si="72"/>
        <v>43914 - 3S</v>
      </c>
      <c r="E597" s="32" t="s">
        <v>13</v>
      </c>
      <c r="F597" s="46">
        <v>8000055</v>
      </c>
      <c r="G597" s="4" t="str">
        <f>IFERROR(VLOOKUP(F597,Lists!$C:$D,2,0), "N/A")</f>
        <v>916.BF FLIPZ 25 LB BULK MILK CHOC</v>
      </c>
      <c r="H597" s="26">
        <f>IFERROR(VLOOKUP(F597,Lists!$C:$F,4,0),0)</f>
        <v>1.9508160000000001</v>
      </c>
      <c r="I597" s="7">
        <f t="shared" si="70"/>
        <v>3</v>
      </c>
      <c r="K597" s="33">
        <v>3</v>
      </c>
      <c r="L597" s="5">
        <f t="shared" si="73"/>
        <v>1</v>
      </c>
      <c r="M597" s="26">
        <f t="shared" si="74"/>
        <v>5.8524480000000008</v>
      </c>
    </row>
    <row r="598" spans="1:13" x14ac:dyDescent="0.25">
      <c r="A598" s="16" t="s">
        <v>247</v>
      </c>
      <c r="B598" s="31">
        <v>43914</v>
      </c>
      <c r="C598" s="32" t="s">
        <v>24</v>
      </c>
      <c r="D598" s="9" t="str">
        <f t="shared" si="72"/>
        <v>43914 - 3S</v>
      </c>
      <c r="E598" s="32" t="s">
        <v>9</v>
      </c>
      <c r="F598" s="2">
        <v>8000035</v>
      </c>
      <c r="G598" s="4" t="str">
        <f>IFERROR(VLOOKUP(F598,Lists!$C:$D,2,0), "N/A")</f>
        <v>TURTLES MILK CHOC ORIGINAL</v>
      </c>
      <c r="H598" s="26">
        <f>IFERROR(VLOOKUP(F598,Lists!$C:$F,4,0),0)</f>
        <v>1.91178</v>
      </c>
      <c r="I598" s="7">
        <f t="shared" si="70"/>
        <v>7106.5</v>
      </c>
      <c r="J598" s="6">
        <v>6796.5</v>
      </c>
      <c r="K598" s="33">
        <v>310</v>
      </c>
      <c r="L598" s="5">
        <f t="shared" si="73"/>
        <v>4.5611711910542189E-2</v>
      </c>
      <c r="M598" s="26">
        <f t="shared" si="74"/>
        <v>592.65179999999998</v>
      </c>
    </row>
    <row r="599" spans="1:13" x14ac:dyDescent="0.25">
      <c r="A599" s="16" t="s">
        <v>247</v>
      </c>
      <c r="B599" s="31">
        <v>43914</v>
      </c>
      <c r="C599" s="32" t="s">
        <v>25</v>
      </c>
      <c r="D599" s="9" t="str">
        <f t="shared" si="72"/>
        <v>43914 - 1S</v>
      </c>
      <c r="E599" s="32" t="s">
        <v>9</v>
      </c>
      <c r="F599" s="2">
        <v>8000035</v>
      </c>
      <c r="G599" s="4" t="str">
        <f>IFERROR(VLOOKUP(F599,Lists!$C:$D,2,0), "N/A")</f>
        <v>TURTLES MILK CHOC ORIGINAL</v>
      </c>
      <c r="H599" s="26">
        <f>IFERROR(VLOOKUP(F599,Lists!$C:$F,4,0),0)</f>
        <v>1.91178</v>
      </c>
      <c r="I599" s="7">
        <f t="shared" si="70"/>
        <v>11678.8</v>
      </c>
      <c r="J599" s="6">
        <v>11360.8</v>
      </c>
      <c r="K599" s="33">
        <v>318</v>
      </c>
      <c r="L599" s="5">
        <f t="shared" si="73"/>
        <v>2.7990986550242944E-2</v>
      </c>
      <c r="M599" s="26">
        <f t="shared" si="74"/>
        <v>607.94604000000004</v>
      </c>
    </row>
    <row r="600" spans="1:13" x14ac:dyDescent="0.25">
      <c r="A600" s="16" t="s">
        <v>247</v>
      </c>
      <c r="B600" s="31">
        <v>43914</v>
      </c>
      <c r="C600" s="32" t="s">
        <v>25</v>
      </c>
      <c r="D600" s="9" t="str">
        <f t="shared" si="72"/>
        <v>43914 - 1S</v>
      </c>
      <c r="E600" s="32" t="s">
        <v>11</v>
      </c>
      <c r="F600" s="2">
        <v>8000034</v>
      </c>
      <c r="G600" s="4" t="str">
        <f>IFERROR(VLOOKUP(F600,Lists!$C:$D,2,0), "N/A")</f>
        <v>KS MILK CHOC MACADAMIA</v>
      </c>
      <c r="H600" s="26">
        <f>IFERROR(VLOOKUP(F600,Lists!$C:$F,4,0),0)</f>
        <v>3.8943099999999999</v>
      </c>
      <c r="I600" s="7">
        <f t="shared" si="70"/>
        <v>5672</v>
      </c>
      <c r="J600" s="6">
        <v>5600</v>
      </c>
      <c r="K600" s="33">
        <v>72</v>
      </c>
      <c r="L600" s="5">
        <f t="shared" si="73"/>
        <v>1.2857142857142857E-2</v>
      </c>
      <c r="M600" s="26">
        <f t="shared" si="74"/>
        <v>280.39031999999997</v>
      </c>
    </row>
    <row r="601" spans="1:13" x14ac:dyDescent="0.25">
      <c r="A601" s="16" t="str">
        <f t="shared" si="71"/>
        <v>March</v>
      </c>
      <c r="B601" s="31">
        <v>43914</v>
      </c>
      <c r="C601" s="32" t="s">
        <v>25</v>
      </c>
      <c r="D601" s="9" t="str">
        <f t="shared" si="72"/>
        <v>43914 - 1S</v>
      </c>
      <c r="E601" s="32" t="s">
        <v>12</v>
      </c>
      <c r="F601" s="2">
        <v>8000031</v>
      </c>
      <c r="G601" s="4" t="str">
        <f>IFERROR(VLOOKUP(F601,Lists!$C:$D,2,0), "N/A")</f>
        <v>WIP.DCP FLIPZ  DARK CHOC PRETZEL</v>
      </c>
      <c r="H601" s="26">
        <f>IFERROR(VLOOKUP(F601,Lists!$C:$F,4,0),0)</f>
        <v>1.4516300000000002</v>
      </c>
      <c r="I601" s="7">
        <f t="shared" si="70"/>
        <v>9042</v>
      </c>
      <c r="J601" s="6">
        <f>360*25</f>
        <v>9000</v>
      </c>
      <c r="K601" s="33">
        <v>42</v>
      </c>
      <c r="L601" s="5">
        <f t="shared" si="73"/>
        <v>4.6666666666666671E-3</v>
      </c>
      <c r="M601" s="26">
        <f t="shared" si="74"/>
        <v>60.968460000000007</v>
      </c>
    </row>
    <row r="602" spans="1:13" x14ac:dyDescent="0.25">
      <c r="A602" s="16" t="str">
        <f t="shared" si="71"/>
        <v>March</v>
      </c>
      <c r="B602" s="31">
        <v>43914</v>
      </c>
      <c r="C602" s="32" t="s">
        <v>25</v>
      </c>
      <c r="D602" s="9" t="str">
        <f t="shared" si="72"/>
        <v>43914 - 1S</v>
      </c>
      <c r="E602" s="32" t="s">
        <v>15</v>
      </c>
      <c r="G602" s="4" t="str">
        <f>IFERROR(VLOOKUP(F602,Lists!$C:$D,2,0), "N/A")</f>
        <v>N/A</v>
      </c>
      <c r="H602" s="26">
        <f>IFERROR(VLOOKUP(F602,Lists!$C:$F,4,0),0)</f>
        <v>0</v>
      </c>
      <c r="I602" s="7">
        <f t="shared" si="70"/>
        <v>32</v>
      </c>
      <c r="K602" s="33">
        <v>32</v>
      </c>
      <c r="L602" s="5">
        <f t="shared" si="73"/>
        <v>1</v>
      </c>
      <c r="M602" s="26">
        <f t="shared" si="74"/>
        <v>0</v>
      </c>
    </row>
    <row r="603" spans="1:13" x14ac:dyDescent="0.25">
      <c r="A603" s="16" t="str">
        <f t="shared" si="71"/>
        <v>March</v>
      </c>
      <c r="B603" s="31">
        <v>43914</v>
      </c>
      <c r="C603" s="32" t="s">
        <v>26</v>
      </c>
      <c r="D603" s="9" t="str">
        <f t="shared" si="72"/>
        <v>43914 - 2S</v>
      </c>
      <c r="E603" s="32" t="s">
        <v>9</v>
      </c>
      <c r="F603" s="2">
        <v>8000035</v>
      </c>
      <c r="G603" s="4" t="str">
        <f>IFERROR(VLOOKUP(F603,Lists!$C:$D,2,0), "N/A")</f>
        <v>TURTLES MILK CHOC ORIGINAL</v>
      </c>
      <c r="H603" s="26">
        <f>IFERROR(VLOOKUP(F603,Lists!$C:$F,4,0),0)</f>
        <v>1.91178</v>
      </c>
      <c r="I603" s="7">
        <f t="shared" si="70"/>
        <v>10896.8</v>
      </c>
      <c r="J603" s="6">
        <v>10532.8</v>
      </c>
      <c r="K603" s="33">
        <v>364</v>
      </c>
      <c r="L603" s="5">
        <f t="shared" si="73"/>
        <v>3.4558711833510558E-2</v>
      </c>
      <c r="M603" s="26">
        <f t="shared" si="74"/>
        <v>695.88792000000001</v>
      </c>
    </row>
    <row r="604" spans="1:13" x14ac:dyDescent="0.25">
      <c r="A604" s="16" t="str">
        <f t="shared" si="71"/>
        <v>March</v>
      </c>
      <c r="B604" s="31">
        <v>43914</v>
      </c>
      <c r="C604" s="32" t="s">
        <v>26</v>
      </c>
      <c r="D604" s="9" t="str">
        <f t="shared" si="72"/>
        <v>43914 - 2S</v>
      </c>
      <c r="E604" s="32" t="s">
        <v>11</v>
      </c>
      <c r="F604" s="2">
        <v>8000034</v>
      </c>
      <c r="G604" s="4" t="str">
        <f>IFERROR(VLOOKUP(F604,Lists!$C:$D,2,0), "N/A")</f>
        <v>KS MILK CHOC MACADAMIA</v>
      </c>
      <c r="H604" s="26">
        <f>IFERROR(VLOOKUP(F604,Lists!$C:$F,4,0),0)</f>
        <v>3.8943099999999999</v>
      </c>
      <c r="I604" s="7">
        <f t="shared" si="70"/>
        <v>5635</v>
      </c>
      <c r="J604" s="6">
        <v>5600</v>
      </c>
      <c r="K604" s="33">
        <v>35</v>
      </c>
      <c r="L604" s="5">
        <f t="shared" si="73"/>
        <v>6.2500000000000003E-3</v>
      </c>
      <c r="M604" s="26">
        <f t="shared" si="74"/>
        <v>136.30085</v>
      </c>
    </row>
    <row r="605" spans="1:13" x14ac:dyDescent="0.25">
      <c r="A605" s="16" t="str">
        <f t="shared" si="71"/>
        <v>March</v>
      </c>
      <c r="B605" s="31">
        <v>43915</v>
      </c>
      <c r="C605" s="32" t="s">
        <v>24</v>
      </c>
      <c r="D605" s="9" t="str">
        <f t="shared" si="72"/>
        <v>43915 - 3S</v>
      </c>
      <c r="E605" s="32" t="s">
        <v>9</v>
      </c>
      <c r="F605" s="2">
        <v>8000035</v>
      </c>
      <c r="G605" s="4" t="str">
        <f>IFERROR(VLOOKUP(F605,Lists!$C:$D,2,0), "N/A")</f>
        <v>TURTLES MILK CHOC ORIGINAL</v>
      </c>
      <c r="H605" s="26">
        <f>IFERROR(VLOOKUP(F605,Lists!$C:$F,4,0),0)</f>
        <v>1.91178</v>
      </c>
      <c r="I605" s="7">
        <f t="shared" si="70"/>
        <v>11116.6</v>
      </c>
      <c r="J605" s="6">
        <v>10797.6</v>
      </c>
      <c r="K605" s="33">
        <v>319</v>
      </c>
      <c r="L605" s="5">
        <f t="shared" si="73"/>
        <v>2.9543602281988587E-2</v>
      </c>
      <c r="M605" s="26">
        <f t="shared" si="74"/>
        <v>609.85782000000006</v>
      </c>
    </row>
    <row r="606" spans="1:13" x14ac:dyDescent="0.25">
      <c r="A606" s="16" t="str">
        <f t="shared" si="71"/>
        <v>March</v>
      </c>
      <c r="B606" s="31">
        <v>43915</v>
      </c>
      <c r="C606" s="32" t="s">
        <v>24</v>
      </c>
      <c r="D606" s="9" t="str">
        <f t="shared" si="72"/>
        <v>43915 - 3S</v>
      </c>
      <c r="E606" s="32" t="s">
        <v>11</v>
      </c>
      <c r="F606" s="2">
        <v>8000034</v>
      </c>
      <c r="G606" s="4" t="str">
        <f>IFERROR(VLOOKUP(F606,Lists!$C:$D,2,0), "N/A")</f>
        <v>KS MILK CHOC MACADAMIA</v>
      </c>
      <c r="H606" s="26">
        <f>IFERROR(VLOOKUP(F606,Lists!$C:$F,4,0),0)</f>
        <v>3.8943099999999999</v>
      </c>
      <c r="I606" s="7">
        <f t="shared" si="70"/>
        <v>3243</v>
      </c>
      <c r="J606" s="6">
        <v>3200</v>
      </c>
      <c r="K606" s="33">
        <v>43</v>
      </c>
      <c r="L606" s="5">
        <f t="shared" si="73"/>
        <v>1.34375E-2</v>
      </c>
      <c r="M606" s="26">
        <f t="shared" si="74"/>
        <v>167.45533</v>
      </c>
    </row>
    <row r="607" spans="1:13" x14ac:dyDescent="0.25">
      <c r="A607" s="16" t="s">
        <v>247</v>
      </c>
      <c r="B607" s="31">
        <v>43915</v>
      </c>
      <c r="C607" s="32" t="s">
        <v>25</v>
      </c>
      <c r="D607" s="9" t="str">
        <f t="shared" si="72"/>
        <v>43915 - 1S</v>
      </c>
      <c r="E607" s="32" t="s">
        <v>9</v>
      </c>
      <c r="F607" s="2">
        <v>8000035</v>
      </c>
      <c r="G607" s="4" t="str">
        <f>IFERROR(VLOOKUP(F607,Lists!$C:$D,2,0), "N/A")</f>
        <v>TURTLES MILK CHOC ORIGINAL</v>
      </c>
      <c r="H607" s="26">
        <f>IFERROR(VLOOKUP(F607,Lists!$C:$F,4,0),0)</f>
        <v>1.91178</v>
      </c>
      <c r="I607" s="7">
        <f t="shared" si="70"/>
        <v>11672.8</v>
      </c>
      <c r="J607" s="6">
        <v>11360.8</v>
      </c>
      <c r="K607" s="33">
        <v>312</v>
      </c>
      <c r="L607" s="5">
        <f t="shared" si="73"/>
        <v>2.7462854728540244E-2</v>
      </c>
      <c r="M607" s="26">
        <f t="shared" si="74"/>
        <v>596.47536000000002</v>
      </c>
    </row>
    <row r="608" spans="1:13" x14ac:dyDescent="0.25">
      <c r="A608" s="16" t="str">
        <f t="shared" si="71"/>
        <v>March</v>
      </c>
      <c r="B608" s="31">
        <v>43915</v>
      </c>
      <c r="C608" s="32" t="s">
        <v>25</v>
      </c>
      <c r="D608" s="9" t="str">
        <f t="shared" si="72"/>
        <v>43915 - 1S</v>
      </c>
      <c r="E608" s="32" t="s">
        <v>11</v>
      </c>
      <c r="F608" s="2">
        <v>8000034</v>
      </c>
      <c r="G608" s="4" t="str">
        <f>IFERROR(VLOOKUP(F608,Lists!$C:$D,2,0), "N/A")</f>
        <v>KS MILK CHOC MACADAMIA</v>
      </c>
      <c r="H608" s="26">
        <f>IFERROR(VLOOKUP(F608,Lists!$C:$F,4,0),0)</f>
        <v>3.8943099999999999</v>
      </c>
      <c r="I608" s="7">
        <f t="shared" si="70"/>
        <v>6497</v>
      </c>
      <c r="J608" s="6">
        <v>6400</v>
      </c>
      <c r="K608" s="33">
        <v>97</v>
      </c>
      <c r="L608" s="5">
        <f t="shared" si="73"/>
        <v>1.515625E-2</v>
      </c>
      <c r="M608" s="26">
        <f t="shared" si="74"/>
        <v>377.74806999999998</v>
      </c>
    </row>
    <row r="609" spans="1:13" x14ac:dyDescent="0.25">
      <c r="A609" s="16" t="str">
        <f t="shared" si="71"/>
        <v>March</v>
      </c>
      <c r="B609" s="31">
        <v>43915</v>
      </c>
      <c r="C609" s="32" t="s">
        <v>25</v>
      </c>
      <c r="D609" s="9" t="str">
        <f t="shared" si="72"/>
        <v>43915 - 1S</v>
      </c>
      <c r="E609" s="32" t="s">
        <v>12</v>
      </c>
      <c r="F609" s="2">
        <v>8000031</v>
      </c>
      <c r="G609" s="4" t="str">
        <f>IFERROR(VLOOKUP(F609,Lists!$C:$D,2,0), "N/A")</f>
        <v>WIP.DCP FLIPZ  DARK CHOC PRETZEL</v>
      </c>
      <c r="H609" s="26">
        <f>IFERROR(VLOOKUP(F609,Lists!$C:$F,4,0),0)</f>
        <v>1.4516300000000002</v>
      </c>
      <c r="I609" s="7">
        <f t="shared" si="70"/>
        <v>8026</v>
      </c>
      <c r="J609" s="6">
        <f>320*25</f>
        <v>8000</v>
      </c>
      <c r="K609" s="33">
        <v>26</v>
      </c>
      <c r="L609" s="5">
        <f t="shared" si="73"/>
        <v>3.2499999999999999E-3</v>
      </c>
      <c r="M609" s="26">
        <f t="shared" si="74"/>
        <v>37.742380000000004</v>
      </c>
    </row>
    <row r="610" spans="1:13" x14ac:dyDescent="0.25">
      <c r="A610" s="16" t="str">
        <f t="shared" si="71"/>
        <v>March</v>
      </c>
      <c r="B610" s="31">
        <v>43915</v>
      </c>
      <c r="C610" s="32" t="s">
        <v>26</v>
      </c>
      <c r="D610" s="9" t="str">
        <f t="shared" si="72"/>
        <v>43915 - 2S</v>
      </c>
      <c r="E610" s="32" t="s">
        <v>9</v>
      </c>
      <c r="F610" s="2">
        <v>8000035</v>
      </c>
      <c r="G610" s="4" t="str">
        <f>IFERROR(VLOOKUP(F610,Lists!$C:$D,2,0), "N/A")</f>
        <v>TURTLES MILK CHOC ORIGINAL</v>
      </c>
      <c r="H610" s="26">
        <f>IFERROR(VLOOKUP(F610,Lists!$C:$F,4,0),0)</f>
        <v>1.91178</v>
      </c>
      <c r="I610" s="7">
        <f t="shared" si="70"/>
        <v>4867.72</v>
      </c>
      <c r="J610" s="6">
        <v>4670.72</v>
      </c>
      <c r="K610" s="33">
        <v>197</v>
      </c>
      <c r="L610" s="5">
        <f t="shared" si="73"/>
        <v>4.2177651411345572E-2</v>
      </c>
      <c r="M610" s="26">
        <f t="shared" si="74"/>
        <v>376.62065999999999</v>
      </c>
    </row>
    <row r="611" spans="1:13" x14ac:dyDescent="0.25">
      <c r="A611" s="16" t="str">
        <f t="shared" si="71"/>
        <v>March</v>
      </c>
      <c r="B611" s="31">
        <v>43915</v>
      </c>
      <c r="C611" s="32" t="s">
        <v>26</v>
      </c>
      <c r="D611" s="9" t="str">
        <f t="shared" si="72"/>
        <v>43915 - 2S</v>
      </c>
      <c r="E611" s="32" t="s">
        <v>11</v>
      </c>
      <c r="F611" s="2">
        <v>8000034</v>
      </c>
      <c r="G611" s="4" t="str">
        <f>IFERROR(VLOOKUP(F611,Lists!$C:$D,2,0), "N/A")</f>
        <v>KS MILK CHOC MACADAMIA</v>
      </c>
      <c r="H611" s="26">
        <f>IFERROR(VLOOKUP(F611,Lists!$C:$F,4,0),0)</f>
        <v>3.8943099999999999</v>
      </c>
      <c r="I611" s="7">
        <f t="shared" si="70"/>
        <v>4063</v>
      </c>
      <c r="J611" s="6">
        <v>4000</v>
      </c>
      <c r="K611" s="33">
        <v>63</v>
      </c>
      <c r="L611" s="5">
        <f t="shared" si="73"/>
        <v>1.575E-2</v>
      </c>
      <c r="M611" s="26">
        <f t="shared" si="74"/>
        <v>245.34153000000001</v>
      </c>
    </row>
    <row r="612" spans="1:13" x14ac:dyDescent="0.25">
      <c r="A612" s="16" t="str">
        <f t="shared" si="71"/>
        <v>March</v>
      </c>
      <c r="B612" s="31">
        <v>43915</v>
      </c>
      <c r="C612" s="32" t="s">
        <v>26</v>
      </c>
      <c r="D612" s="9" t="str">
        <f t="shared" si="72"/>
        <v>43915 - 2S</v>
      </c>
      <c r="E612" s="32" t="s">
        <v>12</v>
      </c>
      <c r="F612" s="2">
        <v>8000031</v>
      </c>
      <c r="G612" s="4" t="str">
        <f>IFERROR(VLOOKUP(F612,Lists!$C:$D,2,0), "N/A")</f>
        <v>WIP.DCP FLIPZ  DARK CHOC PRETZEL</v>
      </c>
      <c r="H612" s="26">
        <f>IFERROR(VLOOKUP(F612,Lists!$C:$F,4,0),0)</f>
        <v>1.4516300000000002</v>
      </c>
      <c r="I612" s="7">
        <f t="shared" si="70"/>
        <v>8012</v>
      </c>
      <c r="J612" s="6">
        <f>320*25</f>
        <v>8000</v>
      </c>
      <c r="K612" s="33">
        <v>12</v>
      </c>
      <c r="L612" s="5">
        <f t="shared" si="73"/>
        <v>1.5E-3</v>
      </c>
      <c r="M612" s="26">
        <f t="shared" si="74"/>
        <v>17.419560000000004</v>
      </c>
    </row>
    <row r="613" spans="1:13" x14ac:dyDescent="0.25">
      <c r="A613" s="16" t="str">
        <f t="shared" si="71"/>
        <v>March</v>
      </c>
      <c r="B613" s="31">
        <v>43916</v>
      </c>
      <c r="C613" s="32" t="s">
        <v>24</v>
      </c>
      <c r="D613" s="9" t="str">
        <f t="shared" si="72"/>
        <v>43916 - 3S</v>
      </c>
      <c r="E613" s="32" t="s">
        <v>9</v>
      </c>
      <c r="F613" s="2">
        <v>8000035</v>
      </c>
      <c r="G613" s="4" t="str">
        <f>IFERROR(VLOOKUP(F613,Lists!$C:$D,2,0), "N/A")</f>
        <v>TURTLES MILK CHOC ORIGINAL</v>
      </c>
      <c r="H613" s="26">
        <f>IFERROR(VLOOKUP(F613,Lists!$C:$F,4,0),0)</f>
        <v>1.91178</v>
      </c>
      <c r="I613" s="7">
        <f t="shared" si="70"/>
        <v>5475.2</v>
      </c>
      <c r="J613" s="6">
        <v>5227.2</v>
      </c>
      <c r="K613" s="33">
        <v>248</v>
      </c>
      <c r="L613" s="5">
        <f t="shared" si="73"/>
        <v>4.7444138353229262E-2</v>
      </c>
      <c r="M613" s="26">
        <f t="shared" si="74"/>
        <v>474.12144000000001</v>
      </c>
    </row>
    <row r="614" spans="1:13" x14ac:dyDescent="0.25">
      <c r="A614" s="16" t="str">
        <f t="shared" si="71"/>
        <v>March</v>
      </c>
      <c r="B614" s="31">
        <v>43916</v>
      </c>
      <c r="C614" s="32" t="s">
        <v>24</v>
      </c>
      <c r="D614" s="9" t="str">
        <f t="shared" si="72"/>
        <v>43916 - 3S</v>
      </c>
      <c r="E614" s="32" t="s">
        <v>11</v>
      </c>
      <c r="F614" s="2">
        <v>8000034</v>
      </c>
      <c r="G614" s="4" t="str">
        <f>IFERROR(VLOOKUP(F614,Lists!$C:$D,2,0), "N/A")</f>
        <v>KS MILK CHOC MACADAMIA</v>
      </c>
      <c r="H614" s="26">
        <f>IFERROR(VLOOKUP(F614,Lists!$C:$F,4,0),0)</f>
        <v>3.8943099999999999</v>
      </c>
      <c r="I614" s="7">
        <f t="shared" si="70"/>
        <v>3207</v>
      </c>
      <c r="J614" s="6">
        <v>3200</v>
      </c>
      <c r="K614" s="33">
        <v>7</v>
      </c>
      <c r="L614" s="5">
        <f t="shared" si="73"/>
        <v>2.1875000000000002E-3</v>
      </c>
      <c r="M614" s="26">
        <f t="shared" si="74"/>
        <v>27.260169999999999</v>
      </c>
    </row>
    <row r="615" spans="1:13" x14ac:dyDescent="0.25">
      <c r="A615" s="16" t="str">
        <f t="shared" si="71"/>
        <v>March</v>
      </c>
      <c r="B615" s="31">
        <v>43916</v>
      </c>
      <c r="C615" s="32" t="s">
        <v>24</v>
      </c>
      <c r="D615" s="9" t="str">
        <f t="shared" si="72"/>
        <v>43916 - 3S</v>
      </c>
      <c r="E615" s="32" t="s">
        <v>15</v>
      </c>
      <c r="G615" s="4" t="str">
        <f>IFERROR(VLOOKUP(F615,Lists!$C:$D,2,0), "N/A")</f>
        <v>N/A</v>
      </c>
      <c r="H615" s="26">
        <f>IFERROR(VLOOKUP(F615,Lists!$C:$F,4,0),0)</f>
        <v>0</v>
      </c>
      <c r="I615" s="7">
        <f t="shared" si="70"/>
        <v>7</v>
      </c>
      <c r="K615" s="33">
        <v>7</v>
      </c>
      <c r="L615" s="5">
        <f t="shared" si="73"/>
        <v>1</v>
      </c>
      <c r="M615" s="26">
        <f t="shared" si="74"/>
        <v>0</v>
      </c>
    </row>
    <row r="616" spans="1:13" x14ac:dyDescent="0.25">
      <c r="A616" s="16" t="str">
        <f t="shared" si="71"/>
        <v>March</v>
      </c>
      <c r="B616" s="31">
        <v>43916</v>
      </c>
      <c r="C616" s="32" t="s">
        <v>25</v>
      </c>
      <c r="D616" s="9" t="str">
        <f t="shared" si="72"/>
        <v>43916 - 1S</v>
      </c>
      <c r="E616" s="32" t="s">
        <v>9</v>
      </c>
      <c r="F616" s="2">
        <v>8000035</v>
      </c>
      <c r="G616" s="4" t="str">
        <f>IFERROR(VLOOKUP(F616,Lists!$C:$D,2,0), "N/A")</f>
        <v>TURTLES MILK CHOC ORIGINAL</v>
      </c>
      <c r="H616" s="26">
        <f>IFERROR(VLOOKUP(F616,Lists!$C:$F,4,0),0)</f>
        <v>1.91178</v>
      </c>
      <c r="I616" s="7">
        <f t="shared" si="70"/>
        <v>11698.2</v>
      </c>
      <c r="J616" s="6">
        <v>11267.2</v>
      </c>
      <c r="K616" s="33">
        <v>431</v>
      </c>
      <c r="L616" s="5">
        <f t="shared" si="73"/>
        <v>3.82526270945754E-2</v>
      </c>
      <c r="M616" s="26">
        <f t="shared" si="74"/>
        <v>823.97717999999998</v>
      </c>
    </row>
    <row r="617" spans="1:13" x14ac:dyDescent="0.25">
      <c r="A617" s="16" t="str">
        <f t="shared" si="71"/>
        <v>March</v>
      </c>
      <c r="B617" s="31">
        <v>43916</v>
      </c>
      <c r="C617" s="32" t="s">
        <v>25</v>
      </c>
      <c r="D617" s="9" t="str">
        <f t="shared" si="72"/>
        <v>43916 - 1S</v>
      </c>
      <c r="E617" s="32" t="s">
        <v>11</v>
      </c>
      <c r="F617" s="2">
        <v>8000034</v>
      </c>
      <c r="G617" s="4" t="str">
        <f>IFERROR(VLOOKUP(F617,Lists!$C:$D,2,0), "N/A")</f>
        <v>KS MILK CHOC MACADAMIA</v>
      </c>
      <c r="H617" s="26">
        <f>IFERROR(VLOOKUP(F617,Lists!$C:$F,4,0),0)</f>
        <v>3.8943099999999999</v>
      </c>
      <c r="I617" s="7">
        <f t="shared" si="70"/>
        <v>5719</v>
      </c>
      <c r="J617" s="6">
        <v>5600</v>
      </c>
      <c r="K617" s="33">
        <v>119</v>
      </c>
      <c r="L617" s="5">
        <f t="shared" si="73"/>
        <v>2.1250000000000002E-2</v>
      </c>
      <c r="M617" s="26">
        <f t="shared" si="74"/>
        <v>463.42289</v>
      </c>
    </row>
    <row r="618" spans="1:13" x14ac:dyDescent="0.25">
      <c r="A618" s="16" t="str">
        <f t="shared" si="71"/>
        <v>March</v>
      </c>
      <c r="B618" s="31">
        <v>43916</v>
      </c>
      <c r="C618" s="32" t="s">
        <v>25</v>
      </c>
      <c r="D618" s="9" t="str">
        <f t="shared" si="72"/>
        <v>43916 - 1S</v>
      </c>
      <c r="E618" s="32" t="s">
        <v>12</v>
      </c>
      <c r="F618" s="2">
        <v>8000031</v>
      </c>
      <c r="G618" s="4" t="str">
        <f>IFERROR(VLOOKUP(F618,Lists!$C:$D,2,0), "N/A")</f>
        <v>WIP.DCP FLIPZ  DARK CHOC PRETZEL</v>
      </c>
      <c r="H618" s="26">
        <f>IFERROR(VLOOKUP(F618,Lists!$C:$F,4,0),0)</f>
        <v>1.4516300000000002</v>
      </c>
      <c r="I618" s="7">
        <f t="shared" si="70"/>
        <v>6002</v>
      </c>
      <c r="J618" s="6">
        <f>240*25</f>
        <v>6000</v>
      </c>
      <c r="K618" s="33">
        <v>2</v>
      </c>
      <c r="L618" s="5">
        <f t="shared" si="73"/>
        <v>3.3333333333333332E-4</v>
      </c>
      <c r="M618" s="26">
        <f t="shared" si="74"/>
        <v>2.9032600000000004</v>
      </c>
    </row>
    <row r="619" spans="1:13" x14ac:dyDescent="0.25">
      <c r="A619" s="16" t="str">
        <f t="shared" si="71"/>
        <v>March</v>
      </c>
      <c r="B619" s="31">
        <v>43916</v>
      </c>
      <c r="C619" s="32" t="s">
        <v>26</v>
      </c>
      <c r="D619" s="9" t="str">
        <f t="shared" si="72"/>
        <v>43916 - 2S</v>
      </c>
      <c r="E619" s="32" t="s">
        <v>9</v>
      </c>
      <c r="F619" s="2">
        <v>8000035</v>
      </c>
      <c r="G619" s="4" t="str">
        <f>IFERROR(VLOOKUP(F619,Lists!$C:$D,2,0), "N/A")</f>
        <v>TURTLES MILK CHOC ORIGINAL</v>
      </c>
      <c r="H619" s="26">
        <f>IFERROR(VLOOKUP(F619,Lists!$C:$F,4,0),0)</f>
        <v>1.91178</v>
      </c>
      <c r="I619" s="7">
        <f t="shared" si="70"/>
        <v>10864.6</v>
      </c>
      <c r="J619" s="6">
        <v>10489.6</v>
      </c>
      <c r="K619" s="33">
        <v>375</v>
      </c>
      <c r="L619" s="5">
        <f t="shared" si="73"/>
        <v>3.5749694935936542E-2</v>
      </c>
      <c r="M619" s="26">
        <f t="shared" si="74"/>
        <v>716.91750000000002</v>
      </c>
    </row>
    <row r="620" spans="1:13" x14ac:dyDescent="0.25">
      <c r="A620" s="16" t="str">
        <f t="shared" si="71"/>
        <v>March</v>
      </c>
      <c r="B620" s="31">
        <v>43916</v>
      </c>
      <c r="C620" s="32" t="s">
        <v>26</v>
      </c>
      <c r="D620" s="9" t="str">
        <f t="shared" si="72"/>
        <v>43916 - 2S</v>
      </c>
      <c r="E620" s="32" t="s">
        <v>11</v>
      </c>
      <c r="F620" s="2">
        <v>8000034</v>
      </c>
      <c r="G620" s="4" t="str">
        <f>IFERROR(VLOOKUP(F620,Lists!$C:$D,2,0), "N/A")</f>
        <v>KS MILK CHOC MACADAMIA</v>
      </c>
      <c r="H620" s="26">
        <f>IFERROR(VLOOKUP(F620,Lists!$C:$F,4,0),0)</f>
        <v>3.8943099999999999</v>
      </c>
      <c r="I620" s="7">
        <f t="shared" ref="I620:I683" si="75">J620+K620</f>
        <v>4876</v>
      </c>
      <c r="J620" s="6">
        <v>4800</v>
      </c>
      <c r="K620" s="33">
        <v>76</v>
      </c>
      <c r="L620" s="5">
        <f t="shared" si="73"/>
        <v>1.5833333333333335E-2</v>
      </c>
      <c r="M620" s="26">
        <f t="shared" si="74"/>
        <v>295.96755999999999</v>
      </c>
    </row>
    <row r="621" spans="1:13" x14ac:dyDescent="0.25">
      <c r="A621" s="16" t="str">
        <f t="shared" si="71"/>
        <v>March</v>
      </c>
      <c r="B621" s="31">
        <v>43916</v>
      </c>
      <c r="C621" s="32" t="s">
        <v>26</v>
      </c>
      <c r="D621" s="9" t="str">
        <f t="shared" si="72"/>
        <v>43916 - 2S</v>
      </c>
      <c r="E621" s="32" t="s">
        <v>12</v>
      </c>
      <c r="F621" s="2">
        <v>8000031</v>
      </c>
      <c r="G621" s="4" t="str">
        <f>IFERROR(VLOOKUP(F621,Lists!$C:$D,2,0), "N/A")</f>
        <v>WIP.DCP FLIPZ  DARK CHOC PRETZEL</v>
      </c>
      <c r="H621" s="26">
        <f>IFERROR(VLOOKUP(F621,Lists!$C:$F,4,0),0)</f>
        <v>1.4516300000000002</v>
      </c>
      <c r="I621" s="7">
        <f t="shared" si="75"/>
        <v>7002</v>
      </c>
      <c r="J621" s="6">
        <f>280*25</f>
        <v>7000</v>
      </c>
      <c r="K621" s="33">
        <v>2</v>
      </c>
      <c r="L621" s="5">
        <f t="shared" si="73"/>
        <v>2.8571428571428574E-4</v>
      </c>
      <c r="M621" s="26">
        <f t="shared" si="74"/>
        <v>2.9032600000000004</v>
      </c>
    </row>
    <row r="622" spans="1:13" x14ac:dyDescent="0.25">
      <c r="A622" s="16" t="str">
        <f t="shared" si="71"/>
        <v>March</v>
      </c>
      <c r="B622" s="31">
        <v>43916</v>
      </c>
      <c r="C622" s="32" t="s">
        <v>26</v>
      </c>
      <c r="D622" s="9" t="str">
        <f t="shared" si="72"/>
        <v>43916 - 2S</v>
      </c>
      <c r="E622" s="32" t="s">
        <v>15</v>
      </c>
      <c r="G622" s="4" t="str">
        <f>IFERROR(VLOOKUP(F622,Lists!$C:$D,2,0), "N/A")</f>
        <v>N/A</v>
      </c>
      <c r="H622" s="26">
        <f>IFERROR(VLOOKUP(F622,Lists!$C:$F,4,0),0)</f>
        <v>0</v>
      </c>
      <c r="I622" s="7">
        <f t="shared" si="75"/>
        <v>20</v>
      </c>
      <c r="K622" s="33">
        <v>20</v>
      </c>
      <c r="L622" s="5">
        <f t="shared" si="73"/>
        <v>1</v>
      </c>
      <c r="M622" s="26">
        <f t="shared" si="74"/>
        <v>0</v>
      </c>
    </row>
    <row r="623" spans="1:13" x14ac:dyDescent="0.25">
      <c r="A623" s="16" t="str">
        <f t="shared" si="71"/>
        <v>March</v>
      </c>
      <c r="B623" s="31">
        <v>43917</v>
      </c>
      <c r="C623" s="32" t="s">
        <v>24</v>
      </c>
      <c r="D623" s="9" t="str">
        <f t="shared" si="72"/>
        <v>43917 - 3S</v>
      </c>
      <c r="E623" s="32" t="s">
        <v>9</v>
      </c>
      <c r="F623" s="2">
        <v>8000035</v>
      </c>
      <c r="G623" s="4" t="str">
        <f>IFERROR(VLOOKUP(F623,Lists!$C:$D,2,0), "N/A")</f>
        <v>TURTLES MILK CHOC ORIGINAL</v>
      </c>
      <c r="H623" s="26">
        <f>IFERROR(VLOOKUP(F623,Lists!$C:$F,4,0),0)</f>
        <v>1.91178</v>
      </c>
      <c r="I623" s="7">
        <f t="shared" si="75"/>
        <v>11778.6</v>
      </c>
      <c r="J623" s="6">
        <v>11289.6</v>
      </c>
      <c r="K623" s="33">
        <v>489</v>
      </c>
      <c r="L623" s="5">
        <f t="shared" si="73"/>
        <v>4.3314200680272107E-2</v>
      </c>
      <c r="M623" s="26">
        <f t="shared" si="74"/>
        <v>934.86041999999998</v>
      </c>
    </row>
    <row r="624" spans="1:13" x14ac:dyDescent="0.25">
      <c r="A624" s="16" t="str">
        <f t="shared" si="71"/>
        <v>March</v>
      </c>
      <c r="B624" s="31">
        <v>43917</v>
      </c>
      <c r="C624" s="32" t="s">
        <v>24</v>
      </c>
      <c r="D624" s="9" t="str">
        <f t="shared" si="72"/>
        <v>43917 - 3S</v>
      </c>
      <c r="E624" s="32" t="s">
        <v>11</v>
      </c>
      <c r="F624" s="2">
        <v>8000034</v>
      </c>
      <c r="G624" s="4" t="str">
        <f>IFERROR(VLOOKUP(F624,Lists!$C:$D,2,0), "N/A")</f>
        <v>KS MILK CHOC MACADAMIA</v>
      </c>
      <c r="H624" s="26">
        <f>IFERROR(VLOOKUP(F624,Lists!$C:$F,4,0),0)</f>
        <v>3.8943099999999999</v>
      </c>
      <c r="I624" s="7">
        <f t="shared" si="75"/>
        <v>5684</v>
      </c>
      <c r="J624" s="6">
        <v>5600</v>
      </c>
      <c r="K624" s="33">
        <v>84</v>
      </c>
      <c r="L624" s="5">
        <f t="shared" si="73"/>
        <v>1.4999999999999999E-2</v>
      </c>
      <c r="M624" s="26">
        <f t="shared" si="74"/>
        <v>327.12203999999997</v>
      </c>
    </row>
    <row r="625" spans="1:13" x14ac:dyDescent="0.25">
      <c r="A625" s="16" t="str">
        <f t="shared" ref="A625:A688" si="76">TEXT(B625,"mmmm")</f>
        <v>March</v>
      </c>
      <c r="B625" s="31">
        <v>43917</v>
      </c>
      <c r="C625" s="32" t="s">
        <v>24</v>
      </c>
      <c r="D625" s="9" t="str">
        <f t="shared" si="72"/>
        <v>43917 - 3S</v>
      </c>
      <c r="E625" s="32" t="s">
        <v>15</v>
      </c>
      <c r="G625" s="4" t="str">
        <f>IFERROR(VLOOKUP(F625,Lists!$C:$D,2,0), "N/A")</f>
        <v>N/A</v>
      </c>
      <c r="H625" s="26">
        <f>IFERROR(VLOOKUP(F625,Lists!$C:$F,4,0),0)</f>
        <v>0</v>
      </c>
      <c r="I625" s="7">
        <f t="shared" si="75"/>
        <v>15</v>
      </c>
      <c r="K625" s="33">
        <v>15</v>
      </c>
      <c r="L625" s="5">
        <f t="shared" si="73"/>
        <v>1</v>
      </c>
      <c r="M625" s="26">
        <f t="shared" si="74"/>
        <v>0</v>
      </c>
    </row>
    <row r="626" spans="1:13" x14ac:dyDescent="0.25">
      <c r="A626" s="16" t="str">
        <f>TEXT(B626,"mmmm")</f>
        <v>March</v>
      </c>
      <c r="B626" s="31">
        <v>43917</v>
      </c>
      <c r="C626" s="32" t="s">
        <v>25</v>
      </c>
      <c r="D626" s="9" t="str">
        <f t="shared" si="72"/>
        <v>43917 - 1S</v>
      </c>
      <c r="E626" s="32" t="s">
        <v>9</v>
      </c>
      <c r="F626" s="2">
        <v>8000035</v>
      </c>
      <c r="G626" s="4" t="str">
        <f>IFERROR(VLOOKUP(F626,Lists!$C:$D,2,0), "N/A")</f>
        <v>TURTLES MILK CHOC ORIGINAL</v>
      </c>
      <c r="H626" s="26">
        <f>IFERROR(VLOOKUP(F626,Lists!$C:$F,4,0),0)</f>
        <v>1.91178</v>
      </c>
      <c r="I626" s="7">
        <f t="shared" si="75"/>
        <v>8209.7999999999993</v>
      </c>
      <c r="J626" s="6">
        <v>7852.8</v>
      </c>
      <c r="K626" s="33">
        <v>357</v>
      </c>
      <c r="L626" s="5">
        <f t="shared" si="73"/>
        <v>4.5461491442542787E-2</v>
      </c>
      <c r="M626" s="26">
        <f t="shared" si="74"/>
        <v>682.50545999999997</v>
      </c>
    </row>
    <row r="627" spans="1:13" x14ac:dyDescent="0.25">
      <c r="A627" s="16" t="str">
        <f t="shared" si="76"/>
        <v>March</v>
      </c>
      <c r="B627" s="31">
        <v>43917</v>
      </c>
      <c r="C627" s="32" t="s">
        <v>25</v>
      </c>
      <c r="D627" s="9" t="str">
        <f t="shared" si="72"/>
        <v>43917 - 1S</v>
      </c>
      <c r="E627" s="32" t="s">
        <v>11</v>
      </c>
      <c r="F627" s="2">
        <v>8000034</v>
      </c>
      <c r="G627" s="4" t="str">
        <f>IFERROR(VLOOKUP(F627,Lists!$C:$D,2,0), "N/A")</f>
        <v>KS MILK CHOC MACADAMIA</v>
      </c>
      <c r="H627" s="26">
        <f>IFERROR(VLOOKUP(F627,Lists!$C:$F,4,0),0)</f>
        <v>3.8943099999999999</v>
      </c>
      <c r="I627" s="7">
        <f t="shared" si="75"/>
        <v>2518</v>
      </c>
      <c r="J627" s="6">
        <v>2400</v>
      </c>
      <c r="K627" s="33">
        <v>118</v>
      </c>
      <c r="L627" s="5">
        <f t="shared" si="73"/>
        <v>4.9166666666666664E-2</v>
      </c>
      <c r="M627" s="26">
        <f t="shared" si="74"/>
        <v>459.52857999999998</v>
      </c>
    </row>
    <row r="628" spans="1:13" x14ac:dyDescent="0.25">
      <c r="A628" s="16" t="str">
        <f t="shared" si="76"/>
        <v>March</v>
      </c>
      <c r="B628" s="31">
        <v>43917</v>
      </c>
      <c r="C628" s="32" t="s">
        <v>25</v>
      </c>
      <c r="D628" s="9" t="str">
        <f t="shared" si="72"/>
        <v>43917 - 1S</v>
      </c>
      <c r="E628" s="32" t="s">
        <v>12</v>
      </c>
      <c r="F628" s="2">
        <v>8000031</v>
      </c>
      <c r="G628" s="4" t="str">
        <f>IFERROR(VLOOKUP(F628,Lists!$C:$D,2,0), "N/A")</f>
        <v>WIP.DCP FLIPZ  DARK CHOC PRETZEL</v>
      </c>
      <c r="H628" s="26">
        <f>IFERROR(VLOOKUP(F628,Lists!$C:$F,4,0),0)</f>
        <v>1.4516300000000002</v>
      </c>
      <c r="I628" s="7">
        <f t="shared" si="75"/>
        <v>4055</v>
      </c>
      <c r="J628" s="6">
        <f>162*25</f>
        <v>4050</v>
      </c>
      <c r="K628" s="33">
        <v>5</v>
      </c>
      <c r="L628" s="5">
        <f t="shared" si="73"/>
        <v>1.2345679012345679E-3</v>
      </c>
      <c r="M628" s="26">
        <f t="shared" si="74"/>
        <v>7.2581500000000005</v>
      </c>
    </row>
    <row r="629" spans="1:13" x14ac:dyDescent="0.25">
      <c r="A629" s="16" t="str">
        <f t="shared" si="76"/>
        <v>March</v>
      </c>
      <c r="B629" s="31">
        <v>43917</v>
      </c>
      <c r="C629" s="32" t="s">
        <v>25</v>
      </c>
      <c r="D629" s="9" t="str">
        <f t="shared" si="72"/>
        <v>43917 - 1S</v>
      </c>
      <c r="E629" s="32" t="s">
        <v>15</v>
      </c>
      <c r="G629" s="4" t="str">
        <f>IFERROR(VLOOKUP(F629,Lists!$C:$D,2,0), "N/A")</f>
        <v>N/A</v>
      </c>
      <c r="H629" s="26">
        <f>IFERROR(VLOOKUP(F629,Lists!$C:$F,4,0),0)</f>
        <v>0</v>
      </c>
      <c r="I629" s="7">
        <f t="shared" si="75"/>
        <v>55</v>
      </c>
      <c r="K629" s="33">
        <v>55</v>
      </c>
      <c r="L629" s="5">
        <f t="shared" si="73"/>
        <v>1</v>
      </c>
      <c r="M629" s="26">
        <f t="shared" si="74"/>
        <v>0</v>
      </c>
    </row>
    <row r="630" spans="1:13" x14ac:dyDescent="0.25">
      <c r="A630" s="16" t="str">
        <f t="shared" si="76"/>
        <v>March</v>
      </c>
      <c r="B630" s="31">
        <v>43918</v>
      </c>
      <c r="C630" s="32" t="s">
        <v>25</v>
      </c>
      <c r="D630" s="9" t="str">
        <f t="shared" si="72"/>
        <v>43918 - 1S</v>
      </c>
      <c r="E630" s="32" t="s">
        <v>9</v>
      </c>
      <c r="F630" s="2">
        <v>8000038</v>
      </c>
      <c r="G630" s="4" t="str">
        <f>IFERROR(VLOOKUP(F630,Lists!$C:$D,2,0), "N/A")</f>
        <v>TURTLES MILK CHOC PEC BITE SZ</v>
      </c>
      <c r="H630" s="26">
        <f>IFERROR(VLOOKUP(F630,Lists!$C:$F,4,0),0)</f>
        <v>1.96</v>
      </c>
      <c r="I630" s="7">
        <f t="shared" si="75"/>
        <v>4335.88</v>
      </c>
      <c r="J630" s="6">
        <v>3974.88</v>
      </c>
      <c r="K630" s="33">
        <v>361</v>
      </c>
      <c r="L630" s="5">
        <f t="shared" si="73"/>
        <v>9.0820351809362793E-2</v>
      </c>
      <c r="M630" s="26">
        <f t="shared" si="74"/>
        <v>707.56</v>
      </c>
    </row>
    <row r="631" spans="1:13" x14ac:dyDescent="0.25">
      <c r="A631" s="16" t="s">
        <v>247</v>
      </c>
      <c r="B631" s="31">
        <v>43918</v>
      </c>
      <c r="C631" s="32" t="s">
        <v>25</v>
      </c>
      <c r="D631" s="9" t="str">
        <f t="shared" si="72"/>
        <v>43918 - 1S</v>
      </c>
      <c r="E631" s="32" t="s">
        <v>15</v>
      </c>
      <c r="G631" s="4" t="str">
        <f>IFERROR(VLOOKUP(F631,Lists!$C:$D,2,0), "N/A")</f>
        <v>N/A</v>
      </c>
      <c r="H631" s="26">
        <f>IFERROR(VLOOKUP(F631,Lists!$C:$F,4,0),0)</f>
        <v>0</v>
      </c>
      <c r="I631" s="7">
        <f t="shared" si="75"/>
        <v>10</v>
      </c>
      <c r="K631" s="33">
        <v>10</v>
      </c>
      <c r="L631" s="5">
        <f t="shared" si="73"/>
        <v>1</v>
      </c>
      <c r="M631" s="26">
        <f t="shared" si="74"/>
        <v>0</v>
      </c>
    </row>
    <row r="632" spans="1:13" x14ac:dyDescent="0.25">
      <c r="A632" s="16" t="s">
        <v>247</v>
      </c>
      <c r="B632" s="31">
        <v>43918</v>
      </c>
      <c r="C632" s="32" t="s">
        <v>26</v>
      </c>
      <c r="D632" s="9" t="str">
        <f t="shared" si="72"/>
        <v>43918 - 2S</v>
      </c>
      <c r="E632" s="32" t="s">
        <v>9</v>
      </c>
      <c r="F632" s="2">
        <v>8000038</v>
      </c>
      <c r="G632" s="4" t="str">
        <f>IFERROR(VLOOKUP(F632,Lists!$C:$D,2,0), "N/A")</f>
        <v>TURTLES MILK CHOC PEC BITE SZ</v>
      </c>
      <c r="H632" s="26">
        <f>IFERROR(VLOOKUP(F632,Lists!$C:$F,4,0),0)</f>
        <v>1.96</v>
      </c>
      <c r="I632" s="7">
        <f t="shared" si="75"/>
        <v>5890.4</v>
      </c>
      <c r="J632" s="6">
        <v>5678.4</v>
      </c>
      <c r="K632" s="33">
        <v>212</v>
      </c>
      <c r="L632" s="5">
        <f t="shared" si="73"/>
        <v>3.733446041138349E-2</v>
      </c>
      <c r="M632" s="26">
        <f t="shared" si="74"/>
        <v>415.52</v>
      </c>
    </row>
    <row r="633" spans="1:13" x14ac:dyDescent="0.25">
      <c r="A633" s="16" t="s">
        <v>247</v>
      </c>
      <c r="B633" s="31">
        <v>43918</v>
      </c>
      <c r="C633" s="32" t="s">
        <v>24</v>
      </c>
      <c r="D633" s="9" t="str">
        <f t="shared" si="72"/>
        <v>43918 - 3S</v>
      </c>
      <c r="E633" s="32" t="s">
        <v>9</v>
      </c>
      <c r="F633" s="2">
        <v>8000038</v>
      </c>
      <c r="G633" s="4" t="str">
        <f>IFERROR(VLOOKUP(F633,Lists!$C:$D,2,0), "N/A")</f>
        <v>TURTLES MILK CHOC PEC BITE SZ</v>
      </c>
      <c r="H633" s="26">
        <f>IFERROR(VLOOKUP(F633,Lists!$C:$F,4,0),0)</f>
        <v>1.96</v>
      </c>
      <c r="I633" s="7">
        <f t="shared" si="75"/>
        <v>2435.36</v>
      </c>
      <c r="J633" s="6">
        <v>2271.36</v>
      </c>
      <c r="K633" s="33">
        <v>164</v>
      </c>
      <c r="L633" s="5">
        <f t="shared" si="73"/>
        <v>7.2203437588052963E-2</v>
      </c>
      <c r="M633" s="26">
        <f t="shared" si="74"/>
        <v>321.44</v>
      </c>
    </row>
    <row r="634" spans="1:13" x14ac:dyDescent="0.25">
      <c r="A634" s="16" t="s">
        <v>247</v>
      </c>
      <c r="B634" s="31">
        <v>43919</v>
      </c>
      <c r="C634" s="32" t="s">
        <v>26</v>
      </c>
      <c r="D634" s="9" t="str">
        <f t="shared" si="72"/>
        <v>43919 - 2S</v>
      </c>
      <c r="E634" s="32" t="s">
        <v>9</v>
      </c>
      <c r="F634" s="2">
        <v>8000038</v>
      </c>
      <c r="G634" s="4" t="str">
        <f>IFERROR(VLOOKUP(F634,Lists!$C:$D,2,0), "N/A")</f>
        <v>TURTLES MILK CHOC PEC BITE SZ</v>
      </c>
      <c r="H634" s="26">
        <f>IFERROR(VLOOKUP(F634,Lists!$C:$F,4,0),0)</f>
        <v>1.96</v>
      </c>
      <c r="I634" s="7">
        <f t="shared" si="75"/>
        <v>2843.95</v>
      </c>
      <c r="J634" s="6">
        <v>2839.2</v>
      </c>
      <c r="K634" s="33">
        <v>4.75</v>
      </c>
      <c r="L634" s="5">
        <f t="shared" si="73"/>
        <v>1.6730064806987886E-3</v>
      </c>
      <c r="M634" s="26">
        <f t="shared" si="74"/>
        <v>9.31</v>
      </c>
    </row>
    <row r="635" spans="1:13" x14ac:dyDescent="0.25">
      <c r="A635" s="16" t="s">
        <v>247</v>
      </c>
      <c r="B635" s="31">
        <v>43920</v>
      </c>
      <c r="C635" s="32" t="s">
        <v>24</v>
      </c>
      <c r="D635" s="9" t="str">
        <f t="shared" si="72"/>
        <v>43920 - 3S</v>
      </c>
      <c r="E635" s="32" t="s">
        <v>9</v>
      </c>
      <c r="F635" s="2">
        <v>8000038</v>
      </c>
      <c r="G635" s="4" t="str">
        <f>IFERROR(VLOOKUP(F635,Lists!$C:$D,2,0), "N/A")</f>
        <v>TURTLES MILK CHOC PEC BITE SZ</v>
      </c>
      <c r="H635" s="26">
        <f>IFERROR(VLOOKUP(F635,Lists!$C:$F,4,0),0)</f>
        <v>1.96</v>
      </c>
      <c r="I635" s="7">
        <f t="shared" si="75"/>
        <v>5528.56</v>
      </c>
      <c r="J635" s="6">
        <v>5110.5600000000004</v>
      </c>
      <c r="K635" s="33">
        <v>418</v>
      </c>
      <c r="L635" s="5">
        <f t="shared" si="73"/>
        <v>8.1791427945274095E-2</v>
      </c>
      <c r="M635" s="26">
        <f t="shared" si="74"/>
        <v>819.28</v>
      </c>
    </row>
    <row r="636" spans="1:13" x14ac:dyDescent="0.25">
      <c r="A636" s="16" t="s">
        <v>247</v>
      </c>
      <c r="B636" s="31">
        <v>43920</v>
      </c>
      <c r="C636" s="32" t="s">
        <v>25</v>
      </c>
      <c r="D636" s="9" t="str">
        <f t="shared" si="72"/>
        <v>43920 - 1S</v>
      </c>
      <c r="E636" s="32" t="s">
        <v>9</v>
      </c>
      <c r="F636" s="2">
        <v>8000038</v>
      </c>
      <c r="G636" s="4" t="str">
        <f>IFERROR(VLOOKUP(F636,Lists!$C:$D,2,0), "N/A")</f>
        <v>TURTLES MILK CHOC PEC BITE SZ</v>
      </c>
      <c r="H636" s="26">
        <f>IFERROR(VLOOKUP(F636,Lists!$C:$F,4,0),0)</f>
        <v>1.96</v>
      </c>
      <c r="I636" s="7">
        <f t="shared" si="75"/>
        <v>5948.4</v>
      </c>
      <c r="J636" s="6">
        <v>5678.4</v>
      </c>
      <c r="K636" s="33">
        <v>270</v>
      </c>
      <c r="L636" s="5">
        <f t="shared" si="73"/>
        <v>4.7548605240912936E-2</v>
      </c>
      <c r="M636" s="26">
        <f t="shared" si="74"/>
        <v>529.20000000000005</v>
      </c>
    </row>
    <row r="637" spans="1:13" x14ac:dyDescent="0.25">
      <c r="A637" s="16" t="s">
        <v>247</v>
      </c>
      <c r="B637" s="31">
        <v>43920</v>
      </c>
      <c r="C637" s="32" t="s">
        <v>25</v>
      </c>
      <c r="D637" s="9" t="str">
        <f t="shared" si="72"/>
        <v>43920 - 1S</v>
      </c>
      <c r="E637" s="32" t="s">
        <v>13</v>
      </c>
      <c r="F637" s="2">
        <v>8000055</v>
      </c>
      <c r="G637" s="4" t="str">
        <f>IFERROR(VLOOKUP(F637,Lists!$C:$D,2,0), "N/A")</f>
        <v>916.BF FLIPZ 25 LB BULK MILK CHOC</v>
      </c>
      <c r="H637" s="26">
        <f>IFERROR(VLOOKUP(F637,Lists!$C:$F,4,0),0)</f>
        <v>1.9508160000000001</v>
      </c>
      <c r="I637" s="7">
        <f t="shared" si="75"/>
        <v>319</v>
      </c>
      <c r="J637" s="6">
        <f>10*25</f>
        <v>250</v>
      </c>
      <c r="K637" s="33">
        <v>69</v>
      </c>
      <c r="L637" s="5">
        <f t="shared" si="73"/>
        <v>0.27600000000000002</v>
      </c>
      <c r="M637" s="26">
        <f t="shared" si="74"/>
        <v>134.60630399999999</v>
      </c>
    </row>
    <row r="638" spans="1:13" x14ac:dyDescent="0.25">
      <c r="A638" s="16" t="str">
        <f t="shared" si="76"/>
        <v>March</v>
      </c>
      <c r="B638" s="31">
        <v>43920</v>
      </c>
      <c r="C638" s="32" t="s">
        <v>26</v>
      </c>
      <c r="D638" s="9" t="str">
        <f t="shared" si="72"/>
        <v>43920 - 2S</v>
      </c>
      <c r="E638" s="32" t="s">
        <v>9</v>
      </c>
      <c r="F638" s="2">
        <v>8000038</v>
      </c>
      <c r="G638" s="4" t="str">
        <f>IFERROR(VLOOKUP(F638,Lists!$C:$D,2,0), "N/A")</f>
        <v>TURTLES MILK CHOC PEC BITE SZ</v>
      </c>
      <c r="H638" s="26">
        <f>IFERROR(VLOOKUP(F638,Lists!$C:$F,4,0),0)</f>
        <v>1.96</v>
      </c>
      <c r="I638" s="7">
        <f t="shared" si="75"/>
        <v>4197.8</v>
      </c>
      <c r="J638" s="6">
        <v>3751.8</v>
      </c>
      <c r="K638" s="33">
        <v>446</v>
      </c>
      <c r="L638" s="5">
        <f t="shared" si="73"/>
        <v>0.11887627272242657</v>
      </c>
      <c r="M638" s="26">
        <f t="shared" si="74"/>
        <v>874.16</v>
      </c>
    </row>
    <row r="639" spans="1:13" x14ac:dyDescent="0.25">
      <c r="A639" s="16" t="str">
        <f t="shared" si="76"/>
        <v>March</v>
      </c>
      <c r="B639" s="31">
        <v>43920</v>
      </c>
      <c r="C639" s="32" t="s">
        <v>26</v>
      </c>
      <c r="D639" s="9" t="str">
        <f t="shared" si="72"/>
        <v>43920 - 2S</v>
      </c>
      <c r="E639" s="32" t="s">
        <v>13</v>
      </c>
      <c r="F639" s="2">
        <v>8000055</v>
      </c>
      <c r="G639" s="4" t="str">
        <f>IFERROR(VLOOKUP(F639,Lists!$C:$D,2,0), "N/A")</f>
        <v>916.BF FLIPZ 25 LB BULK MILK CHOC</v>
      </c>
      <c r="H639" s="26">
        <f>IFERROR(VLOOKUP(F639,Lists!$C:$F,4,0),0)</f>
        <v>1.9508160000000001</v>
      </c>
      <c r="I639" s="7">
        <f t="shared" si="75"/>
        <v>1762</v>
      </c>
      <c r="J639" s="6">
        <f>70*25</f>
        <v>1750</v>
      </c>
      <c r="K639" s="33">
        <v>12</v>
      </c>
      <c r="L639" s="5">
        <f t="shared" si="73"/>
        <v>6.8571428571428568E-3</v>
      </c>
      <c r="M639" s="26">
        <f t="shared" si="74"/>
        <v>23.409792000000003</v>
      </c>
    </row>
    <row r="640" spans="1:13" x14ac:dyDescent="0.25">
      <c r="A640" s="16" t="str">
        <f t="shared" si="76"/>
        <v>March</v>
      </c>
      <c r="B640" s="31">
        <v>43921</v>
      </c>
      <c r="C640" s="32" t="s">
        <v>24</v>
      </c>
      <c r="D640" s="9" t="str">
        <f t="shared" si="72"/>
        <v>43921 - 3S</v>
      </c>
      <c r="E640" s="32" t="s">
        <v>9</v>
      </c>
      <c r="F640" s="2">
        <v>8000038</v>
      </c>
      <c r="G640" s="4" t="str">
        <f>IFERROR(VLOOKUP(F640,Lists!$C:$D,2,0), "N/A")</f>
        <v>TURTLES MILK CHOC PEC BITE SZ</v>
      </c>
      <c r="H640" s="26">
        <f>IFERROR(VLOOKUP(F640,Lists!$C:$F,4,0),0)</f>
        <v>1.96</v>
      </c>
      <c r="I640" s="7">
        <f t="shared" si="75"/>
        <v>3870.04</v>
      </c>
      <c r="J640" s="6">
        <v>3407.04</v>
      </c>
      <c r="K640" s="33">
        <v>463</v>
      </c>
      <c r="L640" s="5">
        <f t="shared" si="73"/>
        <v>0.13589508781816476</v>
      </c>
      <c r="M640" s="26">
        <f t="shared" si="74"/>
        <v>907.48</v>
      </c>
    </row>
    <row r="641" spans="1:13" x14ac:dyDescent="0.25">
      <c r="A641" s="16" t="str">
        <f t="shared" si="76"/>
        <v>March</v>
      </c>
      <c r="B641" s="31">
        <v>43921</v>
      </c>
      <c r="C641" s="32" t="s">
        <v>24</v>
      </c>
      <c r="D641" s="9" t="str">
        <f t="shared" si="72"/>
        <v>43921 - 3S</v>
      </c>
      <c r="E641" s="32" t="s">
        <v>11</v>
      </c>
      <c r="F641" s="2">
        <v>8000034</v>
      </c>
      <c r="G641" s="4" t="str">
        <f>IFERROR(VLOOKUP(F641,Lists!$C:$D,2,0), "N/A")</f>
        <v>KS MILK CHOC MACADAMIA</v>
      </c>
      <c r="H641" s="26">
        <f>IFERROR(VLOOKUP(F641,Lists!$C:$F,4,0),0)</f>
        <v>3.8943099999999999</v>
      </c>
      <c r="I641" s="7">
        <f t="shared" si="75"/>
        <v>6475</v>
      </c>
      <c r="J641" s="6">
        <v>6400</v>
      </c>
      <c r="K641" s="33">
        <v>75</v>
      </c>
      <c r="L641" s="5">
        <f t="shared" si="73"/>
        <v>1.171875E-2</v>
      </c>
      <c r="M641" s="26">
        <f t="shared" si="74"/>
        <v>292.07324999999997</v>
      </c>
    </row>
    <row r="642" spans="1:13" x14ac:dyDescent="0.25">
      <c r="A642" s="16" t="str">
        <f t="shared" si="76"/>
        <v>March</v>
      </c>
      <c r="B642" s="31">
        <v>43921</v>
      </c>
      <c r="C642" s="32" t="s">
        <v>25</v>
      </c>
      <c r="D642" s="9" t="str">
        <f t="shared" si="72"/>
        <v>43921 - 1S</v>
      </c>
      <c r="E642" s="32" t="s">
        <v>9</v>
      </c>
      <c r="F642" s="2">
        <v>8000038</v>
      </c>
      <c r="G642" s="4" t="str">
        <f>IFERROR(VLOOKUP(F642,Lists!$C:$D,2,0), "N/A")</f>
        <v>TURTLES MILK CHOC PEC BITE SZ</v>
      </c>
      <c r="H642" s="26">
        <f>IFERROR(VLOOKUP(F642,Lists!$C:$F,4,0),0)</f>
        <v>1.96</v>
      </c>
      <c r="I642" s="7">
        <f t="shared" si="75"/>
        <v>5440.56</v>
      </c>
      <c r="J642" s="6">
        <v>5110.5600000000004</v>
      </c>
      <c r="K642" s="33">
        <v>330</v>
      </c>
      <c r="L642" s="5">
        <f t="shared" si="73"/>
        <v>6.4572179956795331E-2</v>
      </c>
      <c r="M642" s="26">
        <f t="shared" si="74"/>
        <v>646.79999999999995</v>
      </c>
    </row>
    <row r="643" spans="1:13" x14ac:dyDescent="0.25">
      <c r="A643" s="16" t="str">
        <f t="shared" si="76"/>
        <v>March</v>
      </c>
      <c r="B643" s="31">
        <v>43921</v>
      </c>
      <c r="C643" s="32" t="s">
        <v>25</v>
      </c>
      <c r="D643" s="9" t="str">
        <f t="shared" si="72"/>
        <v>43921 - 1S</v>
      </c>
      <c r="E643" s="32" t="s">
        <v>11</v>
      </c>
      <c r="F643" s="2">
        <v>8000034</v>
      </c>
      <c r="G643" s="4" t="str">
        <f>IFERROR(VLOOKUP(F643,Lists!$C:$D,2,0), "N/A")</f>
        <v>KS MILK CHOC MACADAMIA</v>
      </c>
      <c r="H643" s="26">
        <f>IFERROR(VLOOKUP(F643,Lists!$C:$F,4,0),0)</f>
        <v>3.8943099999999999</v>
      </c>
      <c r="I643" s="7">
        <f t="shared" si="75"/>
        <v>8125</v>
      </c>
      <c r="J643" s="6">
        <v>8000</v>
      </c>
      <c r="K643" s="33">
        <v>125</v>
      </c>
      <c r="L643" s="5">
        <f t="shared" si="73"/>
        <v>1.5625E-2</v>
      </c>
      <c r="M643" s="26">
        <f t="shared" si="74"/>
        <v>486.78874999999999</v>
      </c>
    </row>
    <row r="644" spans="1:13" x14ac:dyDescent="0.25">
      <c r="A644" s="16" t="str">
        <f t="shared" si="76"/>
        <v>March</v>
      </c>
      <c r="B644" s="31">
        <v>43921</v>
      </c>
      <c r="C644" s="32" t="s">
        <v>26</v>
      </c>
      <c r="D644" s="9" t="str">
        <f t="shared" si="72"/>
        <v>43921 - 2S</v>
      </c>
      <c r="E644" s="32" t="s">
        <v>9</v>
      </c>
      <c r="F644" s="2">
        <v>8000038</v>
      </c>
      <c r="G644" s="4" t="str">
        <f>IFERROR(VLOOKUP(F644,Lists!$C:$D,2,0), "N/A")</f>
        <v>TURTLES MILK CHOC PEC BITE SZ</v>
      </c>
      <c r="H644" s="26">
        <f>IFERROR(VLOOKUP(F644,Lists!$C:$F,4,0),0)</f>
        <v>1.96</v>
      </c>
      <c r="I644" s="7">
        <f t="shared" si="75"/>
        <v>4286.04</v>
      </c>
      <c r="J644" s="6">
        <v>3407.04</v>
      </c>
      <c r="K644" s="33">
        <v>879</v>
      </c>
      <c r="L644" s="5">
        <f t="shared" si="73"/>
        <v>0.25799520991828684</v>
      </c>
      <c r="M644" s="26">
        <f t="shared" si="74"/>
        <v>1722.84</v>
      </c>
    </row>
    <row r="645" spans="1:13" x14ac:dyDescent="0.25">
      <c r="A645" s="16" t="str">
        <f t="shared" si="76"/>
        <v>March</v>
      </c>
      <c r="B645" s="31">
        <v>43921</v>
      </c>
      <c r="C645" s="32" t="s">
        <v>26</v>
      </c>
      <c r="D645" s="9" t="str">
        <f t="shared" si="72"/>
        <v>43921 - 2S</v>
      </c>
      <c r="E645" s="32" t="s">
        <v>11</v>
      </c>
      <c r="F645" s="2">
        <v>8000034</v>
      </c>
      <c r="G645" s="4" t="str">
        <f>IFERROR(VLOOKUP(F645,Lists!$C:$D,2,0), "N/A")</f>
        <v>KS MILK CHOC MACADAMIA</v>
      </c>
      <c r="H645" s="26">
        <f>IFERROR(VLOOKUP(F645,Lists!$C:$F,4,0),0)</f>
        <v>3.8943099999999999</v>
      </c>
      <c r="I645" s="7">
        <f t="shared" si="75"/>
        <v>8060</v>
      </c>
      <c r="J645" s="6">
        <v>8000</v>
      </c>
      <c r="K645" s="33">
        <v>60</v>
      </c>
      <c r="L645" s="5">
        <f t="shared" si="73"/>
        <v>7.4999999999999997E-3</v>
      </c>
      <c r="M645" s="26">
        <f t="shared" si="74"/>
        <v>233.65860000000001</v>
      </c>
    </row>
    <row r="646" spans="1:13" x14ac:dyDescent="0.25">
      <c r="A646" s="16" t="str">
        <f t="shared" si="76"/>
        <v>March</v>
      </c>
      <c r="B646" s="31">
        <v>43921</v>
      </c>
      <c r="C646" s="32" t="s">
        <v>26</v>
      </c>
      <c r="D646" s="9" t="str">
        <f t="shared" si="72"/>
        <v>43921 - 2S</v>
      </c>
      <c r="E646" s="32" t="s">
        <v>15</v>
      </c>
      <c r="G646" s="4" t="str">
        <f>IFERROR(VLOOKUP(F646,Lists!$C:$D,2,0), "N/A")</f>
        <v>N/A</v>
      </c>
      <c r="H646" s="26">
        <f>IFERROR(VLOOKUP(F646,Lists!$C:$F,4,0),0)</f>
        <v>0</v>
      </c>
      <c r="I646" s="7">
        <f t="shared" si="75"/>
        <v>17</v>
      </c>
      <c r="K646" s="33">
        <v>17</v>
      </c>
      <c r="L646" s="5">
        <f t="shared" si="73"/>
        <v>1</v>
      </c>
      <c r="M646" s="26">
        <f t="shared" si="74"/>
        <v>0</v>
      </c>
    </row>
    <row r="647" spans="1:13" x14ac:dyDescent="0.25">
      <c r="A647" s="16" t="str">
        <f t="shared" si="76"/>
        <v>March</v>
      </c>
      <c r="B647" s="31">
        <v>43921</v>
      </c>
      <c r="C647" s="32" t="s">
        <v>24</v>
      </c>
      <c r="D647" s="9" t="str">
        <f t="shared" ref="D647:D710" si="77">CONCATENATE(B647," - ",C647)</f>
        <v>43921 - 3S</v>
      </c>
      <c r="E647" s="32" t="s">
        <v>9</v>
      </c>
      <c r="F647" s="2">
        <v>8000038</v>
      </c>
      <c r="G647" s="4" t="str">
        <f>IFERROR(VLOOKUP(F647,Lists!$C:$D,2,0), "N/A")</f>
        <v>TURTLES MILK CHOC PEC BITE SZ</v>
      </c>
      <c r="H647" s="26">
        <f>IFERROR(VLOOKUP(F647,Lists!$C:$F,4,0),0)</f>
        <v>1.96</v>
      </c>
      <c r="I647" s="7">
        <f t="shared" si="75"/>
        <v>3757.04</v>
      </c>
      <c r="J647" s="6">
        <v>3407.04</v>
      </c>
      <c r="K647" s="33">
        <v>350</v>
      </c>
      <c r="L647" s="5">
        <f t="shared" ref="L647:L710" si="78">IFERROR((K647/J647),1)</f>
        <v>0.1027284681130835</v>
      </c>
      <c r="M647" s="26">
        <f t="shared" ref="M647:M710" si="79">K647*H647</f>
        <v>686</v>
      </c>
    </row>
    <row r="648" spans="1:13" x14ac:dyDescent="0.25">
      <c r="A648" s="16" t="str">
        <f t="shared" si="76"/>
        <v>March</v>
      </c>
      <c r="B648" s="31">
        <v>43921</v>
      </c>
      <c r="C648" s="32" t="s">
        <v>24</v>
      </c>
      <c r="D648" s="9" t="str">
        <f t="shared" si="77"/>
        <v>43921 - 3S</v>
      </c>
      <c r="E648" s="32" t="s">
        <v>11</v>
      </c>
      <c r="F648" s="2">
        <v>8000034</v>
      </c>
      <c r="G648" s="4" t="str">
        <f>IFERROR(VLOOKUP(F648,Lists!$C:$D,2,0), "N/A")</f>
        <v>KS MILK CHOC MACADAMIA</v>
      </c>
      <c r="H648" s="26">
        <f>IFERROR(VLOOKUP(F648,Lists!$C:$F,4,0),0)</f>
        <v>3.8943099999999999</v>
      </c>
      <c r="I648" s="7">
        <f t="shared" si="75"/>
        <v>7206</v>
      </c>
      <c r="J648" s="6">
        <v>7200</v>
      </c>
      <c r="K648" s="33">
        <v>6</v>
      </c>
      <c r="L648" s="5">
        <f t="shared" si="78"/>
        <v>8.3333333333333339E-4</v>
      </c>
      <c r="M648" s="26">
        <f t="shared" si="79"/>
        <v>23.365859999999998</v>
      </c>
    </row>
    <row r="649" spans="1:13" x14ac:dyDescent="0.25">
      <c r="A649" s="16" t="str">
        <f t="shared" si="76"/>
        <v>March</v>
      </c>
      <c r="B649" s="31">
        <v>43921</v>
      </c>
      <c r="C649" s="32" t="s">
        <v>24</v>
      </c>
      <c r="D649" s="9" t="str">
        <f t="shared" si="77"/>
        <v>43921 - 3S</v>
      </c>
      <c r="E649" s="32" t="s">
        <v>15</v>
      </c>
      <c r="G649" s="4" t="str">
        <f>IFERROR(VLOOKUP(F649,Lists!$C:$D,2,0), "N/A")</f>
        <v>N/A</v>
      </c>
      <c r="H649" s="26">
        <f>IFERROR(VLOOKUP(F649,Lists!$C:$F,4,0),0)</f>
        <v>0</v>
      </c>
      <c r="I649" s="7">
        <f t="shared" si="75"/>
        <v>22</v>
      </c>
      <c r="K649" s="33">
        <v>22</v>
      </c>
      <c r="L649" s="5">
        <f t="shared" si="78"/>
        <v>1</v>
      </c>
      <c r="M649" s="26">
        <f t="shared" si="79"/>
        <v>0</v>
      </c>
    </row>
    <row r="650" spans="1:13" x14ac:dyDescent="0.25">
      <c r="A650" s="16" t="str">
        <f t="shared" si="76"/>
        <v>April</v>
      </c>
      <c r="B650" s="31">
        <v>43922</v>
      </c>
      <c r="C650" s="32" t="s">
        <v>25</v>
      </c>
      <c r="D650" s="9" t="str">
        <f t="shared" si="77"/>
        <v>43922 - 1S</v>
      </c>
      <c r="E650" s="32" t="s">
        <v>9</v>
      </c>
      <c r="F650" s="2">
        <v>8000038</v>
      </c>
      <c r="G650" s="4" t="str">
        <f>IFERROR(VLOOKUP(F650,Lists!$C:$D,2,0), "N/A")</f>
        <v>TURTLES MILK CHOC PEC BITE SZ</v>
      </c>
      <c r="H650" s="26">
        <f>IFERROR(VLOOKUP(F650,Lists!$C:$F,4,0),0)</f>
        <v>1.96</v>
      </c>
      <c r="I650" s="7">
        <f t="shared" si="75"/>
        <v>2518.36</v>
      </c>
      <c r="J650" s="6">
        <v>2271.36</v>
      </c>
      <c r="K650" s="33">
        <v>247</v>
      </c>
      <c r="L650" s="5">
        <f t="shared" si="78"/>
        <v>0.10874542124542123</v>
      </c>
      <c r="M650" s="26">
        <f t="shared" si="79"/>
        <v>484.12</v>
      </c>
    </row>
    <row r="651" spans="1:13" x14ac:dyDescent="0.25">
      <c r="A651" s="16" t="str">
        <f t="shared" si="76"/>
        <v>April</v>
      </c>
      <c r="B651" s="31">
        <v>43922</v>
      </c>
      <c r="C651" s="32" t="s">
        <v>25</v>
      </c>
      <c r="D651" s="9" t="str">
        <f t="shared" si="77"/>
        <v>43922 - 1S</v>
      </c>
      <c r="E651" s="32" t="s">
        <v>11</v>
      </c>
      <c r="F651" s="2">
        <v>8000034</v>
      </c>
      <c r="G651" s="4" t="str">
        <f>IFERROR(VLOOKUP(F651,Lists!$C:$D,2,0), "N/A")</f>
        <v>KS MILK CHOC MACADAMIA</v>
      </c>
      <c r="H651" s="26">
        <f>IFERROR(VLOOKUP(F651,Lists!$C:$F,4,0),0)</f>
        <v>3.8943099999999999</v>
      </c>
      <c r="I651" s="7">
        <f t="shared" si="75"/>
        <v>8147</v>
      </c>
      <c r="J651" s="6">
        <v>8000</v>
      </c>
      <c r="K651" s="33">
        <v>147</v>
      </c>
      <c r="L651" s="5">
        <f t="shared" si="78"/>
        <v>1.8374999999999999E-2</v>
      </c>
      <c r="M651" s="26">
        <f t="shared" si="79"/>
        <v>572.46357</v>
      </c>
    </row>
    <row r="652" spans="1:13" x14ac:dyDescent="0.25">
      <c r="A652" s="16" t="str">
        <f t="shared" si="76"/>
        <v>April</v>
      </c>
      <c r="B652" s="31">
        <v>43922</v>
      </c>
      <c r="C652" s="32" t="s">
        <v>26</v>
      </c>
      <c r="D652" s="9" t="str">
        <f t="shared" si="77"/>
        <v>43922 - 2S</v>
      </c>
      <c r="E652" s="32" t="s">
        <v>9</v>
      </c>
      <c r="F652" s="2">
        <v>8000035</v>
      </c>
      <c r="G652" s="4" t="str">
        <f>IFERROR(VLOOKUP(F652,Lists!$C:$D,2,0), "N/A")</f>
        <v>TURTLES MILK CHOC ORIGINAL</v>
      </c>
      <c r="H652" s="26">
        <f>IFERROR(VLOOKUP(F652,Lists!$C:$F,4,0),0)</f>
        <v>1.91178</v>
      </c>
      <c r="I652" s="7">
        <f t="shared" si="75"/>
        <v>5467</v>
      </c>
      <c r="J652" s="6">
        <v>5152</v>
      </c>
      <c r="K652" s="33">
        <v>315</v>
      </c>
      <c r="L652" s="5">
        <f t="shared" si="78"/>
        <v>6.1141304347826088E-2</v>
      </c>
      <c r="M652" s="26">
        <f t="shared" si="79"/>
        <v>602.21069999999997</v>
      </c>
    </row>
    <row r="653" spans="1:13" x14ac:dyDescent="0.25">
      <c r="A653" s="16" t="str">
        <f t="shared" si="76"/>
        <v>April</v>
      </c>
      <c r="B653" s="31">
        <v>43922</v>
      </c>
      <c r="C653" s="32" t="s">
        <v>26</v>
      </c>
      <c r="D653" s="9" t="str">
        <f t="shared" si="77"/>
        <v>43922 - 2S</v>
      </c>
      <c r="E653" s="32" t="s">
        <v>11</v>
      </c>
      <c r="F653" s="2">
        <v>8000034</v>
      </c>
      <c r="G653" s="4" t="str">
        <f>IFERROR(VLOOKUP(F653,Lists!$C:$D,2,0), "N/A")</f>
        <v>KS MILK CHOC MACADAMIA</v>
      </c>
      <c r="H653" s="26">
        <f>IFERROR(VLOOKUP(F653,Lists!$C:$F,4,0),0)</f>
        <v>3.8943099999999999</v>
      </c>
      <c r="I653" s="7">
        <f t="shared" si="75"/>
        <v>6467</v>
      </c>
      <c r="J653" s="6">
        <v>6400</v>
      </c>
      <c r="K653" s="33">
        <v>67</v>
      </c>
      <c r="L653" s="5">
        <f t="shared" si="78"/>
        <v>1.0468750000000001E-2</v>
      </c>
      <c r="M653" s="26">
        <f t="shared" si="79"/>
        <v>260.91876999999999</v>
      </c>
    </row>
    <row r="654" spans="1:13" x14ac:dyDescent="0.25">
      <c r="A654" s="16" t="str">
        <f t="shared" si="76"/>
        <v>April</v>
      </c>
      <c r="B654" s="31">
        <v>43922</v>
      </c>
      <c r="C654" s="32" t="s">
        <v>26</v>
      </c>
      <c r="D654" s="9" t="str">
        <f t="shared" si="77"/>
        <v>43922 - 2S</v>
      </c>
      <c r="E654" s="32" t="s">
        <v>15</v>
      </c>
      <c r="G654" s="4" t="str">
        <f>IFERROR(VLOOKUP(F654,Lists!$C:$D,2,0), "N/A")</f>
        <v>N/A</v>
      </c>
      <c r="H654" s="26">
        <f>IFERROR(VLOOKUP(F654,Lists!$C:$F,4,0),0)</f>
        <v>0</v>
      </c>
      <c r="I654" s="7">
        <f t="shared" si="75"/>
        <v>30</v>
      </c>
      <c r="K654" s="33">
        <v>30</v>
      </c>
      <c r="L654" s="5">
        <f t="shared" si="78"/>
        <v>1</v>
      </c>
      <c r="M654" s="26">
        <f t="shared" si="79"/>
        <v>0</v>
      </c>
    </row>
    <row r="655" spans="1:13" x14ac:dyDescent="0.25">
      <c r="A655" s="16" t="str">
        <f t="shared" si="76"/>
        <v>April</v>
      </c>
      <c r="B655" s="31">
        <v>43922</v>
      </c>
      <c r="C655" s="32" t="s">
        <v>24</v>
      </c>
      <c r="D655" s="9" t="str">
        <f t="shared" si="77"/>
        <v>43922 - 3S</v>
      </c>
      <c r="E655" s="32" t="s">
        <v>9</v>
      </c>
      <c r="F655" s="2">
        <v>8000038</v>
      </c>
      <c r="G655" s="4" t="str">
        <f>IFERROR(VLOOKUP(F655,Lists!$C:$D,2,0), "N/A")</f>
        <v>TURTLES MILK CHOC PEC BITE SZ</v>
      </c>
      <c r="H655" s="26">
        <f>IFERROR(VLOOKUP(F655,Lists!$C:$F,4,0),0)</f>
        <v>1.96</v>
      </c>
      <c r="I655" s="7">
        <f t="shared" si="75"/>
        <v>5382.56</v>
      </c>
      <c r="J655" s="6">
        <v>5110.5600000000004</v>
      </c>
      <c r="K655" s="33">
        <v>272</v>
      </c>
      <c r="L655" s="5">
        <f t="shared" si="78"/>
        <v>5.3223130146207068E-2</v>
      </c>
      <c r="M655" s="26">
        <f t="shared" si="79"/>
        <v>533.12</v>
      </c>
    </row>
    <row r="656" spans="1:13" x14ac:dyDescent="0.25">
      <c r="A656" s="16" t="str">
        <f t="shared" si="76"/>
        <v>April</v>
      </c>
      <c r="B656" s="31">
        <v>43923</v>
      </c>
      <c r="C656" s="32" t="s">
        <v>25</v>
      </c>
      <c r="D656" s="9" t="str">
        <f t="shared" si="77"/>
        <v>43923 - 1S</v>
      </c>
      <c r="E656" s="32" t="s">
        <v>9</v>
      </c>
      <c r="F656" s="2">
        <v>8000035</v>
      </c>
      <c r="G656" s="4" t="str">
        <f>IFERROR(VLOOKUP(F656,Lists!$C:$D,2,0), "N/A")</f>
        <v>TURTLES MILK CHOC ORIGINAL</v>
      </c>
      <c r="H656" s="26">
        <f>IFERROR(VLOOKUP(F656,Lists!$C:$F,4,0),0)</f>
        <v>1.91178</v>
      </c>
      <c r="I656" s="7">
        <f t="shared" si="75"/>
        <v>9705.7999999999993</v>
      </c>
      <c r="J656" s="6">
        <v>9028.7999999999993</v>
      </c>
      <c r="K656" s="33">
        <v>677</v>
      </c>
      <c r="L656" s="5">
        <f t="shared" si="78"/>
        <v>7.4982278929647359E-2</v>
      </c>
      <c r="M656" s="26">
        <f t="shared" si="79"/>
        <v>1294.2750599999999</v>
      </c>
    </row>
    <row r="657" spans="1:13" x14ac:dyDescent="0.25">
      <c r="A657" s="16" t="str">
        <f t="shared" si="76"/>
        <v>April</v>
      </c>
      <c r="B657" s="31">
        <v>43923</v>
      </c>
      <c r="C657" s="32" t="s">
        <v>25</v>
      </c>
      <c r="D657" s="9" t="str">
        <f t="shared" si="77"/>
        <v>43923 - 1S</v>
      </c>
      <c r="E657" s="32" t="s">
        <v>11</v>
      </c>
      <c r="F657" s="2">
        <v>8000034</v>
      </c>
      <c r="G657" s="4" t="str">
        <f>IFERROR(VLOOKUP(F657,Lists!$C:$D,2,0), "N/A")</f>
        <v>KS MILK CHOC MACADAMIA</v>
      </c>
      <c r="H657" s="26">
        <f>IFERROR(VLOOKUP(F657,Lists!$C:$F,4,0),0)</f>
        <v>3.8943099999999999</v>
      </c>
      <c r="I657" s="7">
        <f t="shared" si="75"/>
        <v>8093</v>
      </c>
      <c r="J657" s="6">
        <v>8000</v>
      </c>
      <c r="K657" s="33">
        <v>93</v>
      </c>
      <c r="L657" s="5">
        <f t="shared" si="78"/>
        <v>1.1625E-2</v>
      </c>
      <c r="M657" s="26">
        <f t="shared" si="79"/>
        <v>362.17082999999997</v>
      </c>
    </row>
    <row r="658" spans="1:13" x14ac:dyDescent="0.25">
      <c r="A658" s="16" t="str">
        <f t="shared" si="76"/>
        <v>April</v>
      </c>
      <c r="B658" s="31">
        <v>43923</v>
      </c>
      <c r="C658" s="32" t="s">
        <v>26</v>
      </c>
      <c r="D658" s="9" t="str">
        <f t="shared" si="77"/>
        <v>43923 - 2S</v>
      </c>
      <c r="E658" s="32" t="s">
        <v>9</v>
      </c>
      <c r="F658" s="2">
        <v>8000035</v>
      </c>
      <c r="G658" s="4" t="str">
        <f>IFERROR(VLOOKUP(F658,Lists!$C:$D,2,0), "N/A")</f>
        <v>TURTLES MILK CHOC ORIGINAL</v>
      </c>
      <c r="H658" s="26">
        <f>IFERROR(VLOOKUP(F658,Lists!$C:$F,4,0),0)</f>
        <v>1.91178</v>
      </c>
      <c r="I658" s="7">
        <f t="shared" si="75"/>
        <v>9424.2000000000007</v>
      </c>
      <c r="J658" s="6">
        <v>8967.2000000000007</v>
      </c>
      <c r="K658" s="33">
        <v>457</v>
      </c>
      <c r="L658" s="5">
        <f t="shared" si="78"/>
        <v>5.0963511464002138E-2</v>
      </c>
      <c r="M658" s="26">
        <f t="shared" si="79"/>
        <v>873.68345999999997</v>
      </c>
    </row>
    <row r="659" spans="1:13" x14ac:dyDescent="0.25">
      <c r="A659" s="16" t="str">
        <f t="shared" si="76"/>
        <v>April</v>
      </c>
      <c r="B659" s="31">
        <v>43923</v>
      </c>
      <c r="C659" s="32" t="s">
        <v>26</v>
      </c>
      <c r="D659" s="9" t="str">
        <f t="shared" si="77"/>
        <v>43923 - 2S</v>
      </c>
      <c r="E659" s="32" t="s">
        <v>11</v>
      </c>
      <c r="F659" s="2">
        <v>8000034</v>
      </c>
      <c r="G659" s="4" t="str">
        <f>IFERROR(VLOOKUP(F659,Lists!$C:$D,2,0), "N/A")</f>
        <v>KS MILK CHOC MACADAMIA</v>
      </c>
      <c r="H659" s="26">
        <f>IFERROR(VLOOKUP(F659,Lists!$C:$F,4,0),0)</f>
        <v>3.8943099999999999</v>
      </c>
      <c r="I659" s="7">
        <f t="shared" si="75"/>
        <v>7298</v>
      </c>
      <c r="J659" s="6">
        <v>7200</v>
      </c>
      <c r="K659" s="33">
        <v>98</v>
      </c>
      <c r="L659" s="5">
        <f t="shared" si="78"/>
        <v>1.361111111111111E-2</v>
      </c>
      <c r="M659" s="26">
        <f t="shared" si="79"/>
        <v>381.64238</v>
      </c>
    </row>
    <row r="660" spans="1:13" x14ac:dyDescent="0.25">
      <c r="A660" s="16" t="str">
        <f t="shared" si="76"/>
        <v>April</v>
      </c>
      <c r="B660" s="31">
        <v>43923</v>
      </c>
      <c r="C660" s="32" t="s">
        <v>26</v>
      </c>
      <c r="D660" s="9" t="str">
        <f t="shared" si="77"/>
        <v>43923 - 2S</v>
      </c>
      <c r="E660" s="32" t="s">
        <v>12</v>
      </c>
      <c r="F660" s="2">
        <v>8000055</v>
      </c>
      <c r="G660" s="4" t="str">
        <f>IFERROR(VLOOKUP(F660,Lists!$C:$D,2,0), "N/A")</f>
        <v>916.BF FLIPZ 25 LB BULK MILK CHOC</v>
      </c>
      <c r="H660" s="26">
        <f>IFERROR(VLOOKUP(F660,Lists!$C:$F,4,0),0)</f>
        <v>1.9508160000000001</v>
      </c>
      <c r="I660" s="7">
        <f t="shared" si="75"/>
        <v>2018</v>
      </c>
      <c r="J660" s="6">
        <f>80*25</f>
        <v>2000</v>
      </c>
      <c r="K660" s="33">
        <v>18</v>
      </c>
      <c r="L660" s="5">
        <f t="shared" si="78"/>
        <v>8.9999999999999993E-3</v>
      </c>
      <c r="M660" s="26">
        <f t="shared" si="79"/>
        <v>35.114688000000001</v>
      </c>
    </row>
    <row r="661" spans="1:13" x14ac:dyDescent="0.25">
      <c r="A661" s="16" t="str">
        <f t="shared" si="76"/>
        <v>April</v>
      </c>
      <c r="B661" s="31">
        <v>43923</v>
      </c>
      <c r="C661" s="32" t="s">
        <v>26</v>
      </c>
      <c r="D661" s="9" t="str">
        <f t="shared" si="77"/>
        <v>43923 - 2S</v>
      </c>
      <c r="E661" s="32" t="s">
        <v>15</v>
      </c>
      <c r="G661" s="4" t="str">
        <f>IFERROR(VLOOKUP(F661,Lists!$C:$D,2,0), "N/A")</f>
        <v>N/A</v>
      </c>
      <c r="H661" s="26">
        <f>IFERROR(VLOOKUP(F661,Lists!$C:$F,4,0),0)</f>
        <v>0</v>
      </c>
      <c r="I661" s="7">
        <f t="shared" si="75"/>
        <v>220</v>
      </c>
      <c r="K661" s="33">
        <v>220</v>
      </c>
      <c r="L661" s="5">
        <f t="shared" si="78"/>
        <v>1</v>
      </c>
      <c r="M661" s="26">
        <f t="shared" si="79"/>
        <v>0</v>
      </c>
    </row>
    <row r="662" spans="1:13" x14ac:dyDescent="0.25">
      <c r="A662" s="16" t="str">
        <f t="shared" si="76"/>
        <v>April</v>
      </c>
      <c r="B662" s="31">
        <v>43923</v>
      </c>
      <c r="C662" s="32" t="s">
        <v>24</v>
      </c>
      <c r="D662" s="9" t="str">
        <f t="shared" si="77"/>
        <v>43923 - 3S</v>
      </c>
      <c r="E662" s="32" t="s">
        <v>9</v>
      </c>
      <c r="F662" s="2">
        <v>8000035</v>
      </c>
      <c r="G662" s="4" t="str">
        <f>IFERROR(VLOOKUP(F662,Lists!$C:$D,2,0), "N/A")</f>
        <v>TURTLES MILK CHOC ORIGINAL</v>
      </c>
      <c r="H662" s="26">
        <f>IFERROR(VLOOKUP(F662,Lists!$C:$F,4,0),0)</f>
        <v>1.91178</v>
      </c>
      <c r="I662" s="7">
        <f t="shared" si="75"/>
        <v>6409</v>
      </c>
      <c r="J662" s="6">
        <v>6116</v>
      </c>
      <c r="K662" s="33">
        <v>293</v>
      </c>
      <c r="L662" s="5">
        <f t="shared" si="78"/>
        <v>4.7907128842380638E-2</v>
      </c>
      <c r="M662" s="26">
        <f t="shared" si="79"/>
        <v>560.15153999999995</v>
      </c>
    </row>
    <row r="663" spans="1:13" x14ac:dyDescent="0.25">
      <c r="A663" s="16" t="str">
        <f t="shared" si="76"/>
        <v>April</v>
      </c>
      <c r="B663" s="31">
        <v>43923</v>
      </c>
      <c r="C663" s="32" t="s">
        <v>24</v>
      </c>
      <c r="D663" s="9" t="str">
        <f t="shared" si="77"/>
        <v>43923 - 3S</v>
      </c>
      <c r="E663" s="32" t="s">
        <v>15</v>
      </c>
      <c r="G663" s="4" t="str">
        <f>IFERROR(VLOOKUP(F663,Lists!$C:$D,2,0), "N/A")</f>
        <v>N/A</v>
      </c>
      <c r="H663" s="26">
        <f>IFERROR(VLOOKUP(F663,Lists!$C:$F,4,0),0)</f>
        <v>0</v>
      </c>
      <c r="I663" s="7">
        <f t="shared" si="75"/>
        <v>10</v>
      </c>
      <c r="K663" s="33">
        <v>10</v>
      </c>
      <c r="L663" s="5">
        <f t="shared" si="78"/>
        <v>1</v>
      </c>
      <c r="M663" s="26">
        <f t="shared" si="79"/>
        <v>0</v>
      </c>
    </row>
    <row r="664" spans="1:13" x14ac:dyDescent="0.25">
      <c r="A664" s="16" t="str">
        <f t="shared" si="76"/>
        <v>April</v>
      </c>
      <c r="B664" s="31">
        <v>43924</v>
      </c>
      <c r="C664" s="32" t="s">
        <v>25</v>
      </c>
      <c r="D664" s="9" t="str">
        <f t="shared" si="77"/>
        <v>43924 - 1S</v>
      </c>
      <c r="E664" s="32" t="s">
        <v>9</v>
      </c>
      <c r="F664" s="2">
        <v>8000035</v>
      </c>
      <c r="G664" s="4" t="str">
        <f>IFERROR(VLOOKUP(F664,Lists!$C:$D,2,0), "N/A")</f>
        <v>TURTLES MILK CHOC ORIGINAL</v>
      </c>
      <c r="H664" s="26">
        <f>IFERROR(VLOOKUP(F664,Lists!$C:$F,4,0),0)</f>
        <v>1.91178</v>
      </c>
      <c r="I664" s="7">
        <f t="shared" si="75"/>
        <v>7634.2</v>
      </c>
      <c r="J664" s="6">
        <v>7163.2</v>
      </c>
      <c r="K664" s="33">
        <v>471</v>
      </c>
      <c r="L664" s="5">
        <f t="shared" si="78"/>
        <v>6.575273620728167E-2</v>
      </c>
      <c r="M664" s="26">
        <f t="shared" si="79"/>
        <v>900.44838000000004</v>
      </c>
    </row>
    <row r="665" spans="1:13" x14ac:dyDescent="0.25">
      <c r="A665" s="16" t="str">
        <f t="shared" si="76"/>
        <v>April</v>
      </c>
      <c r="B665" s="31">
        <v>43924</v>
      </c>
      <c r="C665" s="32" t="s">
        <v>25</v>
      </c>
      <c r="D665" s="9" t="str">
        <f t="shared" si="77"/>
        <v>43924 - 1S</v>
      </c>
      <c r="E665" s="32" t="s">
        <v>11</v>
      </c>
      <c r="F665" s="2">
        <v>8000034</v>
      </c>
      <c r="G665" s="4" t="str">
        <f>IFERROR(VLOOKUP(F665,Lists!$C:$D,2,0), "N/A")</f>
        <v>KS MILK CHOC MACADAMIA</v>
      </c>
      <c r="H665" s="26">
        <f>IFERROR(VLOOKUP(F665,Lists!$C:$F,4,0),0)</f>
        <v>3.8943099999999999</v>
      </c>
      <c r="I665" s="7">
        <f t="shared" si="75"/>
        <v>4851</v>
      </c>
      <c r="J665" s="6">
        <v>4800</v>
      </c>
      <c r="K665" s="33">
        <v>51</v>
      </c>
      <c r="L665" s="5">
        <f t="shared" si="78"/>
        <v>1.0625000000000001E-2</v>
      </c>
      <c r="M665" s="26">
        <f t="shared" si="79"/>
        <v>198.60981000000001</v>
      </c>
    </row>
    <row r="666" spans="1:13" x14ac:dyDescent="0.25">
      <c r="A666" s="16" t="str">
        <f t="shared" si="76"/>
        <v>April</v>
      </c>
      <c r="B666" s="31">
        <v>43924</v>
      </c>
      <c r="C666" s="32" t="s">
        <v>25</v>
      </c>
      <c r="D666" s="9" t="str">
        <f t="shared" si="77"/>
        <v>43924 - 1S</v>
      </c>
      <c r="E666" s="32" t="s">
        <v>12</v>
      </c>
      <c r="F666" s="2">
        <v>8000055</v>
      </c>
      <c r="G666" s="4" t="str">
        <f>IFERROR(VLOOKUP(F666,Lists!$C:$D,2,0), "N/A")</f>
        <v>916.BF FLIPZ 25 LB BULK MILK CHOC</v>
      </c>
      <c r="H666" s="26">
        <f>IFERROR(VLOOKUP(F666,Lists!$C:$F,4,0),0)</f>
        <v>1.9508160000000001</v>
      </c>
      <c r="I666" s="7">
        <f t="shared" si="75"/>
        <v>10018</v>
      </c>
      <c r="J666" s="6">
        <f>400*25</f>
        <v>10000</v>
      </c>
      <c r="K666" s="33">
        <v>18</v>
      </c>
      <c r="L666" s="5">
        <f t="shared" si="78"/>
        <v>1.8E-3</v>
      </c>
      <c r="M666" s="26">
        <f t="shared" si="79"/>
        <v>35.114688000000001</v>
      </c>
    </row>
    <row r="667" spans="1:13" x14ac:dyDescent="0.25">
      <c r="A667" s="16" t="str">
        <f t="shared" si="76"/>
        <v>April</v>
      </c>
      <c r="B667" s="31">
        <v>43924</v>
      </c>
      <c r="C667" s="32" t="s">
        <v>26</v>
      </c>
      <c r="D667" s="9" t="str">
        <f t="shared" si="77"/>
        <v>43924 - 2S</v>
      </c>
      <c r="E667" s="32" t="s">
        <v>9</v>
      </c>
      <c r="F667" s="2">
        <v>8000035</v>
      </c>
      <c r="G667" s="4" t="str">
        <f>IFERROR(VLOOKUP(F667,Lists!$C:$D,2,0), "N/A")</f>
        <v>TURTLES MILK CHOC ORIGINAL</v>
      </c>
      <c r="H667" s="26">
        <f>IFERROR(VLOOKUP(F667,Lists!$C:$F,4,0),0)</f>
        <v>1.91178</v>
      </c>
      <c r="I667" s="7">
        <f t="shared" si="75"/>
        <v>7664.6</v>
      </c>
      <c r="J667" s="6">
        <v>7541.6</v>
      </c>
      <c r="K667" s="33">
        <v>123</v>
      </c>
      <c r="L667" s="5">
        <f t="shared" si="78"/>
        <v>1.6309536437891164E-2</v>
      </c>
      <c r="M667" s="26">
        <f t="shared" si="79"/>
        <v>235.14894000000001</v>
      </c>
    </row>
    <row r="668" spans="1:13" x14ac:dyDescent="0.25">
      <c r="A668" s="16" t="str">
        <f t="shared" si="76"/>
        <v>April</v>
      </c>
      <c r="B668" s="31">
        <v>43924</v>
      </c>
      <c r="C668" s="32" t="s">
        <v>26</v>
      </c>
      <c r="D668" s="9" t="str">
        <f t="shared" si="77"/>
        <v>43924 - 2S</v>
      </c>
      <c r="E668" s="32" t="s">
        <v>12</v>
      </c>
      <c r="F668" s="2">
        <v>8000055</v>
      </c>
      <c r="G668" s="4" t="str">
        <f>IFERROR(VLOOKUP(F668,Lists!$C:$D,2,0), "N/A")</f>
        <v>916.BF FLIPZ 25 LB BULK MILK CHOC</v>
      </c>
      <c r="H668" s="26">
        <f>IFERROR(VLOOKUP(F668,Lists!$C:$F,4,0),0)</f>
        <v>1.9508160000000001</v>
      </c>
      <c r="I668" s="7">
        <f t="shared" si="75"/>
        <v>9042</v>
      </c>
      <c r="J668" s="6">
        <f>360*25</f>
        <v>9000</v>
      </c>
      <c r="K668" s="33">
        <v>42</v>
      </c>
      <c r="L668" s="5">
        <f t="shared" si="78"/>
        <v>4.6666666666666671E-3</v>
      </c>
      <c r="M668" s="26">
        <f t="shared" si="79"/>
        <v>81.934272000000007</v>
      </c>
    </row>
    <row r="669" spans="1:13" x14ac:dyDescent="0.25">
      <c r="A669" s="16" t="str">
        <f t="shared" si="76"/>
        <v>April</v>
      </c>
      <c r="B669" s="31">
        <v>43924</v>
      </c>
      <c r="C669" s="32" t="s">
        <v>26</v>
      </c>
      <c r="D669" s="9" t="str">
        <f t="shared" si="77"/>
        <v>43924 - 2S</v>
      </c>
      <c r="E669" s="32" t="s">
        <v>15</v>
      </c>
      <c r="G669" s="4" t="str">
        <f>IFERROR(VLOOKUP(F669,Lists!$C:$D,2,0), "N/A")</f>
        <v>N/A</v>
      </c>
      <c r="H669" s="26">
        <f>IFERROR(VLOOKUP(F669,Lists!$C:$F,4,0),0)</f>
        <v>0</v>
      </c>
      <c r="I669" s="7">
        <f t="shared" si="75"/>
        <v>25</v>
      </c>
      <c r="K669" s="33">
        <v>25</v>
      </c>
      <c r="L669" s="5">
        <f t="shared" si="78"/>
        <v>1</v>
      </c>
      <c r="M669" s="26">
        <f t="shared" si="79"/>
        <v>0</v>
      </c>
    </row>
    <row r="670" spans="1:13" x14ac:dyDescent="0.25">
      <c r="A670" s="16" t="str">
        <f t="shared" si="76"/>
        <v>April</v>
      </c>
      <c r="B670" s="31">
        <v>43924</v>
      </c>
      <c r="C670" s="32" t="s">
        <v>24</v>
      </c>
      <c r="D670" s="9" t="str">
        <f t="shared" si="77"/>
        <v>43924 - 3S</v>
      </c>
      <c r="E670" s="32" t="s">
        <v>9</v>
      </c>
      <c r="F670" s="2">
        <v>8000035</v>
      </c>
      <c r="G670" s="4" t="str">
        <f>IFERROR(VLOOKUP(F670,Lists!$C:$D,2,0), "N/A")</f>
        <v>TURTLES MILK CHOC ORIGINAL</v>
      </c>
      <c r="H670" s="26">
        <f>IFERROR(VLOOKUP(F670,Lists!$C:$F,4,0),0)</f>
        <v>1.91178</v>
      </c>
      <c r="I670" s="7">
        <f t="shared" si="75"/>
        <v>2515.4</v>
      </c>
      <c r="J670" s="6">
        <v>2138.4</v>
      </c>
      <c r="K670" s="33">
        <v>377</v>
      </c>
      <c r="L670" s="5">
        <f t="shared" si="78"/>
        <v>0.17630003741114852</v>
      </c>
      <c r="M670" s="26">
        <f t="shared" si="79"/>
        <v>720.74106000000006</v>
      </c>
    </row>
    <row r="671" spans="1:13" x14ac:dyDescent="0.25">
      <c r="A671" s="16" t="str">
        <f t="shared" si="76"/>
        <v>April</v>
      </c>
      <c r="B671" s="31">
        <v>43925</v>
      </c>
      <c r="C671" s="32" t="s">
        <v>25</v>
      </c>
      <c r="D671" s="9" t="str">
        <f t="shared" si="77"/>
        <v>43925 - 1S</v>
      </c>
      <c r="E671" s="32" t="s">
        <v>12</v>
      </c>
      <c r="F671" s="2">
        <v>8000055</v>
      </c>
      <c r="G671" s="4" t="str">
        <f>IFERROR(VLOOKUP(F671,Lists!$C:$D,2,0), "N/A")</f>
        <v>916.BF FLIPZ 25 LB BULK MILK CHOC</v>
      </c>
      <c r="H671" s="26">
        <f>IFERROR(VLOOKUP(F671,Lists!$C:$F,4,0),0)</f>
        <v>1.9508160000000001</v>
      </c>
      <c r="I671" s="7">
        <f t="shared" si="75"/>
        <v>7007</v>
      </c>
      <c r="J671" s="6">
        <f>280*25</f>
        <v>7000</v>
      </c>
      <c r="K671" s="33">
        <v>7</v>
      </c>
      <c r="L671" s="5">
        <f t="shared" si="78"/>
        <v>1E-3</v>
      </c>
      <c r="M671" s="26">
        <f t="shared" si="79"/>
        <v>13.655712000000001</v>
      </c>
    </row>
    <row r="672" spans="1:13" x14ac:dyDescent="0.25">
      <c r="A672" s="16" t="str">
        <f t="shared" si="76"/>
        <v>April</v>
      </c>
      <c r="B672" s="31">
        <v>43925</v>
      </c>
      <c r="C672" s="32" t="s">
        <v>26</v>
      </c>
      <c r="D672" s="9" t="str">
        <f t="shared" si="77"/>
        <v>43925 - 2S</v>
      </c>
      <c r="E672" s="32" t="s">
        <v>12</v>
      </c>
      <c r="F672" s="2">
        <v>8000055</v>
      </c>
      <c r="G672" s="4" t="str">
        <f>IFERROR(VLOOKUP(F672,Lists!$C:$D,2,0), "N/A")</f>
        <v>916.BF FLIPZ 25 LB BULK MILK CHOC</v>
      </c>
      <c r="H672" s="26">
        <f>IFERROR(VLOOKUP(F672,Lists!$C:$F,4,0),0)</f>
        <v>1.9508160000000001</v>
      </c>
      <c r="I672" s="7">
        <f t="shared" si="75"/>
        <v>9018</v>
      </c>
      <c r="J672" s="6">
        <f>360*25</f>
        <v>9000</v>
      </c>
      <c r="K672" s="33">
        <v>18</v>
      </c>
      <c r="L672" s="5">
        <f t="shared" si="78"/>
        <v>2E-3</v>
      </c>
      <c r="M672" s="26">
        <f t="shared" si="79"/>
        <v>35.114688000000001</v>
      </c>
    </row>
    <row r="673" spans="1:13" x14ac:dyDescent="0.25">
      <c r="A673" s="16" t="str">
        <f t="shared" si="76"/>
        <v>April</v>
      </c>
      <c r="B673" s="31">
        <v>43925</v>
      </c>
      <c r="C673" s="32" t="s">
        <v>26</v>
      </c>
      <c r="D673" s="9" t="str">
        <f t="shared" si="77"/>
        <v>43925 - 2S</v>
      </c>
      <c r="E673" s="32" t="s">
        <v>15</v>
      </c>
      <c r="G673" s="4" t="str">
        <f>IFERROR(VLOOKUP(F673,Lists!$C:$D,2,0), "N/A")</f>
        <v>N/A</v>
      </c>
      <c r="H673" s="26">
        <f>IFERROR(VLOOKUP(F673,Lists!$C:$F,4,0),0)</f>
        <v>0</v>
      </c>
      <c r="I673" s="7">
        <f t="shared" si="75"/>
        <v>10</v>
      </c>
      <c r="K673" s="33">
        <v>10</v>
      </c>
      <c r="L673" s="5">
        <f t="shared" si="78"/>
        <v>1</v>
      </c>
      <c r="M673" s="26">
        <f t="shared" si="79"/>
        <v>0</v>
      </c>
    </row>
    <row r="674" spans="1:13" x14ac:dyDescent="0.25">
      <c r="A674" s="16" t="str">
        <f t="shared" si="76"/>
        <v>April</v>
      </c>
      <c r="B674" s="31">
        <v>43924</v>
      </c>
      <c r="C674" s="32" t="s">
        <v>24</v>
      </c>
      <c r="D674" s="9" t="str">
        <f t="shared" si="77"/>
        <v>43924 - 3S</v>
      </c>
      <c r="E674" s="32" t="s">
        <v>9</v>
      </c>
      <c r="F674" s="2">
        <v>8000035</v>
      </c>
      <c r="G674" s="4" t="str">
        <f>IFERROR(VLOOKUP(F674,Lists!$C:$D,2,0), "N/A")</f>
        <v>TURTLES MILK CHOC ORIGINAL</v>
      </c>
      <c r="H674" s="26">
        <f>IFERROR(VLOOKUP(F674,Lists!$C:$F,4,0),0)</f>
        <v>1.91178</v>
      </c>
      <c r="I674" s="7">
        <f t="shared" si="75"/>
        <v>2316</v>
      </c>
      <c r="J674" s="6">
        <v>2138</v>
      </c>
      <c r="K674" s="33">
        <v>178</v>
      </c>
      <c r="L674" s="5">
        <f t="shared" si="78"/>
        <v>8.3255378858746495E-2</v>
      </c>
      <c r="M674" s="26">
        <f t="shared" si="79"/>
        <v>340.29684000000003</v>
      </c>
    </row>
    <row r="675" spans="1:13" x14ac:dyDescent="0.25">
      <c r="A675" s="16" t="str">
        <f t="shared" si="76"/>
        <v>April</v>
      </c>
      <c r="B675" s="31">
        <v>43926</v>
      </c>
      <c r="C675" s="32" t="s">
        <v>26</v>
      </c>
      <c r="D675" s="9" t="str">
        <f t="shared" si="77"/>
        <v>43926 - 2S</v>
      </c>
      <c r="E675" s="32" t="s">
        <v>12</v>
      </c>
      <c r="F675" s="2">
        <v>8000055</v>
      </c>
      <c r="G675" s="4" t="str">
        <f>IFERROR(VLOOKUP(F675,Lists!$C:$D,2,0), "N/A")</f>
        <v>916.BF FLIPZ 25 LB BULK MILK CHOC</v>
      </c>
      <c r="H675" s="26">
        <f>IFERROR(VLOOKUP(F675,Lists!$C:$F,4,0),0)</f>
        <v>1.9508160000000001</v>
      </c>
      <c r="I675" s="7">
        <f t="shared" si="75"/>
        <v>9002</v>
      </c>
      <c r="J675" s="6">
        <f>360*25</f>
        <v>9000</v>
      </c>
      <c r="K675" s="33">
        <v>2</v>
      </c>
      <c r="L675" s="5">
        <f t="shared" si="78"/>
        <v>2.2222222222222223E-4</v>
      </c>
      <c r="M675" s="26">
        <f t="shared" si="79"/>
        <v>3.9016320000000002</v>
      </c>
    </row>
    <row r="676" spans="1:13" x14ac:dyDescent="0.25">
      <c r="A676" s="16" t="str">
        <f t="shared" si="76"/>
        <v>April</v>
      </c>
      <c r="B676" s="31">
        <v>43926</v>
      </c>
      <c r="C676" s="32" t="s">
        <v>25</v>
      </c>
      <c r="D676" s="9" t="str">
        <f t="shared" si="77"/>
        <v>43926 - 1S</v>
      </c>
      <c r="E676" s="32" t="s">
        <v>12</v>
      </c>
      <c r="F676" s="2">
        <v>8000055</v>
      </c>
      <c r="G676" s="4" t="str">
        <f>IFERROR(VLOOKUP(F676,Lists!$C:$D,2,0), "N/A")</f>
        <v>916.BF FLIPZ 25 LB BULK MILK CHOC</v>
      </c>
      <c r="H676" s="26">
        <f>IFERROR(VLOOKUP(F676,Lists!$C:$F,4,0),0)</f>
        <v>1.9508160000000001</v>
      </c>
      <c r="I676" s="7">
        <f t="shared" si="75"/>
        <v>10025</v>
      </c>
      <c r="J676" s="6">
        <f>400*25</f>
        <v>10000</v>
      </c>
      <c r="K676" s="33">
        <v>25</v>
      </c>
      <c r="L676" s="5">
        <f t="shared" si="78"/>
        <v>2.5000000000000001E-3</v>
      </c>
      <c r="M676" s="26">
        <f t="shared" si="79"/>
        <v>48.770400000000002</v>
      </c>
    </row>
    <row r="677" spans="1:13" x14ac:dyDescent="0.25">
      <c r="A677" s="16" t="str">
        <f t="shared" si="76"/>
        <v>April</v>
      </c>
      <c r="B677" s="31">
        <v>43927</v>
      </c>
      <c r="C677" s="32" t="s">
        <v>24</v>
      </c>
      <c r="D677" s="9" t="str">
        <f t="shared" si="77"/>
        <v>43927 - 3S</v>
      </c>
      <c r="E677" s="32" t="s">
        <v>9</v>
      </c>
      <c r="F677" s="2">
        <v>8000035</v>
      </c>
      <c r="G677" s="4" t="str">
        <f>IFERROR(VLOOKUP(F677,Lists!$C:$D,2,0), "N/A")</f>
        <v>TURTLES MILK CHOC ORIGINAL</v>
      </c>
      <c r="H677" s="26">
        <f>IFERROR(VLOOKUP(F677,Lists!$C:$F,4,0),0)</f>
        <v>1.91178</v>
      </c>
      <c r="I677" s="7">
        <f t="shared" si="75"/>
        <v>6432</v>
      </c>
      <c r="J677" s="6">
        <v>6116</v>
      </c>
      <c r="K677" s="33">
        <v>316</v>
      </c>
      <c r="L677" s="5">
        <f t="shared" si="78"/>
        <v>5.1667756703727925E-2</v>
      </c>
      <c r="M677" s="26">
        <f t="shared" si="79"/>
        <v>604.12248</v>
      </c>
    </row>
    <row r="678" spans="1:13" x14ac:dyDescent="0.25">
      <c r="A678" s="16" t="str">
        <f t="shared" si="76"/>
        <v>April</v>
      </c>
      <c r="B678" s="31">
        <v>43927</v>
      </c>
      <c r="C678" s="32" t="s">
        <v>24</v>
      </c>
      <c r="D678" s="9" t="str">
        <f t="shared" si="77"/>
        <v>43927 - 3S</v>
      </c>
      <c r="E678" s="32" t="s">
        <v>13</v>
      </c>
      <c r="F678" s="2">
        <v>8000055</v>
      </c>
      <c r="G678" s="4" t="str">
        <f>IFERROR(VLOOKUP(F678,Lists!$C:$D,2,0), "N/A")</f>
        <v>916.BF FLIPZ 25 LB BULK MILK CHOC</v>
      </c>
      <c r="H678" s="26">
        <f>IFERROR(VLOOKUP(F678,Lists!$C:$F,4,0),0)</f>
        <v>1.9508160000000001</v>
      </c>
      <c r="I678" s="7">
        <f t="shared" si="75"/>
        <v>1006</v>
      </c>
      <c r="J678" s="6">
        <f>40*25</f>
        <v>1000</v>
      </c>
      <c r="K678" s="33">
        <v>6</v>
      </c>
      <c r="L678" s="5">
        <f t="shared" si="78"/>
        <v>6.0000000000000001E-3</v>
      </c>
      <c r="M678" s="26">
        <f t="shared" si="79"/>
        <v>11.704896000000002</v>
      </c>
    </row>
    <row r="679" spans="1:13" x14ac:dyDescent="0.25">
      <c r="A679" s="16" t="str">
        <f t="shared" si="76"/>
        <v>April</v>
      </c>
      <c r="B679" s="31">
        <v>43927</v>
      </c>
      <c r="C679" s="32" t="s">
        <v>25</v>
      </c>
      <c r="D679" s="9" t="str">
        <f t="shared" si="77"/>
        <v>43927 - 1S</v>
      </c>
      <c r="E679" s="32" t="s">
        <v>9</v>
      </c>
      <c r="F679" s="2">
        <v>8000035</v>
      </c>
      <c r="G679" s="4" t="str">
        <f>IFERROR(VLOOKUP(F679,Lists!$C:$D,2,0), "N/A")</f>
        <v>TURTLES MILK CHOC ORIGINAL</v>
      </c>
      <c r="H679" s="26">
        <f>IFERROR(VLOOKUP(F679,Lists!$C:$F,4,0),0)</f>
        <v>1.91178</v>
      </c>
      <c r="I679" s="7">
        <f t="shared" si="75"/>
        <v>10025.799999999999</v>
      </c>
      <c r="J679" s="6">
        <v>9688.7999999999993</v>
      </c>
      <c r="K679" s="33">
        <v>337</v>
      </c>
      <c r="L679" s="5">
        <f t="shared" si="78"/>
        <v>3.4782429196598137E-2</v>
      </c>
      <c r="M679" s="26">
        <f t="shared" si="79"/>
        <v>644.26985999999999</v>
      </c>
    </row>
    <row r="680" spans="1:13" x14ac:dyDescent="0.25">
      <c r="A680" s="16" t="str">
        <f t="shared" si="76"/>
        <v>April</v>
      </c>
      <c r="B680" s="31">
        <v>43927</v>
      </c>
      <c r="C680" s="32" t="s">
        <v>25</v>
      </c>
      <c r="D680" s="9" t="str">
        <f t="shared" si="77"/>
        <v>43927 - 1S</v>
      </c>
      <c r="E680" s="32" t="s">
        <v>13</v>
      </c>
      <c r="F680" s="2">
        <v>8000055</v>
      </c>
      <c r="G680" s="4" t="str">
        <f>IFERROR(VLOOKUP(F680,Lists!$C:$D,2,0), "N/A")</f>
        <v>916.BF FLIPZ 25 LB BULK MILK CHOC</v>
      </c>
      <c r="H680" s="26">
        <f>IFERROR(VLOOKUP(F680,Lists!$C:$F,4,0),0)</f>
        <v>1.9508160000000001</v>
      </c>
      <c r="I680" s="7">
        <f t="shared" si="75"/>
        <v>2038</v>
      </c>
      <c r="J680" s="6">
        <f>80*25</f>
        <v>2000</v>
      </c>
      <c r="K680" s="33">
        <v>38</v>
      </c>
      <c r="L680" s="5">
        <f t="shared" si="78"/>
        <v>1.9E-2</v>
      </c>
      <c r="M680" s="26">
        <f t="shared" si="79"/>
        <v>74.131008000000008</v>
      </c>
    </row>
    <row r="681" spans="1:13" x14ac:dyDescent="0.25">
      <c r="A681" s="16" t="str">
        <f t="shared" si="76"/>
        <v>April</v>
      </c>
      <c r="B681" s="31">
        <v>43927</v>
      </c>
      <c r="C681" s="32" t="s">
        <v>26</v>
      </c>
      <c r="D681" s="9" t="str">
        <f t="shared" si="77"/>
        <v>43927 - 2S</v>
      </c>
      <c r="E681" s="32" t="s">
        <v>9</v>
      </c>
      <c r="F681" s="2">
        <v>8000035</v>
      </c>
      <c r="G681" s="4" t="str">
        <f>IFERROR(VLOOKUP(F681,Lists!$C:$D,2,0), "N/A")</f>
        <v>TURTLES MILK CHOC ORIGINAL</v>
      </c>
      <c r="H681" s="26">
        <f>IFERROR(VLOOKUP(F681,Lists!$C:$F,4,0),0)</f>
        <v>1.91178</v>
      </c>
      <c r="I681" s="7">
        <f t="shared" si="75"/>
        <v>10449.4</v>
      </c>
      <c r="J681" s="6">
        <v>10014.4</v>
      </c>
      <c r="K681" s="33">
        <v>435</v>
      </c>
      <c r="L681" s="5">
        <f t="shared" si="78"/>
        <v>4.343745007189647E-2</v>
      </c>
      <c r="M681" s="26">
        <f t="shared" si="79"/>
        <v>831.62430000000006</v>
      </c>
    </row>
    <row r="682" spans="1:13" x14ac:dyDescent="0.25">
      <c r="A682" s="16" t="str">
        <f t="shared" si="76"/>
        <v>April</v>
      </c>
      <c r="B682" s="31">
        <v>43927</v>
      </c>
      <c r="C682" s="32" t="s">
        <v>24</v>
      </c>
      <c r="D682" s="9" t="str">
        <f t="shared" si="77"/>
        <v>43927 - 3S</v>
      </c>
      <c r="E682" s="32" t="s">
        <v>12</v>
      </c>
      <c r="F682" s="2">
        <v>8000055</v>
      </c>
      <c r="G682" s="4" t="str">
        <f>IFERROR(VLOOKUP(F682,Lists!$C:$D,2,0), "N/A")</f>
        <v>916.BF FLIPZ 25 LB BULK MILK CHOC</v>
      </c>
      <c r="H682" s="26">
        <f>IFERROR(VLOOKUP(F682,Lists!$C:$F,4,0),0)</f>
        <v>1.9508160000000001</v>
      </c>
      <c r="I682" s="7">
        <f t="shared" si="75"/>
        <v>8137</v>
      </c>
      <c r="J682" s="6">
        <f>320*25</f>
        <v>8000</v>
      </c>
      <c r="K682" s="33">
        <v>137</v>
      </c>
      <c r="L682" s="5">
        <f t="shared" si="78"/>
        <v>1.7125000000000001E-2</v>
      </c>
      <c r="M682" s="26">
        <f t="shared" si="79"/>
        <v>267.26179200000001</v>
      </c>
    </row>
    <row r="683" spans="1:13" x14ac:dyDescent="0.25">
      <c r="A683" s="16" t="str">
        <f t="shared" si="76"/>
        <v>April</v>
      </c>
      <c r="B683" s="31">
        <v>43927</v>
      </c>
      <c r="C683" s="32" t="s">
        <v>26</v>
      </c>
      <c r="D683" s="9" t="str">
        <f t="shared" si="77"/>
        <v>43927 - 2S</v>
      </c>
      <c r="E683" s="32" t="s">
        <v>13</v>
      </c>
      <c r="F683" s="2">
        <v>8000055</v>
      </c>
      <c r="G683" s="4" t="str">
        <f>IFERROR(VLOOKUP(F683,Lists!$C:$D,2,0), "N/A")</f>
        <v>916.BF FLIPZ 25 LB BULK MILK CHOC</v>
      </c>
      <c r="H683" s="26">
        <f>IFERROR(VLOOKUP(F683,Lists!$C:$F,4,0),0)</f>
        <v>1.9508160000000001</v>
      </c>
      <c r="I683" s="7">
        <f t="shared" si="75"/>
        <v>1018</v>
      </c>
      <c r="J683" s="6">
        <f>40*25</f>
        <v>1000</v>
      </c>
      <c r="K683" s="33">
        <v>18</v>
      </c>
      <c r="L683" s="5">
        <f t="shared" si="78"/>
        <v>1.7999999999999999E-2</v>
      </c>
      <c r="M683" s="26">
        <f t="shared" si="79"/>
        <v>35.114688000000001</v>
      </c>
    </row>
    <row r="684" spans="1:13" x14ac:dyDescent="0.25">
      <c r="A684" s="16" t="str">
        <f t="shared" si="76"/>
        <v>April</v>
      </c>
      <c r="B684" s="31">
        <v>43927</v>
      </c>
      <c r="C684" s="32" t="s">
        <v>26</v>
      </c>
      <c r="D684" s="9" t="str">
        <f t="shared" si="77"/>
        <v>43927 - 2S</v>
      </c>
      <c r="E684" s="32" t="s">
        <v>15</v>
      </c>
      <c r="G684" s="4" t="str">
        <f>IFERROR(VLOOKUP(F684,Lists!$C:$D,2,0), "N/A")</f>
        <v>N/A</v>
      </c>
      <c r="H684" s="26">
        <f>IFERROR(VLOOKUP(F684,Lists!$C:$F,4,0),0)</f>
        <v>0</v>
      </c>
      <c r="I684" s="7">
        <f t="shared" ref="I684:I747" si="80">J684+K684</f>
        <v>27</v>
      </c>
      <c r="K684" s="33">
        <v>27</v>
      </c>
      <c r="L684" s="5">
        <f t="shared" si="78"/>
        <v>1</v>
      </c>
      <c r="M684" s="26">
        <f t="shared" si="79"/>
        <v>0</v>
      </c>
    </row>
    <row r="685" spans="1:13" x14ac:dyDescent="0.25">
      <c r="A685" s="16" t="str">
        <f t="shared" si="76"/>
        <v>April</v>
      </c>
      <c r="B685" s="31">
        <v>43928</v>
      </c>
      <c r="C685" s="32" t="s">
        <v>24</v>
      </c>
      <c r="D685" s="9" t="str">
        <f t="shared" si="77"/>
        <v>43928 - 3S</v>
      </c>
      <c r="E685" s="32" t="s">
        <v>9</v>
      </c>
      <c r="F685" s="2">
        <v>8000035</v>
      </c>
      <c r="G685" s="4" t="str">
        <f>IFERROR(VLOOKUP(F685,Lists!$C:$D,2,0), "N/A")</f>
        <v>TURTLES MILK CHOC ORIGINAL</v>
      </c>
      <c r="H685" s="26">
        <f>IFERROR(VLOOKUP(F685,Lists!$C:$F,4,0),0)</f>
        <v>1.91178</v>
      </c>
      <c r="I685" s="7">
        <f t="shared" si="80"/>
        <v>10761.8</v>
      </c>
      <c r="J685" s="6">
        <v>10304.799999999999</v>
      </c>
      <c r="K685" s="33">
        <v>457</v>
      </c>
      <c r="L685" s="5">
        <f t="shared" si="78"/>
        <v>4.43482648862666E-2</v>
      </c>
      <c r="M685" s="26">
        <f t="shared" si="79"/>
        <v>873.68345999999997</v>
      </c>
    </row>
    <row r="686" spans="1:13" x14ac:dyDescent="0.25">
      <c r="A686" s="16" t="str">
        <f t="shared" si="76"/>
        <v>April</v>
      </c>
      <c r="B686" s="31">
        <v>43928</v>
      </c>
      <c r="C686" s="32" t="s">
        <v>24</v>
      </c>
      <c r="D686" s="9" t="str">
        <f t="shared" si="77"/>
        <v>43928 - 3S</v>
      </c>
      <c r="E686" s="32" t="s">
        <v>12</v>
      </c>
      <c r="F686" s="2">
        <v>8000055</v>
      </c>
      <c r="G686" s="4" t="str">
        <f>IFERROR(VLOOKUP(F686,Lists!$C:$D,2,0), "N/A")</f>
        <v>916.BF FLIPZ 25 LB BULK MILK CHOC</v>
      </c>
      <c r="H686" s="26">
        <f>IFERROR(VLOOKUP(F686,Lists!$C:$F,4,0),0)</f>
        <v>1.9508160000000001</v>
      </c>
      <c r="I686" s="7">
        <f t="shared" si="80"/>
        <v>9137</v>
      </c>
      <c r="J686" s="6">
        <f>360*25</f>
        <v>9000</v>
      </c>
      <c r="K686" s="33">
        <v>137</v>
      </c>
      <c r="L686" s="5">
        <f t="shared" si="78"/>
        <v>1.5222222222222222E-2</v>
      </c>
      <c r="M686" s="26">
        <f t="shared" si="79"/>
        <v>267.26179200000001</v>
      </c>
    </row>
    <row r="687" spans="1:13" x14ac:dyDescent="0.25">
      <c r="A687" s="16" t="str">
        <f t="shared" si="76"/>
        <v>April</v>
      </c>
      <c r="B687" s="31">
        <v>43928</v>
      </c>
      <c r="C687" s="32" t="s">
        <v>24</v>
      </c>
      <c r="D687" s="9" t="str">
        <f t="shared" si="77"/>
        <v>43928 - 3S</v>
      </c>
      <c r="E687" s="32" t="s">
        <v>15</v>
      </c>
      <c r="G687" s="4" t="str">
        <f>IFERROR(VLOOKUP(F687,Lists!$C:$D,2,0), "N/A")</f>
        <v>N/A</v>
      </c>
      <c r="H687" s="26">
        <f>IFERROR(VLOOKUP(F687,Lists!$C:$F,4,0),0)</f>
        <v>0</v>
      </c>
      <c r="I687" s="7">
        <f t="shared" si="80"/>
        <v>5</v>
      </c>
      <c r="K687" s="33">
        <v>5</v>
      </c>
      <c r="L687" s="5">
        <f t="shared" si="78"/>
        <v>1</v>
      </c>
      <c r="M687" s="26">
        <f t="shared" si="79"/>
        <v>0</v>
      </c>
    </row>
    <row r="688" spans="1:13" x14ac:dyDescent="0.25">
      <c r="A688" s="16" t="str">
        <f t="shared" si="76"/>
        <v>April</v>
      </c>
      <c r="B688" s="31">
        <v>43928</v>
      </c>
      <c r="C688" s="32" t="s">
        <v>25</v>
      </c>
      <c r="D688" s="9" t="str">
        <f t="shared" si="77"/>
        <v>43928 - 1S</v>
      </c>
      <c r="E688" s="32" t="s">
        <v>9</v>
      </c>
      <c r="F688" s="2">
        <v>8000035</v>
      </c>
      <c r="G688" s="4" t="str">
        <f>IFERROR(VLOOKUP(F688,Lists!$C:$D,2,0), "N/A")</f>
        <v>TURTLES MILK CHOC ORIGINAL</v>
      </c>
      <c r="H688" s="26">
        <f>IFERROR(VLOOKUP(F688,Lists!$C:$F,4,0),0)</f>
        <v>1.91178</v>
      </c>
      <c r="I688" s="7">
        <f t="shared" si="80"/>
        <v>10609</v>
      </c>
      <c r="J688" s="6">
        <v>10260</v>
      </c>
      <c r="K688" s="33">
        <v>349</v>
      </c>
      <c r="L688" s="5">
        <f t="shared" si="78"/>
        <v>3.4015594541910332E-2</v>
      </c>
      <c r="M688" s="26">
        <f t="shared" si="79"/>
        <v>667.21122000000003</v>
      </c>
    </row>
    <row r="689" spans="1:13" x14ac:dyDescent="0.25">
      <c r="A689" s="16" t="str">
        <f t="shared" ref="A689:A752" si="81">TEXT(B689,"mmmm")</f>
        <v>April</v>
      </c>
      <c r="B689" s="31">
        <v>43928</v>
      </c>
      <c r="C689" s="32" t="s">
        <v>25</v>
      </c>
      <c r="D689" s="9" t="str">
        <f t="shared" si="77"/>
        <v>43928 - 1S</v>
      </c>
      <c r="E689" s="32" t="s">
        <v>12</v>
      </c>
      <c r="F689" s="2">
        <v>8000055</v>
      </c>
      <c r="G689" s="4" t="str">
        <f>IFERROR(VLOOKUP(F689,Lists!$C:$D,2,0), "N/A")</f>
        <v>916.BF FLIPZ 25 LB BULK MILK CHOC</v>
      </c>
      <c r="H689" s="26">
        <f>IFERROR(VLOOKUP(F689,Lists!$C:$F,4,0),0)</f>
        <v>1.9508160000000001</v>
      </c>
      <c r="I689" s="7">
        <f t="shared" si="80"/>
        <v>10057</v>
      </c>
      <c r="J689" s="6">
        <f>400*25</f>
        <v>10000</v>
      </c>
      <c r="K689" s="33">
        <v>57</v>
      </c>
      <c r="L689" s="5">
        <f t="shared" si="78"/>
        <v>5.7000000000000002E-3</v>
      </c>
      <c r="M689" s="26">
        <f t="shared" si="79"/>
        <v>111.19651200000001</v>
      </c>
    </row>
    <row r="690" spans="1:13" x14ac:dyDescent="0.25">
      <c r="A690" s="16" t="str">
        <f t="shared" si="81"/>
        <v>April</v>
      </c>
      <c r="B690" s="31">
        <v>43928</v>
      </c>
      <c r="C690" s="32" t="s">
        <v>25</v>
      </c>
      <c r="D690" s="9" t="str">
        <f t="shared" si="77"/>
        <v>43928 - 1S</v>
      </c>
      <c r="E690" s="32" t="s">
        <v>13</v>
      </c>
      <c r="F690" s="2">
        <v>8000055</v>
      </c>
      <c r="G690" s="4" t="str">
        <f>IFERROR(VLOOKUP(F690,Lists!$C:$D,2,0), "N/A")</f>
        <v>916.BF FLIPZ 25 LB BULK MILK CHOC</v>
      </c>
      <c r="H690" s="26">
        <f>IFERROR(VLOOKUP(F690,Lists!$C:$F,4,0),0)</f>
        <v>1.9508160000000001</v>
      </c>
      <c r="I690" s="7">
        <f t="shared" si="80"/>
        <v>2028</v>
      </c>
      <c r="J690" s="6">
        <f>80*25</f>
        <v>2000</v>
      </c>
      <c r="K690" s="33">
        <v>28</v>
      </c>
      <c r="L690" s="5">
        <f t="shared" si="78"/>
        <v>1.4E-2</v>
      </c>
      <c r="M690" s="26">
        <f t="shared" si="79"/>
        <v>54.622848000000005</v>
      </c>
    </row>
    <row r="691" spans="1:13" x14ac:dyDescent="0.25">
      <c r="A691" s="16" t="str">
        <f t="shared" si="81"/>
        <v>April</v>
      </c>
      <c r="B691" s="31">
        <v>43928</v>
      </c>
      <c r="C691" s="32" t="s">
        <v>26</v>
      </c>
      <c r="D691" s="9" t="str">
        <f t="shared" si="77"/>
        <v>43928 - 2S</v>
      </c>
      <c r="E691" s="32" t="s">
        <v>9</v>
      </c>
      <c r="F691" s="2">
        <v>8000035</v>
      </c>
      <c r="G691" s="4" t="str">
        <f>IFERROR(VLOOKUP(F691,Lists!$C:$D,2,0), "N/A")</f>
        <v>TURTLES MILK CHOC ORIGINAL</v>
      </c>
      <c r="H691" s="26">
        <f>IFERROR(VLOOKUP(F691,Lists!$C:$F,4,0),0)</f>
        <v>1.91178</v>
      </c>
      <c r="I691" s="7">
        <f t="shared" si="80"/>
        <v>12148.6</v>
      </c>
      <c r="J691" s="6">
        <v>11685.6</v>
      </c>
      <c r="K691" s="33">
        <v>463</v>
      </c>
      <c r="L691" s="5">
        <f t="shared" si="78"/>
        <v>3.9621414390360786E-2</v>
      </c>
      <c r="M691" s="26">
        <f t="shared" si="79"/>
        <v>885.15413999999998</v>
      </c>
    </row>
    <row r="692" spans="1:13" x14ac:dyDescent="0.25">
      <c r="A692" s="16" t="str">
        <f t="shared" si="81"/>
        <v>April</v>
      </c>
      <c r="B692" s="31">
        <v>43929</v>
      </c>
      <c r="C692" s="32" t="s">
        <v>24</v>
      </c>
      <c r="D692" s="9" t="str">
        <f t="shared" si="77"/>
        <v>43929 - 3S</v>
      </c>
      <c r="E692" s="32" t="s">
        <v>12</v>
      </c>
      <c r="F692" s="2">
        <v>8000055</v>
      </c>
      <c r="G692" s="4" t="str">
        <f>IFERROR(VLOOKUP(F692,Lists!$C:$D,2,0), "N/A")</f>
        <v>916.BF FLIPZ 25 LB BULK MILK CHOC</v>
      </c>
      <c r="H692" s="26">
        <f>IFERROR(VLOOKUP(F692,Lists!$C:$F,4,0),0)</f>
        <v>1.9508160000000001</v>
      </c>
      <c r="I692" s="7">
        <f t="shared" si="80"/>
        <v>27</v>
      </c>
      <c r="K692" s="33">
        <v>27</v>
      </c>
      <c r="L692" s="5">
        <f t="shared" si="78"/>
        <v>1</v>
      </c>
      <c r="M692" s="26">
        <f t="shared" si="79"/>
        <v>52.672032000000002</v>
      </c>
    </row>
    <row r="693" spans="1:13" x14ac:dyDescent="0.25">
      <c r="A693" s="16" t="str">
        <f t="shared" si="81"/>
        <v>April</v>
      </c>
      <c r="B693" s="31">
        <v>43928</v>
      </c>
      <c r="C693" s="32" t="s">
        <v>26</v>
      </c>
      <c r="D693" s="9" t="str">
        <f t="shared" si="77"/>
        <v>43928 - 2S</v>
      </c>
      <c r="E693" s="32" t="s">
        <v>13</v>
      </c>
      <c r="F693" s="2">
        <v>8000055</v>
      </c>
      <c r="G693" s="4" t="str">
        <f>IFERROR(VLOOKUP(F693,Lists!$C:$D,2,0), "N/A")</f>
        <v>916.BF FLIPZ 25 LB BULK MILK CHOC</v>
      </c>
      <c r="H693" s="26">
        <f>IFERROR(VLOOKUP(F693,Lists!$C:$F,4,0),0)</f>
        <v>1.9508160000000001</v>
      </c>
      <c r="I693" s="7">
        <f t="shared" si="80"/>
        <v>1016</v>
      </c>
      <c r="J693" s="6">
        <f>40*25</f>
        <v>1000</v>
      </c>
      <c r="K693" s="33">
        <v>16</v>
      </c>
      <c r="L693" s="5">
        <f t="shared" si="78"/>
        <v>1.6E-2</v>
      </c>
      <c r="M693" s="26">
        <f t="shared" si="79"/>
        <v>31.213056000000002</v>
      </c>
    </row>
    <row r="694" spans="1:13" x14ac:dyDescent="0.25">
      <c r="A694" s="16" t="str">
        <f t="shared" si="81"/>
        <v>April</v>
      </c>
      <c r="B694" s="31">
        <v>43928</v>
      </c>
      <c r="C694" s="32" t="s">
        <v>26</v>
      </c>
      <c r="D694" s="9" t="str">
        <f t="shared" si="77"/>
        <v>43928 - 2S</v>
      </c>
      <c r="E694" s="32" t="s">
        <v>15</v>
      </c>
      <c r="G694" s="4" t="str">
        <f>IFERROR(VLOOKUP(F694,Lists!$C:$D,2,0), "N/A")</f>
        <v>N/A</v>
      </c>
      <c r="H694" s="26">
        <f>IFERROR(VLOOKUP(F694,Lists!$C:$F,4,0),0)</f>
        <v>0</v>
      </c>
      <c r="I694" s="7">
        <f t="shared" si="80"/>
        <v>10</v>
      </c>
      <c r="K694" s="33">
        <v>10</v>
      </c>
      <c r="L694" s="5">
        <f t="shared" si="78"/>
        <v>1</v>
      </c>
      <c r="M694" s="26">
        <f t="shared" si="79"/>
        <v>0</v>
      </c>
    </row>
    <row r="695" spans="1:13" x14ac:dyDescent="0.25">
      <c r="A695" s="16" t="str">
        <f t="shared" si="81"/>
        <v>April</v>
      </c>
      <c r="B695" s="31">
        <v>43929</v>
      </c>
      <c r="C695" s="32" t="s">
        <v>24</v>
      </c>
      <c r="D695" s="9" t="str">
        <f t="shared" si="77"/>
        <v>43929 - 3S</v>
      </c>
      <c r="E695" s="32" t="s">
        <v>9</v>
      </c>
      <c r="F695" s="2">
        <v>8000035</v>
      </c>
      <c r="G695" s="4" t="str">
        <f>IFERROR(VLOOKUP(F695,Lists!$C:$D,2,0), "N/A")</f>
        <v>TURTLES MILK CHOC ORIGINAL</v>
      </c>
      <c r="H695" s="26">
        <f>IFERROR(VLOOKUP(F695,Lists!$C:$F,4,0),0)</f>
        <v>1.91178</v>
      </c>
      <c r="I695" s="7">
        <f t="shared" si="80"/>
        <v>7758.2</v>
      </c>
      <c r="J695" s="6">
        <v>7063.2</v>
      </c>
      <c r="K695" s="33">
        <v>695</v>
      </c>
      <c r="L695" s="5">
        <f t="shared" si="78"/>
        <v>9.8397326990599165E-2</v>
      </c>
      <c r="M695" s="26">
        <f t="shared" si="79"/>
        <v>1328.6871000000001</v>
      </c>
    </row>
    <row r="696" spans="1:13" x14ac:dyDescent="0.25">
      <c r="A696" s="16" t="str">
        <f t="shared" si="81"/>
        <v>April</v>
      </c>
      <c r="B696" s="31">
        <v>43929</v>
      </c>
      <c r="C696" s="32" t="s">
        <v>24</v>
      </c>
      <c r="D696" s="9" t="str">
        <f t="shared" si="77"/>
        <v>43929 - 3S</v>
      </c>
      <c r="E696" s="32" t="s">
        <v>13</v>
      </c>
      <c r="F696" s="2">
        <v>8000055</v>
      </c>
      <c r="G696" s="4" t="str">
        <f>IFERROR(VLOOKUP(F696,Lists!$C:$D,2,0), "N/A")</f>
        <v>916.BF FLIPZ 25 LB BULK MILK CHOC</v>
      </c>
      <c r="H696" s="26">
        <f>IFERROR(VLOOKUP(F696,Lists!$C:$F,4,0),0)</f>
        <v>1.9508160000000001</v>
      </c>
      <c r="I696" s="7">
        <f t="shared" si="80"/>
        <v>2007</v>
      </c>
      <c r="J696" s="6">
        <f>80*25</f>
        <v>2000</v>
      </c>
      <c r="K696" s="33">
        <v>7</v>
      </c>
      <c r="L696" s="5">
        <f t="shared" si="78"/>
        <v>3.5000000000000001E-3</v>
      </c>
      <c r="M696" s="26">
        <f t="shared" si="79"/>
        <v>13.655712000000001</v>
      </c>
    </row>
    <row r="697" spans="1:13" x14ac:dyDescent="0.25">
      <c r="A697" s="16" t="str">
        <f t="shared" si="81"/>
        <v>April</v>
      </c>
      <c r="B697" s="31">
        <v>43929</v>
      </c>
      <c r="C697" s="32" t="s">
        <v>25</v>
      </c>
      <c r="D697" s="9" t="str">
        <f t="shared" si="77"/>
        <v>43929 - 1S</v>
      </c>
      <c r="E697" s="32" t="s">
        <v>9</v>
      </c>
      <c r="F697" s="2">
        <v>8000035</v>
      </c>
      <c r="G697" s="4" t="str">
        <f>IFERROR(VLOOKUP(F697,Lists!$C:$D,2,0), "N/A")</f>
        <v>TURTLES MILK CHOC ORIGINAL</v>
      </c>
      <c r="H697" s="26">
        <f>IFERROR(VLOOKUP(F697,Lists!$C:$F,4,0),0)</f>
        <v>1.91178</v>
      </c>
      <c r="I697" s="7">
        <f t="shared" si="80"/>
        <v>8831.6</v>
      </c>
      <c r="J697" s="6">
        <v>8121.6</v>
      </c>
      <c r="K697" s="33">
        <v>710</v>
      </c>
      <c r="L697" s="5">
        <f t="shared" si="78"/>
        <v>8.7421197793538213E-2</v>
      </c>
      <c r="M697" s="26">
        <f t="shared" si="79"/>
        <v>1357.3638000000001</v>
      </c>
    </row>
    <row r="698" spans="1:13" x14ac:dyDescent="0.25">
      <c r="A698" s="16" t="str">
        <f t="shared" si="81"/>
        <v>April</v>
      </c>
      <c r="B698" s="31">
        <v>43929</v>
      </c>
      <c r="C698" s="32" t="s">
        <v>25</v>
      </c>
      <c r="D698" s="9" t="str">
        <f t="shared" si="77"/>
        <v>43929 - 1S</v>
      </c>
      <c r="E698" s="32" t="s">
        <v>12</v>
      </c>
      <c r="F698" s="2">
        <v>8000055</v>
      </c>
      <c r="G698" s="4" t="str">
        <f>IFERROR(VLOOKUP(F698,Lists!$C:$D,2,0), "N/A")</f>
        <v>916.BF FLIPZ 25 LB BULK MILK CHOC</v>
      </c>
      <c r="H698" s="26">
        <f>IFERROR(VLOOKUP(F698,Lists!$C:$F,4,0),0)</f>
        <v>1.9508160000000001</v>
      </c>
      <c r="I698" s="7">
        <f t="shared" si="80"/>
        <v>4024</v>
      </c>
      <c r="J698" s="6">
        <f>160*25</f>
        <v>4000</v>
      </c>
      <c r="K698" s="33">
        <v>24</v>
      </c>
      <c r="L698" s="5">
        <f t="shared" si="78"/>
        <v>6.0000000000000001E-3</v>
      </c>
      <c r="M698" s="26">
        <f t="shared" si="79"/>
        <v>46.819584000000006</v>
      </c>
    </row>
    <row r="699" spans="1:13" x14ac:dyDescent="0.25">
      <c r="A699" s="16" t="str">
        <f t="shared" si="81"/>
        <v>April</v>
      </c>
      <c r="B699" s="31">
        <v>43929</v>
      </c>
      <c r="C699" s="32" t="s">
        <v>25</v>
      </c>
      <c r="D699" s="9" t="str">
        <f t="shared" si="77"/>
        <v>43929 - 1S</v>
      </c>
      <c r="E699" s="32" t="s">
        <v>13</v>
      </c>
      <c r="F699" s="2">
        <v>8000055</v>
      </c>
      <c r="G699" s="4" t="str">
        <f>IFERROR(VLOOKUP(F699,Lists!$C:$D,2,0), "N/A")</f>
        <v>916.BF FLIPZ 25 LB BULK MILK CHOC</v>
      </c>
      <c r="H699" s="26">
        <f>IFERROR(VLOOKUP(F699,Lists!$C:$F,4,0),0)</f>
        <v>1.9508160000000001</v>
      </c>
      <c r="I699" s="7">
        <f t="shared" si="80"/>
        <v>1021</v>
      </c>
      <c r="J699" s="6">
        <f>40*25</f>
        <v>1000</v>
      </c>
      <c r="K699" s="33">
        <v>21</v>
      </c>
      <c r="L699" s="5">
        <f t="shared" si="78"/>
        <v>2.1000000000000001E-2</v>
      </c>
      <c r="M699" s="26">
        <f t="shared" si="79"/>
        <v>40.967136000000004</v>
      </c>
    </row>
    <row r="700" spans="1:13" x14ac:dyDescent="0.25">
      <c r="A700" s="16" t="str">
        <f t="shared" si="81"/>
        <v>April</v>
      </c>
      <c r="B700" s="31">
        <v>43929</v>
      </c>
      <c r="C700" s="32" t="s">
        <v>26</v>
      </c>
      <c r="D700" s="9" t="str">
        <f t="shared" si="77"/>
        <v>43929 - 2S</v>
      </c>
      <c r="E700" s="32" t="s">
        <v>9</v>
      </c>
      <c r="F700" s="2">
        <v>8000035</v>
      </c>
      <c r="G700" s="4" t="str">
        <f>IFERROR(VLOOKUP(F700,Lists!$C:$D,2,0), "N/A")</f>
        <v>TURTLES MILK CHOC ORIGINAL</v>
      </c>
      <c r="H700" s="26">
        <f>IFERROR(VLOOKUP(F700,Lists!$C:$F,4,0),0)</f>
        <v>1.91178</v>
      </c>
      <c r="I700" s="7">
        <f t="shared" si="80"/>
        <v>8501</v>
      </c>
      <c r="J700" s="6">
        <v>7776</v>
      </c>
      <c r="K700" s="33">
        <v>725</v>
      </c>
      <c r="L700" s="5">
        <f t="shared" si="78"/>
        <v>9.3235596707818932E-2</v>
      </c>
      <c r="M700" s="26">
        <f t="shared" si="79"/>
        <v>1386.0405000000001</v>
      </c>
    </row>
    <row r="701" spans="1:13" x14ac:dyDescent="0.25">
      <c r="A701" s="16" t="str">
        <f t="shared" si="81"/>
        <v>April</v>
      </c>
      <c r="B701" s="31">
        <v>43929</v>
      </c>
      <c r="C701" s="32" t="s">
        <v>26</v>
      </c>
      <c r="D701" s="9" t="str">
        <f t="shared" si="77"/>
        <v>43929 - 2S</v>
      </c>
      <c r="E701" s="32" t="s">
        <v>12</v>
      </c>
      <c r="F701" s="2">
        <v>8000055</v>
      </c>
      <c r="G701" s="4" t="str">
        <f>IFERROR(VLOOKUP(F701,Lists!$C:$D,2,0), "N/A")</f>
        <v>916.BF FLIPZ 25 LB BULK MILK CHOC</v>
      </c>
      <c r="H701" s="26">
        <f>IFERROR(VLOOKUP(F701,Lists!$C:$F,4,0),0)</f>
        <v>1.9508160000000001</v>
      </c>
      <c r="I701" s="7">
        <f t="shared" si="80"/>
        <v>8181</v>
      </c>
      <c r="J701" s="6">
        <f>320*25</f>
        <v>8000</v>
      </c>
      <c r="K701" s="33">
        <v>181</v>
      </c>
      <c r="L701" s="5">
        <f t="shared" si="78"/>
        <v>2.2624999999999999E-2</v>
      </c>
      <c r="M701" s="26">
        <f t="shared" si="79"/>
        <v>353.09769600000004</v>
      </c>
    </row>
    <row r="702" spans="1:13" x14ac:dyDescent="0.25">
      <c r="A702" s="16" t="str">
        <f t="shared" si="81"/>
        <v>April</v>
      </c>
      <c r="B702" s="31">
        <v>43930</v>
      </c>
      <c r="C702" s="32" t="s">
        <v>24</v>
      </c>
      <c r="D702" s="9" t="str">
        <f t="shared" si="77"/>
        <v>43930 - 3S</v>
      </c>
      <c r="E702" s="32" t="s">
        <v>9</v>
      </c>
      <c r="F702" s="2">
        <v>8000035</v>
      </c>
      <c r="G702" s="4" t="str">
        <f>IFERROR(VLOOKUP(F702,Lists!$C:$D,2,0), "N/A")</f>
        <v>TURTLES MILK CHOC ORIGINAL</v>
      </c>
      <c r="H702" s="26">
        <f>IFERROR(VLOOKUP(F702,Lists!$C:$F,4,0),0)</f>
        <v>1.91178</v>
      </c>
      <c r="I702" s="7">
        <f t="shared" si="80"/>
        <v>7957.2</v>
      </c>
      <c r="J702" s="6">
        <v>7063.2</v>
      </c>
      <c r="K702" s="33">
        <v>894</v>
      </c>
      <c r="L702" s="5">
        <f t="shared" si="78"/>
        <v>0.12657152565409446</v>
      </c>
      <c r="M702" s="26">
        <f t="shared" si="79"/>
        <v>1709.13132</v>
      </c>
    </row>
    <row r="703" spans="1:13" x14ac:dyDescent="0.25">
      <c r="A703" s="16" t="str">
        <f t="shared" si="81"/>
        <v>April</v>
      </c>
      <c r="B703" s="31">
        <v>43930</v>
      </c>
      <c r="C703" s="32" t="s">
        <v>25</v>
      </c>
      <c r="D703" s="9" t="str">
        <f t="shared" si="77"/>
        <v>43930 - 1S</v>
      </c>
      <c r="E703" s="32" t="s">
        <v>9</v>
      </c>
      <c r="F703" s="2">
        <v>8000035</v>
      </c>
      <c r="G703" s="4" t="str">
        <f>IFERROR(VLOOKUP(F703,Lists!$C:$D,2,0), "N/A")</f>
        <v>TURTLES MILK CHOC ORIGINAL</v>
      </c>
      <c r="H703" s="26">
        <f>IFERROR(VLOOKUP(F703,Lists!$C:$F,4,0),0)</f>
        <v>1.91178</v>
      </c>
      <c r="I703" s="7">
        <f t="shared" si="80"/>
        <v>7870.6</v>
      </c>
      <c r="J703" s="6">
        <v>6717.6</v>
      </c>
      <c r="K703" s="33">
        <v>1153</v>
      </c>
      <c r="L703" s="5">
        <f t="shared" si="78"/>
        <v>0.17163868048112421</v>
      </c>
      <c r="M703" s="26">
        <f t="shared" si="79"/>
        <v>2204.2823400000002</v>
      </c>
    </row>
    <row r="704" spans="1:13" x14ac:dyDescent="0.25">
      <c r="A704" s="16" t="str">
        <f t="shared" si="81"/>
        <v>April</v>
      </c>
      <c r="B704" s="31">
        <v>43930</v>
      </c>
      <c r="C704" s="32" t="s">
        <v>25</v>
      </c>
      <c r="D704" s="9" t="str">
        <f t="shared" si="77"/>
        <v>43930 - 1S</v>
      </c>
      <c r="E704" s="32" t="s">
        <v>12</v>
      </c>
      <c r="F704" s="2">
        <v>8000055</v>
      </c>
      <c r="G704" s="4" t="str">
        <f>IFERROR(VLOOKUP(F704,Lists!$C:$D,2,0), "N/A")</f>
        <v>916.BF FLIPZ 25 LB BULK MILK CHOC</v>
      </c>
      <c r="H704" s="26">
        <f>IFERROR(VLOOKUP(F704,Lists!$C:$F,4,0),0)</f>
        <v>1.9508160000000001</v>
      </c>
      <c r="I704" s="7">
        <f t="shared" si="80"/>
        <v>8019</v>
      </c>
      <c r="J704" s="6">
        <f>320*25</f>
        <v>8000</v>
      </c>
      <c r="K704" s="33">
        <v>19</v>
      </c>
      <c r="L704" s="5">
        <f t="shared" si="78"/>
        <v>2.3749999999999999E-3</v>
      </c>
      <c r="M704" s="26">
        <f t="shared" si="79"/>
        <v>37.065504000000004</v>
      </c>
    </row>
    <row r="705" spans="1:13" x14ac:dyDescent="0.25">
      <c r="A705" s="16" t="str">
        <f t="shared" si="81"/>
        <v>April</v>
      </c>
      <c r="B705" s="31">
        <v>43930</v>
      </c>
      <c r="C705" s="32" t="s">
        <v>25</v>
      </c>
      <c r="D705" s="9" t="str">
        <f t="shared" si="77"/>
        <v>43930 - 1S</v>
      </c>
      <c r="E705" s="32" t="s">
        <v>13</v>
      </c>
      <c r="F705" s="2">
        <v>8000055</v>
      </c>
      <c r="G705" s="4" t="str">
        <f>IFERROR(VLOOKUP(F705,Lists!$C:$D,2,0), "N/A")</f>
        <v>916.BF FLIPZ 25 LB BULK MILK CHOC</v>
      </c>
      <c r="H705" s="26">
        <f>IFERROR(VLOOKUP(F705,Lists!$C:$F,4,0),0)</f>
        <v>1.9508160000000001</v>
      </c>
      <c r="I705" s="7">
        <f t="shared" si="80"/>
        <v>2098</v>
      </c>
      <c r="J705" s="6">
        <f>80*25</f>
        <v>2000</v>
      </c>
      <c r="K705" s="33">
        <v>98</v>
      </c>
      <c r="L705" s="5">
        <f t="shared" si="78"/>
        <v>4.9000000000000002E-2</v>
      </c>
      <c r="M705" s="26">
        <f t="shared" si="79"/>
        <v>191.179968</v>
      </c>
    </row>
    <row r="706" spans="1:13" x14ac:dyDescent="0.25">
      <c r="A706" s="16" t="str">
        <f t="shared" si="81"/>
        <v>April</v>
      </c>
      <c r="B706" s="31">
        <v>43930</v>
      </c>
      <c r="C706" s="32" t="s">
        <v>25</v>
      </c>
      <c r="D706" s="9" t="str">
        <f t="shared" si="77"/>
        <v>43930 - 1S</v>
      </c>
      <c r="E706" s="32" t="s">
        <v>15</v>
      </c>
      <c r="G706" s="4" t="str">
        <f>IFERROR(VLOOKUP(F706,Lists!$C:$D,2,0), "N/A")</f>
        <v>N/A</v>
      </c>
      <c r="H706" s="26">
        <f>IFERROR(VLOOKUP(F706,Lists!$C:$F,4,0),0)</f>
        <v>0</v>
      </c>
      <c r="I706" s="7">
        <f t="shared" si="80"/>
        <v>20</v>
      </c>
      <c r="K706" s="33">
        <v>20</v>
      </c>
      <c r="L706" s="5">
        <f t="shared" si="78"/>
        <v>1</v>
      </c>
      <c r="M706" s="26">
        <f t="shared" si="79"/>
        <v>0</v>
      </c>
    </row>
    <row r="707" spans="1:13" x14ac:dyDescent="0.25">
      <c r="A707" s="16" t="str">
        <f t="shared" si="81"/>
        <v>April</v>
      </c>
      <c r="B707" s="31">
        <v>43930</v>
      </c>
      <c r="C707" s="32" t="s">
        <v>26</v>
      </c>
      <c r="D707" s="9" t="str">
        <f t="shared" si="77"/>
        <v>43930 - 2S</v>
      </c>
      <c r="E707" s="32" t="s">
        <v>9</v>
      </c>
      <c r="F707" s="2">
        <v>8000035</v>
      </c>
      <c r="G707" s="4" t="str">
        <f>IFERROR(VLOOKUP(F707,Lists!$C:$D,2,0), "N/A")</f>
        <v>TURTLES MILK CHOC ORIGINAL</v>
      </c>
      <c r="H707" s="26">
        <f>IFERROR(VLOOKUP(F707,Lists!$C:$F,4,0),0)</f>
        <v>1.91178</v>
      </c>
      <c r="I707" s="7">
        <f t="shared" si="80"/>
        <v>6442.6</v>
      </c>
      <c r="J707" s="6">
        <v>5637.6</v>
      </c>
      <c r="K707" s="33">
        <v>805</v>
      </c>
      <c r="L707" s="5">
        <f t="shared" si="78"/>
        <v>0.14279125869164183</v>
      </c>
      <c r="M707" s="26">
        <f t="shared" si="79"/>
        <v>1538.9829</v>
      </c>
    </row>
    <row r="708" spans="1:13" x14ac:dyDescent="0.25">
      <c r="A708" s="16" t="str">
        <f t="shared" si="81"/>
        <v>April</v>
      </c>
      <c r="B708" s="31">
        <v>43930</v>
      </c>
      <c r="C708" s="32" t="s">
        <v>26</v>
      </c>
      <c r="D708" s="9" t="str">
        <f t="shared" si="77"/>
        <v>43930 - 2S</v>
      </c>
      <c r="E708" s="32" t="s">
        <v>12</v>
      </c>
      <c r="F708" s="2">
        <v>8000055</v>
      </c>
      <c r="G708" s="4" t="str">
        <f>IFERROR(VLOOKUP(F708,Lists!$C:$D,2,0), "N/A")</f>
        <v>916.BF FLIPZ 25 LB BULK MILK CHOC</v>
      </c>
      <c r="H708" s="26">
        <f>IFERROR(VLOOKUP(F708,Lists!$C:$F,4,0),0)</f>
        <v>1.9508160000000001</v>
      </c>
      <c r="I708" s="7">
        <f t="shared" si="80"/>
        <v>9006</v>
      </c>
      <c r="J708" s="6">
        <f>360*25</f>
        <v>9000</v>
      </c>
      <c r="K708" s="33">
        <v>6</v>
      </c>
      <c r="L708" s="5">
        <f t="shared" si="78"/>
        <v>6.6666666666666664E-4</v>
      </c>
      <c r="M708" s="26">
        <f t="shared" si="79"/>
        <v>11.704896000000002</v>
      </c>
    </row>
    <row r="709" spans="1:13" x14ac:dyDescent="0.25">
      <c r="A709" s="16" t="str">
        <f t="shared" si="81"/>
        <v>April</v>
      </c>
      <c r="B709" s="31">
        <v>43931</v>
      </c>
      <c r="C709" s="32" t="s">
        <v>24</v>
      </c>
      <c r="D709" s="9" t="str">
        <f t="shared" si="77"/>
        <v>43931 - 3S</v>
      </c>
      <c r="E709" s="32" t="s">
        <v>9</v>
      </c>
      <c r="F709" s="2">
        <v>8000035</v>
      </c>
      <c r="G709" s="4" t="str">
        <f>IFERROR(VLOOKUP(F709,Lists!$C:$D,2,0), "N/A")</f>
        <v>TURTLES MILK CHOC ORIGINAL</v>
      </c>
      <c r="H709" s="26">
        <f>IFERROR(VLOOKUP(F709,Lists!$C:$F,4,0),0)</f>
        <v>1.91178</v>
      </c>
      <c r="I709" s="7">
        <f t="shared" si="80"/>
        <v>8450.4</v>
      </c>
      <c r="J709" s="6">
        <v>8258.4</v>
      </c>
      <c r="K709" s="33">
        <v>192</v>
      </c>
      <c r="L709" s="5">
        <f t="shared" si="78"/>
        <v>2.3249055507120024E-2</v>
      </c>
      <c r="M709" s="26">
        <f t="shared" si="79"/>
        <v>367.06175999999999</v>
      </c>
    </row>
    <row r="710" spans="1:13" x14ac:dyDescent="0.25">
      <c r="A710" s="16" t="str">
        <f t="shared" si="81"/>
        <v>April</v>
      </c>
      <c r="B710" s="31">
        <v>43931</v>
      </c>
      <c r="C710" s="32" t="s">
        <v>24</v>
      </c>
      <c r="D710" s="9" t="str">
        <f t="shared" si="77"/>
        <v>43931 - 3S</v>
      </c>
      <c r="E710" s="32" t="s">
        <v>13</v>
      </c>
      <c r="F710" s="2">
        <v>8000055</v>
      </c>
      <c r="G710" s="4" t="str">
        <f>IFERROR(VLOOKUP(F710,Lists!$C:$D,2,0), "N/A")</f>
        <v>916.BF FLIPZ 25 LB BULK MILK CHOC</v>
      </c>
      <c r="H710" s="26">
        <f>IFERROR(VLOOKUP(F710,Lists!$C:$F,4,0),0)</f>
        <v>1.9508160000000001</v>
      </c>
      <c r="I710" s="7">
        <f t="shared" si="80"/>
        <v>3002</v>
      </c>
      <c r="J710" s="6">
        <f>120*25</f>
        <v>3000</v>
      </c>
      <c r="K710" s="33">
        <v>2</v>
      </c>
      <c r="L710" s="5">
        <f t="shared" si="78"/>
        <v>6.6666666666666664E-4</v>
      </c>
      <c r="M710" s="26">
        <f t="shared" si="79"/>
        <v>3.9016320000000002</v>
      </c>
    </row>
    <row r="711" spans="1:13" x14ac:dyDescent="0.25">
      <c r="A711" s="16" t="str">
        <f t="shared" si="81"/>
        <v>April</v>
      </c>
      <c r="B711" s="31">
        <v>43931</v>
      </c>
      <c r="C711" s="32" t="s">
        <v>25</v>
      </c>
      <c r="D711" s="9" t="str">
        <f t="shared" ref="D711:D774" si="82">CONCATENATE(B711," - ",C711)</f>
        <v>43931 - 1S</v>
      </c>
      <c r="E711" s="32" t="s">
        <v>9</v>
      </c>
      <c r="F711" s="2">
        <v>8000035</v>
      </c>
      <c r="G711" s="4" t="str">
        <f>IFERROR(VLOOKUP(F711,Lists!$C:$D,2,0), "N/A")</f>
        <v>TURTLES MILK CHOC ORIGINAL</v>
      </c>
      <c r="H711" s="26">
        <f>IFERROR(VLOOKUP(F711,Lists!$C:$F,4,0),0)</f>
        <v>1.91178</v>
      </c>
      <c r="I711" s="7">
        <f t="shared" si="80"/>
        <v>7127.4</v>
      </c>
      <c r="J711" s="6">
        <v>6890.4</v>
      </c>
      <c r="K711" s="33">
        <v>237</v>
      </c>
      <c r="L711" s="5">
        <f t="shared" ref="L711:L774" si="83">IFERROR((K711/J711),1)</f>
        <v>3.439568094740509E-2</v>
      </c>
      <c r="M711" s="26">
        <f t="shared" ref="M711:M774" si="84">K711*H711</f>
        <v>453.09186</v>
      </c>
    </row>
    <row r="712" spans="1:13" x14ac:dyDescent="0.25">
      <c r="A712" s="16" t="str">
        <f t="shared" si="81"/>
        <v>April</v>
      </c>
      <c r="B712" s="31">
        <v>43931</v>
      </c>
      <c r="C712" s="32" t="s">
        <v>25</v>
      </c>
      <c r="D712" s="9" t="str">
        <f t="shared" si="82"/>
        <v>43931 - 1S</v>
      </c>
      <c r="E712" s="32" t="s">
        <v>12</v>
      </c>
      <c r="F712" s="2">
        <v>8000055</v>
      </c>
      <c r="G712" s="4" t="str">
        <f>IFERROR(VLOOKUP(F712,Lists!$C:$D,2,0), "N/A")</f>
        <v>916.BF FLIPZ 25 LB BULK MILK CHOC</v>
      </c>
      <c r="H712" s="26">
        <f>IFERROR(VLOOKUP(F712,Lists!$C:$F,4,0),0)</f>
        <v>1.9508160000000001</v>
      </c>
      <c r="I712" s="7">
        <f t="shared" si="80"/>
        <v>6097</v>
      </c>
      <c r="J712" s="6">
        <f>240*25</f>
        <v>6000</v>
      </c>
      <c r="K712" s="33">
        <v>97</v>
      </c>
      <c r="L712" s="5">
        <f t="shared" si="83"/>
        <v>1.6166666666666666E-2</v>
      </c>
      <c r="M712" s="26">
        <f t="shared" si="84"/>
        <v>189.229152</v>
      </c>
    </row>
    <row r="713" spans="1:13" x14ac:dyDescent="0.25">
      <c r="A713" s="16" t="str">
        <f t="shared" si="81"/>
        <v>April</v>
      </c>
      <c r="B713" s="31">
        <v>43931</v>
      </c>
      <c r="C713" s="32" t="s">
        <v>25</v>
      </c>
      <c r="D713" s="9" t="str">
        <f t="shared" si="82"/>
        <v>43931 - 1S</v>
      </c>
      <c r="E713" s="32" t="s">
        <v>13</v>
      </c>
      <c r="F713" s="2">
        <v>8000055</v>
      </c>
      <c r="G713" s="4" t="str">
        <f>IFERROR(VLOOKUP(F713,Lists!$C:$D,2,0), "N/A")</f>
        <v>916.BF FLIPZ 25 LB BULK MILK CHOC</v>
      </c>
      <c r="H713" s="26">
        <f>IFERROR(VLOOKUP(F713,Lists!$C:$F,4,0),0)</f>
        <v>1.9508160000000001</v>
      </c>
      <c r="I713" s="7">
        <f t="shared" si="80"/>
        <v>3015</v>
      </c>
      <c r="J713" s="6">
        <f>120*25</f>
        <v>3000</v>
      </c>
      <c r="K713" s="33">
        <v>15</v>
      </c>
      <c r="L713" s="5">
        <f t="shared" si="83"/>
        <v>5.0000000000000001E-3</v>
      </c>
      <c r="M713" s="26">
        <f t="shared" si="84"/>
        <v>29.262240000000002</v>
      </c>
    </row>
    <row r="714" spans="1:13" x14ac:dyDescent="0.25">
      <c r="A714" s="16" t="str">
        <f t="shared" si="81"/>
        <v>April</v>
      </c>
      <c r="B714" s="31">
        <v>43932</v>
      </c>
      <c r="C714" s="32" t="s">
        <v>26</v>
      </c>
      <c r="D714" s="9" t="str">
        <f t="shared" si="82"/>
        <v>43932 - 2S</v>
      </c>
      <c r="E714" s="32" t="s">
        <v>12</v>
      </c>
      <c r="F714" s="2">
        <v>8000055</v>
      </c>
      <c r="G714" s="4" t="str">
        <f>IFERROR(VLOOKUP(F714,Lists!$C:$D,2,0), "N/A")</f>
        <v>916.BF FLIPZ 25 LB BULK MILK CHOC</v>
      </c>
      <c r="H714" s="26">
        <f>IFERROR(VLOOKUP(F714,Lists!$C:$F,4,0),0)</f>
        <v>1.9508160000000001</v>
      </c>
      <c r="I714" s="7">
        <f t="shared" si="80"/>
        <v>18052</v>
      </c>
      <c r="J714" s="6">
        <f>(360+360)*25</f>
        <v>18000</v>
      </c>
      <c r="K714" s="33">
        <v>52</v>
      </c>
      <c r="L714" s="5">
        <f t="shared" si="83"/>
        <v>2.8888888888888888E-3</v>
      </c>
      <c r="M714" s="26">
        <f t="shared" si="84"/>
        <v>101.44243200000001</v>
      </c>
    </row>
    <row r="715" spans="1:13" x14ac:dyDescent="0.25">
      <c r="A715" s="16" t="str">
        <f t="shared" si="81"/>
        <v>April</v>
      </c>
      <c r="B715" s="31">
        <v>43932</v>
      </c>
      <c r="C715" s="32" t="s">
        <v>26</v>
      </c>
      <c r="D715" s="9" t="str">
        <f t="shared" si="82"/>
        <v>43932 - 2S</v>
      </c>
      <c r="E715" s="32" t="s">
        <v>13</v>
      </c>
      <c r="F715" s="2">
        <v>8000055</v>
      </c>
      <c r="G715" s="4" t="str">
        <f>IFERROR(VLOOKUP(F715,Lists!$C:$D,2,0), "N/A")</f>
        <v>916.BF FLIPZ 25 LB BULK MILK CHOC</v>
      </c>
      <c r="H715" s="26">
        <f>IFERROR(VLOOKUP(F715,Lists!$C:$F,4,0),0)</f>
        <v>1.9508160000000001</v>
      </c>
      <c r="I715" s="7">
        <f t="shared" si="80"/>
        <v>3003</v>
      </c>
      <c r="J715" s="6">
        <f>120*25</f>
        <v>3000</v>
      </c>
      <c r="K715" s="33">
        <v>3</v>
      </c>
      <c r="L715" s="5">
        <f t="shared" si="83"/>
        <v>1E-3</v>
      </c>
      <c r="M715" s="26">
        <f t="shared" si="84"/>
        <v>5.8524480000000008</v>
      </c>
    </row>
    <row r="716" spans="1:13" x14ac:dyDescent="0.25">
      <c r="A716" s="16" t="str">
        <f t="shared" si="81"/>
        <v>April</v>
      </c>
      <c r="B716" s="31">
        <v>43933</v>
      </c>
      <c r="C716" s="32" t="s">
        <v>24</v>
      </c>
      <c r="D716" s="9" t="str">
        <f t="shared" si="82"/>
        <v>43933 - 3S</v>
      </c>
      <c r="E716" s="32" t="s">
        <v>12</v>
      </c>
      <c r="F716" s="2">
        <v>8000055</v>
      </c>
      <c r="G716" s="4" t="str">
        <f>IFERROR(VLOOKUP(F716,Lists!$C:$D,2,0), "N/A")</f>
        <v>916.BF FLIPZ 25 LB BULK MILK CHOC</v>
      </c>
      <c r="H716" s="26">
        <f>IFERROR(VLOOKUP(F716,Lists!$C:$F,4,0),0)</f>
        <v>1.9508160000000001</v>
      </c>
      <c r="I716" s="7">
        <f t="shared" si="80"/>
        <v>4009</v>
      </c>
      <c r="J716" s="6">
        <f>160*25</f>
        <v>4000</v>
      </c>
      <c r="K716" s="33">
        <v>9</v>
      </c>
      <c r="L716" s="5">
        <f t="shared" si="83"/>
        <v>2.2499999999999998E-3</v>
      </c>
      <c r="M716" s="26">
        <f t="shared" si="84"/>
        <v>17.557344000000001</v>
      </c>
    </row>
    <row r="717" spans="1:13" x14ac:dyDescent="0.25">
      <c r="A717" s="16" t="str">
        <f t="shared" si="81"/>
        <v>April</v>
      </c>
      <c r="B717" s="31">
        <v>43934</v>
      </c>
      <c r="C717" s="32" t="s">
        <v>24</v>
      </c>
      <c r="D717" s="9" t="str">
        <f t="shared" si="82"/>
        <v>43934 - 3S</v>
      </c>
      <c r="E717" s="32" t="s">
        <v>9</v>
      </c>
      <c r="F717" s="2">
        <v>8000046</v>
      </c>
      <c r="G717" s="4" t="str">
        <f>IFERROR(VLOOKUP(F717,Lists!$C:$D,2,0), "N/A")</f>
        <v>TURTLES MC SEA SALT PECAN</v>
      </c>
      <c r="H717" s="26">
        <f>IFERROR(VLOOKUP(F717,Lists!$C:$F,4,0),0)</f>
        <v>1.9184100000000002</v>
      </c>
      <c r="I717" s="7">
        <f t="shared" si="80"/>
        <v>97</v>
      </c>
      <c r="J717" s="6">
        <v>0</v>
      </c>
      <c r="K717" s="33">
        <v>97</v>
      </c>
      <c r="L717" s="5">
        <f t="shared" si="83"/>
        <v>1</v>
      </c>
      <c r="M717" s="26">
        <f t="shared" si="84"/>
        <v>186.08577000000002</v>
      </c>
    </row>
    <row r="718" spans="1:13" x14ac:dyDescent="0.25">
      <c r="A718" s="16" t="str">
        <f t="shared" si="81"/>
        <v>April</v>
      </c>
      <c r="B718" s="31">
        <v>43934</v>
      </c>
      <c r="C718" s="32" t="s">
        <v>25</v>
      </c>
      <c r="D718" s="9" t="str">
        <f t="shared" si="82"/>
        <v>43934 - 1S</v>
      </c>
      <c r="E718" s="32" t="s">
        <v>9</v>
      </c>
      <c r="F718" s="2">
        <v>8000046</v>
      </c>
      <c r="G718" s="4" t="str">
        <f>IFERROR(VLOOKUP(F718,Lists!$C:$D,2,0), "N/A")</f>
        <v>TURTLES MC SEA SALT PECAN</v>
      </c>
      <c r="H718" s="26">
        <f>IFERROR(VLOOKUP(F718,Lists!$C:$F,4,0),0)</f>
        <v>1.9184100000000002</v>
      </c>
      <c r="I718" s="7">
        <f t="shared" si="80"/>
        <v>3327.2</v>
      </c>
      <c r="J718" s="6">
        <v>2851.2</v>
      </c>
      <c r="K718" s="33">
        <v>476</v>
      </c>
      <c r="L718" s="5">
        <f t="shared" si="83"/>
        <v>0.16694725028058363</v>
      </c>
      <c r="M718" s="26">
        <f t="shared" si="84"/>
        <v>913.16316000000006</v>
      </c>
    </row>
    <row r="719" spans="1:13" x14ac:dyDescent="0.25">
      <c r="A719" s="16" t="str">
        <f t="shared" si="81"/>
        <v>April</v>
      </c>
      <c r="B719" s="31">
        <v>43934</v>
      </c>
      <c r="C719" s="32" t="s">
        <v>25</v>
      </c>
      <c r="D719" s="9" t="str">
        <f t="shared" si="82"/>
        <v>43934 - 1S</v>
      </c>
      <c r="E719" s="32" t="s">
        <v>15</v>
      </c>
      <c r="G719" s="4" t="str">
        <f>IFERROR(VLOOKUP(F719,Lists!$C:$D,2,0), "N/A")</f>
        <v>N/A</v>
      </c>
      <c r="H719" s="26">
        <f>IFERROR(VLOOKUP(F719,Lists!$C:$F,4,0),0)</f>
        <v>0</v>
      </c>
      <c r="I719" s="7">
        <f t="shared" si="80"/>
        <v>5</v>
      </c>
      <c r="K719" s="33">
        <v>5</v>
      </c>
      <c r="L719" s="5">
        <f t="shared" si="83"/>
        <v>1</v>
      </c>
      <c r="M719" s="26">
        <f t="shared" si="84"/>
        <v>0</v>
      </c>
    </row>
    <row r="720" spans="1:13" x14ac:dyDescent="0.25">
      <c r="A720" s="16" t="str">
        <f t="shared" si="81"/>
        <v>April</v>
      </c>
      <c r="B720" s="31">
        <v>43934</v>
      </c>
      <c r="C720" s="32" t="s">
        <v>26</v>
      </c>
      <c r="D720" s="9" t="str">
        <f t="shared" si="82"/>
        <v>43934 - 2S</v>
      </c>
      <c r="E720" s="32" t="s">
        <v>9</v>
      </c>
      <c r="F720" s="2">
        <v>8000046</v>
      </c>
      <c r="G720" s="4" t="str">
        <f>IFERROR(VLOOKUP(F720,Lists!$C:$D,2,0), "N/A")</f>
        <v>TURTLES MC SEA SALT PECAN</v>
      </c>
      <c r="H720" s="26">
        <f>IFERROR(VLOOKUP(F720,Lists!$C:$F,4,0),0)</f>
        <v>1.9184100000000002</v>
      </c>
      <c r="I720" s="7">
        <f t="shared" si="80"/>
        <v>6192.4</v>
      </c>
      <c r="J720" s="6">
        <v>5702.4</v>
      </c>
      <c r="K720" s="33">
        <v>490</v>
      </c>
      <c r="L720" s="5">
        <f t="shared" si="83"/>
        <v>8.59287317620651E-2</v>
      </c>
      <c r="M720" s="26">
        <f t="shared" si="84"/>
        <v>940.0209000000001</v>
      </c>
    </row>
    <row r="721" spans="1:13" x14ac:dyDescent="0.25">
      <c r="A721" s="16" t="str">
        <f t="shared" si="81"/>
        <v>April</v>
      </c>
      <c r="B721" s="31">
        <v>43934</v>
      </c>
      <c r="C721" s="32" t="s">
        <v>26</v>
      </c>
      <c r="D721" s="9" t="str">
        <f t="shared" si="82"/>
        <v>43934 - 2S</v>
      </c>
      <c r="E721" s="32" t="s">
        <v>15</v>
      </c>
      <c r="G721" s="4" t="str">
        <f>IFERROR(VLOOKUP(F721,Lists!$C:$D,2,0), "N/A")</f>
        <v>N/A</v>
      </c>
      <c r="H721" s="26">
        <f>IFERROR(VLOOKUP(F721,Lists!$C:$F,4,0),0)</f>
        <v>0</v>
      </c>
      <c r="I721" s="7">
        <f t="shared" si="80"/>
        <v>3</v>
      </c>
      <c r="K721" s="33">
        <v>3</v>
      </c>
      <c r="L721" s="5">
        <f t="shared" si="83"/>
        <v>1</v>
      </c>
      <c r="M721" s="26">
        <f t="shared" si="84"/>
        <v>0</v>
      </c>
    </row>
    <row r="722" spans="1:13" x14ac:dyDescent="0.25">
      <c r="A722" s="16" t="str">
        <f t="shared" si="81"/>
        <v>April</v>
      </c>
      <c r="B722" s="31">
        <v>43935</v>
      </c>
      <c r="C722" s="32" t="s">
        <v>24</v>
      </c>
      <c r="D722" s="9" t="str">
        <f t="shared" si="82"/>
        <v>43935 - 3S</v>
      </c>
      <c r="E722" s="32" t="s">
        <v>9</v>
      </c>
      <c r="F722" s="2">
        <v>8000046</v>
      </c>
      <c r="G722" s="4" t="str">
        <f>IFERROR(VLOOKUP(F722,Lists!$C:$D,2,0), "N/A")</f>
        <v>TURTLES MC SEA SALT PECAN</v>
      </c>
      <c r="H722" s="26">
        <f>IFERROR(VLOOKUP(F722,Lists!$C:$F,4,0),0)</f>
        <v>1.9184100000000002</v>
      </c>
      <c r="I722" s="7">
        <f t="shared" si="80"/>
        <v>7334</v>
      </c>
      <c r="J722" s="6">
        <v>7128</v>
      </c>
      <c r="K722" s="33">
        <v>206</v>
      </c>
      <c r="L722" s="5">
        <f t="shared" si="83"/>
        <v>2.8900112233445567E-2</v>
      </c>
      <c r="M722" s="26">
        <f t="shared" si="84"/>
        <v>395.19246000000004</v>
      </c>
    </row>
    <row r="723" spans="1:13" x14ac:dyDescent="0.25">
      <c r="A723" s="16" t="str">
        <f t="shared" si="81"/>
        <v>April</v>
      </c>
      <c r="B723" s="31">
        <v>43935</v>
      </c>
      <c r="C723" s="32" t="s">
        <v>25</v>
      </c>
      <c r="D723" s="9" t="str">
        <f t="shared" si="82"/>
        <v>43935 - 1S</v>
      </c>
      <c r="E723" s="32" t="s">
        <v>9</v>
      </c>
      <c r="F723" s="2">
        <v>8000038</v>
      </c>
      <c r="G723" s="4" t="str">
        <f>IFERROR(VLOOKUP(F723,Lists!$C:$D,2,0), "N/A")</f>
        <v>TURTLES MILK CHOC PEC BITE SZ</v>
      </c>
      <c r="H723" s="26">
        <f>IFERROR(VLOOKUP(F723,Lists!$C:$F,4,0),0)</f>
        <v>1.96</v>
      </c>
      <c r="I723" s="7">
        <f t="shared" si="80"/>
        <v>3926</v>
      </c>
      <c r="J723" s="6">
        <v>3600</v>
      </c>
      <c r="K723" s="33">
        <v>326</v>
      </c>
      <c r="L723" s="5">
        <f t="shared" si="83"/>
        <v>9.0555555555555556E-2</v>
      </c>
      <c r="M723" s="26">
        <f t="shared" si="84"/>
        <v>638.96</v>
      </c>
    </row>
    <row r="724" spans="1:13" x14ac:dyDescent="0.25">
      <c r="A724" s="16" t="str">
        <f t="shared" si="81"/>
        <v>April</v>
      </c>
      <c r="B724" s="31">
        <v>43935</v>
      </c>
      <c r="C724" s="32" t="s">
        <v>25</v>
      </c>
      <c r="D724" s="9" t="str">
        <f t="shared" si="82"/>
        <v>43935 - 1S</v>
      </c>
      <c r="E724" s="32" t="s">
        <v>12</v>
      </c>
      <c r="F724" s="2">
        <v>8000055</v>
      </c>
      <c r="G724" s="4" t="str">
        <f>IFERROR(VLOOKUP(F724,Lists!$C:$D,2,0), "N/A")</f>
        <v>916.BF FLIPZ 25 LB BULK MILK CHOC</v>
      </c>
      <c r="H724" s="26">
        <f>IFERROR(VLOOKUP(F724,Lists!$C:$F,4,0),0)</f>
        <v>1.9508160000000001</v>
      </c>
      <c r="I724" s="7">
        <f t="shared" si="80"/>
        <v>7074</v>
      </c>
      <c r="J724" s="6">
        <f>280*25</f>
        <v>7000</v>
      </c>
      <c r="K724" s="33">
        <v>74</v>
      </c>
      <c r="L724" s="5">
        <f t="shared" si="83"/>
        <v>1.0571428571428572E-2</v>
      </c>
      <c r="M724" s="26">
        <f t="shared" si="84"/>
        <v>144.36038400000001</v>
      </c>
    </row>
    <row r="725" spans="1:13" x14ac:dyDescent="0.25">
      <c r="A725" s="16" t="str">
        <f t="shared" si="81"/>
        <v>April</v>
      </c>
      <c r="B725" s="31">
        <v>43935</v>
      </c>
      <c r="C725" s="32" t="s">
        <v>26</v>
      </c>
      <c r="D725" s="9" t="str">
        <f t="shared" si="82"/>
        <v>43935 - 2S</v>
      </c>
      <c r="E725" s="32" t="s">
        <v>9</v>
      </c>
      <c r="F725" s="2">
        <v>8000038</v>
      </c>
      <c r="G725" s="4" t="str">
        <f>IFERROR(VLOOKUP(F725,Lists!$C:$D,2,0), "N/A")</f>
        <v>TURTLES MILK CHOC PEC BITE SZ</v>
      </c>
      <c r="H725" s="26">
        <f>IFERROR(VLOOKUP(F725,Lists!$C:$F,4,0),0)</f>
        <v>1.96</v>
      </c>
      <c r="I725" s="7">
        <f t="shared" si="80"/>
        <v>2918</v>
      </c>
      <c r="J725" s="6">
        <v>2160</v>
      </c>
      <c r="K725" s="33">
        <v>758</v>
      </c>
      <c r="L725" s="5">
        <f t="shared" si="83"/>
        <v>0.35092592592592592</v>
      </c>
      <c r="M725" s="26">
        <f t="shared" si="84"/>
        <v>1485.68</v>
      </c>
    </row>
    <row r="726" spans="1:13" x14ac:dyDescent="0.25">
      <c r="A726" s="16" t="str">
        <f t="shared" si="81"/>
        <v>April</v>
      </c>
      <c r="B726" s="31">
        <v>43935</v>
      </c>
      <c r="C726" s="32" t="s">
        <v>26</v>
      </c>
      <c r="D726" s="9" t="str">
        <f t="shared" si="82"/>
        <v>43935 - 2S</v>
      </c>
      <c r="E726" s="32" t="s">
        <v>15</v>
      </c>
      <c r="G726" s="4" t="str">
        <f>IFERROR(VLOOKUP(F726,Lists!$C:$D,2,0), "N/A")</f>
        <v>N/A</v>
      </c>
      <c r="H726" s="26">
        <f>IFERROR(VLOOKUP(F726,Lists!$C:$F,4,0),0)</f>
        <v>0</v>
      </c>
      <c r="I726" s="7">
        <f t="shared" si="80"/>
        <v>5</v>
      </c>
      <c r="K726" s="33">
        <v>5</v>
      </c>
      <c r="L726" s="5">
        <f t="shared" si="83"/>
        <v>1</v>
      </c>
      <c r="M726" s="26">
        <f t="shared" si="84"/>
        <v>0</v>
      </c>
    </row>
    <row r="727" spans="1:13" x14ac:dyDescent="0.25">
      <c r="A727" s="16" t="str">
        <f t="shared" si="81"/>
        <v>April</v>
      </c>
      <c r="B727" s="31">
        <v>43936</v>
      </c>
      <c r="C727" s="32" t="s">
        <v>24</v>
      </c>
      <c r="D727" s="9" t="str">
        <f t="shared" si="82"/>
        <v>43936 - 3S</v>
      </c>
      <c r="E727" s="32" t="s">
        <v>9</v>
      </c>
      <c r="F727" s="2">
        <v>8000038</v>
      </c>
      <c r="G727" s="4" t="str">
        <f>IFERROR(VLOOKUP(F727,Lists!$C:$D,2,0), "N/A")</f>
        <v>TURTLES MILK CHOC PEC BITE SZ</v>
      </c>
      <c r="H727" s="26">
        <f>IFERROR(VLOOKUP(F727,Lists!$C:$F,4,0),0)</f>
        <v>1.96</v>
      </c>
      <c r="I727" s="7">
        <f t="shared" si="80"/>
        <v>2552</v>
      </c>
      <c r="J727" s="6">
        <v>2160</v>
      </c>
      <c r="K727" s="33">
        <v>392</v>
      </c>
      <c r="L727" s="5">
        <f t="shared" si="83"/>
        <v>0.18148148148148149</v>
      </c>
      <c r="M727" s="26">
        <f t="shared" si="84"/>
        <v>768.31999999999994</v>
      </c>
    </row>
    <row r="728" spans="1:13" x14ac:dyDescent="0.25">
      <c r="A728" s="16" t="str">
        <f t="shared" si="81"/>
        <v>April</v>
      </c>
      <c r="B728" s="31">
        <v>43936</v>
      </c>
      <c r="C728" s="32" t="s">
        <v>25</v>
      </c>
      <c r="D728" s="9" t="str">
        <f t="shared" si="82"/>
        <v>43936 - 1S</v>
      </c>
      <c r="E728" s="32" t="s">
        <v>9</v>
      </c>
      <c r="F728" s="2">
        <v>8000038</v>
      </c>
      <c r="G728" s="4" t="str">
        <f>IFERROR(VLOOKUP(F728,Lists!$C:$D,2,0), "N/A")</f>
        <v>TURTLES MILK CHOC PEC BITE SZ</v>
      </c>
      <c r="H728" s="26">
        <f>IFERROR(VLOOKUP(F728,Lists!$C:$F,4,0),0)</f>
        <v>1.96</v>
      </c>
      <c r="I728" s="7">
        <f t="shared" si="80"/>
        <v>6386</v>
      </c>
      <c r="J728" s="6">
        <v>5760</v>
      </c>
      <c r="K728" s="33">
        <v>626</v>
      </c>
      <c r="L728" s="5">
        <f t="shared" si="83"/>
        <v>0.10868055555555556</v>
      </c>
      <c r="M728" s="26">
        <f t="shared" si="84"/>
        <v>1226.96</v>
      </c>
    </row>
    <row r="729" spans="1:13" x14ac:dyDescent="0.25">
      <c r="A729" s="16" t="str">
        <f t="shared" si="81"/>
        <v>April</v>
      </c>
      <c r="B729" s="31">
        <v>43936</v>
      </c>
      <c r="C729" s="32" t="s">
        <v>25</v>
      </c>
      <c r="D729" s="9" t="str">
        <f t="shared" si="82"/>
        <v>43936 - 1S</v>
      </c>
      <c r="E729" s="32" t="s">
        <v>12</v>
      </c>
      <c r="F729" s="2">
        <v>8000055</v>
      </c>
      <c r="G729" s="4" t="str">
        <f>IFERROR(VLOOKUP(F729,Lists!$C:$D,2,0), "N/A")</f>
        <v>916.BF FLIPZ 25 LB BULK MILK CHOC</v>
      </c>
      <c r="H729" s="26">
        <f>IFERROR(VLOOKUP(F729,Lists!$C:$F,4,0),0)</f>
        <v>1.9508160000000001</v>
      </c>
      <c r="I729" s="7">
        <f t="shared" si="80"/>
        <v>20074</v>
      </c>
      <c r="J729" s="6">
        <f>800*25</f>
        <v>20000</v>
      </c>
      <c r="K729" s="33">
        <v>74</v>
      </c>
      <c r="L729" s="5">
        <f t="shared" si="83"/>
        <v>3.7000000000000002E-3</v>
      </c>
      <c r="M729" s="26">
        <f t="shared" si="84"/>
        <v>144.36038400000001</v>
      </c>
    </row>
    <row r="730" spans="1:13" x14ac:dyDescent="0.25">
      <c r="A730" s="16" t="str">
        <f t="shared" si="81"/>
        <v>April</v>
      </c>
      <c r="B730" s="31">
        <v>43936</v>
      </c>
      <c r="C730" s="32" t="s">
        <v>26</v>
      </c>
      <c r="D730" s="9" t="str">
        <f t="shared" si="82"/>
        <v>43936 - 2S</v>
      </c>
      <c r="E730" s="32" t="s">
        <v>9</v>
      </c>
      <c r="F730" s="2">
        <v>8000035</v>
      </c>
      <c r="G730" s="4" t="str">
        <f>IFERROR(VLOOKUP(F730,Lists!$C:$D,2,0), "N/A")</f>
        <v>TURTLES MILK CHOC ORIGINAL</v>
      </c>
      <c r="H730" s="26">
        <f>IFERROR(VLOOKUP(F730,Lists!$C:$F,4,0),0)</f>
        <v>1.91178</v>
      </c>
      <c r="I730" s="7">
        <f t="shared" si="80"/>
        <v>3065.6</v>
      </c>
      <c r="J730" s="6">
        <v>2225.6</v>
      </c>
      <c r="K730" s="33">
        <v>840</v>
      </c>
      <c r="L730" s="5">
        <f t="shared" si="83"/>
        <v>0.37742631200575127</v>
      </c>
      <c r="M730" s="26">
        <f t="shared" si="84"/>
        <v>1605.8951999999999</v>
      </c>
    </row>
    <row r="731" spans="1:13" x14ac:dyDescent="0.25">
      <c r="A731" s="16" t="str">
        <f t="shared" si="81"/>
        <v>April</v>
      </c>
      <c r="B731" s="31">
        <v>43936</v>
      </c>
      <c r="C731" s="32" t="s">
        <v>26</v>
      </c>
      <c r="D731" s="9" t="str">
        <f t="shared" si="82"/>
        <v>43936 - 2S</v>
      </c>
      <c r="E731" s="32" t="s">
        <v>15</v>
      </c>
      <c r="G731" s="4" t="str">
        <f>IFERROR(VLOOKUP(F731,Lists!$C:$D,2,0), "N/A")</f>
        <v>N/A</v>
      </c>
      <c r="H731" s="26">
        <f>IFERROR(VLOOKUP(F731,Lists!$C:$F,4,0),0)</f>
        <v>0</v>
      </c>
      <c r="I731" s="7">
        <f t="shared" si="80"/>
        <v>5</v>
      </c>
      <c r="K731" s="33">
        <v>5</v>
      </c>
      <c r="L731" s="5">
        <f t="shared" si="83"/>
        <v>1</v>
      </c>
      <c r="M731" s="26">
        <f t="shared" si="84"/>
        <v>0</v>
      </c>
    </row>
    <row r="732" spans="1:13" x14ac:dyDescent="0.25">
      <c r="A732" s="16" t="str">
        <f t="shared" si="81"/>
        <v>April</v>
      </c>
      <c r="B732" s="31">
        <v>43937</v>
      </c>
      <c r="C732" s="32" t="s">
        <v>24</v>
      </c>
      <c r="D732" s="9" t="str">
        <f t="shared" si="82"/>
        <v>43937 - 3S</v>
      </c>
      <c r="E732" s="32" t="s">
        <v>9</v>
      </c>
      <c r="F732" s="2">
        <v>8000035</v>
      </c>
      <c r="G732" s="4" t="str">
        <f>IFERROR(VLOOKUP(F732,Lists!$C:$D,2,0), "N/A")</f>
        <v>TURTLES MILK CHOC ORIGINAL</v>
      </c>
      <c r="H732" s="26">
        <f>IFERROR(VLOOKUP(F732,Lists!$C:$F,4,0),0)</f>
        <v>1.91178</v>
      </c>
      <c r="I732" s="7">
        <f t="shared" si="80"/>
        <v>8623.4</v>
      </c>
      <c r="J732" s="6">
        <v>8102.4</v>
      </c>
      <c r="K732" s="33">
        <v>521</v>
      </c>
      <c r="L732" s="5">
        <f t="shared" si="83"/>
        <v>6.4301935229067936E-2</v>
      </c>
      <c r="M732" s="26">
        <f t="shared" si="84"/>
        <v>996.03737999999998</v>
      </c>
    </row>
    <row r="733" spans="1:13" x14ac:dyDescent="0.25">
      <c r="A733" s="16" t="str">
        <f t="shared" si="81"/>
        <v>April</v>
      </c>
      <c r="B733" s="31">
        <v>43937</v>
      </c>
      <c r="C733" s="32" t="s">
        <v>25</v>
      </c>
      <c r="D733" s="9" t="str">
        <f t="shared" si="82"/>
        <v>43937 - 1S</v>
      </c>
      <c r="E733" s="32" t="s">
        <v>9</v>
      </c>
      <c r="F733" s="2">
        <v>8000035</v>
      </c>
      <c r="G733" s="4" t="str">
        <f>IFERROR(VLOOKUP(F733,Lists!$C:$D,2,0), "N/A")</f>
        <v>TURTLES MILK CHOC ORIGINAL</v>
      </c>
      <c r="H733" s="26">
        <f>IFERROR(VLOOKUP(F733,Lists!$C:$F,4,0),0)</f>
        <v>1.91178</v>
      </c>
      <c r="I733" s="7">
        <f t="shared" si="80"/>
        <v>5850.8</v>
      </c>
      <c r="J733" s="6">
        <v>5512.8</v>
      </c>
      <c r="K733" s="33">
        <v>338</v>
      </c>
      <c r="L733" s="5">
        <f t="shared" si="83"/>
        <v>6.1311856044115508E-2</v>
      </c>
      <c r="M733" s="26">
        <f t="shared" si="84"/>
        <v>646.18164000000002</v>
      </c>
    </row>
    <row r="734" spans="1:13" x14ac:dyDescent="0.25">
      <c r="A734" s="16" t="str">
        <f t="shared" si="81"/>
        <v>April</v>
      </c>
      <c r="B734" s="31">
        <v>43937</v>
      </c>
      <c r="C734" s="32" t="s">
        <v>26</v>
      </c>
      <c r="D734" s="9" t="str">
        <f t="shared" si="82"/>
        <v>43937 - 2S</v>
      </c>
      <c r="E734" s="32" t="s">
        <v>9</v>
      </c>
      <c r="F734" s="2">
        <v>8000035</v>
      </c>
      <c r="G734" s="4" t="str">
        <f>IFERROR(VLOOKUP(F734,Lists!$C:$D,2,0), "N/A")</f>
        <v>TURTLES MILK CHOC ORIGINAL</v>
      </c>
      <c r="H734" s="26">
        <f>IFERROR(VLOOKUP(F734,Lists!$C:$F,4,0),0)</f>
        <v>1.91178</v>
      </c>
      <c r="I734" s="7">
        <f t="shared" si="80"/>
        <v>7688</v>
      </c>
      <c r="J734" s="6">
        <v>7200</v>
      </c>
      <c r="K734" s="33">
        <v>488</v>
      </c>
      <c r="L734" s="5">
        <f t="shared" si="83"/>
        <v>6.7777777777777784E-2</v>
      </c>
      <c r="M734" s="26">
        <f t="shared" si="84"/>
        <v>932.94864000000007</v>
      </c>
    </row>
    <row r="735" spans="1:13" x14ac:dyDescent="0.25">
      <c r="A735" s="16" t="str">
        <f t="shared" si="81"/>
        <v>April</v>
      </c>
      <c r="B735" s="31">
        <v>43938</v>
      </c>
      <c r="C735" s="32" t="s">
        <v>24</v>
      </c>
      <c r="D735" s="9" t="str">
        <f t="shared" si="82"/>
        <v>43938 - 3S</v>
      </c>
      <c r="E735" s="32" t="s">
        <v>9</v>
      </c>
      <c r="F735" s="2">
        <v>8000035</v>
      </c>
      <c r="G735" s="4" t="str">
        <f>IFERROR(VLOOKUP(F735,Lists!$C:$D,2,0), "N/A")</f>
        <v>TURTLES MILK CHOC ORIGINAL</v>
      </c>
      <c r="H735" s="26">
        <f>IFERROR(VLOOKUP(F735,Lists!$C:$F,4,0),0)</f>
        <v>1.91178</v>
      </c>
      <c r="I735" s="7">
        <f t="shared" si="80"/>
        <v>503</v>
      </c>
      <c r="J735" s="6">
        <v>400</v>
      </c>
      <c r="K735" s="33">
        <v>103</v>
      </c>
      <c r="L735" s="5">
        <f t="shared" si="83"/>
        <v>0.25750000000000001</v>
      </c>
      <c r="M735" s="26">
        <f t="shared" si="84"/>
        <v>196.91334000000001</v>
      </c>
    </row>
    <row r="736" spans="1:13" x14ac:dyDescent="0.25">
      <c r="A736" s="16" t="str">
        <f t="shared" si="81"/>
        <v>April</v>
      </c>
      <c r="B736" s="31">
        <v>43938</v>
      </c>
      <c r="C736" s="32" t="s">
        <v>24</v>
      </c>
      <c r="D736" s="9" t="str">
        <f t="shared" si="82"/>
        <v>43938 - 3S</v>
      </c>
      <c r="E736" s="32" t="s">
        <v>12</v>
      </c>
      <c r="F736" s="2">
        <v>8000055</v>
      </c>
      <c r="G736" s="4" t="str">
        <f>IFERROR(VLOOKUP(F736,Lists!$C:$D,2,0), "N/A")</f>
        <v>916.BF FLIPZ 25 LB BULK MILK CHOC</v>
      </c>
      <c r="H736" s="26">
        <f>IFERROR(VLOOKUP(F736,Lists!$C:$F,4,0),0)</f>
        <v>1.9508160000000001</v>
      </c>
      <c r="I736" s="7">
        <f t="shared" si="80"/>
        <v>7018</v>
      </c>
      <c r="J736" s="6">
        <f>280*25</f>
        <v>7000</v>
      </c>
      <c r="K736" s="33">
        <v>18</v>
      </c>
      <c r="L736" s="5">
        <f t="shared" si="83"/>
        <v>2.5714285714285713E-3</v>
      </c>
      <c r="M736" s="26">
        <f t="shared" si="84"/>
        <v>35.114688000000001</v>
      </c>
    </row>
    <row r="737" spans="1:13" x14ac:dyDescent="0.25">
      <c r="A737" s="16" t="str">
        <f t="shared" si="81"/>
        <v>April</v>
      </c>
      <c r="B737" s="31">
        <v>43938</v>
      </c>
      <c r="C737" s="32" t="s">
        <v>24</v>
      </c>
      <c r="D737" s="9" t="str">
        <f t="shared" si="82"/>
        <v>43938 - 3S</v>
      </c>
      <c r="E737" s="32" t="s">
        <v>13</v>
      </c>
      <c r="F737" s="2">
        <v>8000055</v>
      </c>
      <c r="G737" s="4" t="str">
        <f>IFERROR(VLOOKUP(F737,Lists!$C:$D,2,0), "N/A")</f>
        <v>916.BF FLIPZ 25 LB BULK MILK CHOC</v>
      </c>
      <c r="H737" s="26">
        <f>IFERROR(VLOOKUP(F737,Lists!$C:$F,4,0),0)</f>
        <v>1.9508160000000001</v>
      </c>
      <c r="I737" s="7">
        <f t="shared" si="80"/>
        <v>1002</v>
      </c>
      <c r="J737" s="6">
        <f>40*25</f>
        <v>1000</v>
      </c>
      <c r="K737" s="33">
        <v>2</v>
      </c>
      <c r="L737" s="5">
        <f t="shared" si="83"/>
        <v>2E-3</v>
      </c>
      <c r="M737" s="26">
        <f t="shared" si="84"/>
        <v>3.9016320000000002</v>
      </c>
    </row>
    <row r="738" spans="1:13" x14ac:dyDescent="0.25">
      <c r="A738" s="16" t="str">
        <f t="shared" si="81"/>
        <v>April</v>
      </c>
      <c r="B738" s="31">
        <v>43938</v>
      </c>
      <c r="C738" s="32" t="s">
        <v>25</v>
      </c>
      <c r="D738" s="9" t="str">
        <f t="shared" si="82"/>
        <v>43938 - 1S</v>
      </c>
      <c r="E738" s="32" t="s">
        <v>9</v>
      </c>
      <c r="F738" s="2">
        <v>8000035</v>
      </c>
      <c r="G738" s="4" t="str">
        <f>IFERROR(VLOOKUP(F738,Lists!$C:$D,2,0), "N/A")</f>
        <v>TURTLES MILK CHOC ORIGINAL</v>
      </c>
      <c r="H738" s="26">
        <f>IFERROR(VLOOKUP(F738,Lists!$C:$F,4,0),0)</f>
        <v>1.91178</v>
      </c>
      <c r="I738" s="7">
        <f t="shared" si="80"/>
        <v>9196</v>
      </c>
      <c r="J738" s="6">
        <v>8800</v>
      </c>
      <c r="K738" s="33">
        <v>396</v>
      </c>
      <c r="L738" s="5">
        <f t="shared" si="83"/>
        <v>4.4999999999999998E-2</v>
      </c>
      <c r="M738" s="26">
        <f t="shared" si="84"/>
        <v>757.06488000000002</v>
      </c>
    </row>
    <row r="739" spans="1:13" x14ac:dyDescent="0.25">
      <c r="A739" s="16" t="str">
        <f t="shared" si="81"/>
        <v>April</v>
      </c>
      <c r="B739" s="31">
        <v>43938</v>
      </c>
      <c r="C739" s="32" t="s">
        <v>25</v>
      </c>
      <c r="D739" s="9" t="str">
        <f t="shared" si="82"/>
        <v>43938 - 1S</v>
      </c>
      <c r="E739" s="32" t="s">
        <v>10</v>
      </c>
      <c r="F739" s="2">
        <v>8000039</v>
      </c>
      <c r="G739" s="4" t="str">
        <f>IFERROR(VLOOKUP(F739,Lists!$C:$D,2,0), "N/A")</f>
        <v>TURTLES MILK CHOC ORIG MINI</v>
      </c>
      <c r="H739" s="26">
        <f>IFERROR(VLOOKUP(F739,Lists!$C:$F,4,0),0)</f>
        <v>2.08013</v>
      </c>
      <c r="I739" s="7">
        <f t="shared" si="80"/>
        <v>7039</v>
      </c>
      <c r="J739" s="6">
        <v>6720</v>
      </c>
      <c r="K739" s="33">
        <v>319</v>
      </c>
      <c r="L739" s="5">
        <f t="shared" si="83"/>
        <v>4.7470238095238093E-2</v>
      </c>
      <c r="M739" s="26">
        <f t="shared" si="84"/>
        <v>663.56146999999999</v>
      </c>
    </row>
    <row r="740" spans="1:13" x14ac:dyDescent="0.25">
      <c r="A740" s="16" t="str">
        <f t="shared" si="81"/>
        <v>April</v>
      </c>
      <c r="B740" s="31">
        <v>43938</v>
      </c>
      <c r="C740" s="32" t="s">
        <v>25</v>
      </c>
      <c r="D740" s="9" t="str">
        <f t="shared" si="82"/>
        <v>43938 - 1S</v>
      </c>
      <c r="E740" s="32" t="s">
        <v>12</v>
      </c>
      <c r="F740" s="2">
        <v>8000055</v>
      </c>
      <c r="G740" s="4" t="str">
        <f>IFERROR(VLOOKUP(F740,Lists!$C:$D,2,0), "N/A")</f>
        <v>916.BF FLIPZ 25 LB BULK MILK CHOC</v>
      </c>
      <c r="H740" s="26">
        <f>IFERROR(VLOOKUP(F740,Lists!$C:$F,4,0),0)</f>
        <v>1.9508160000000001</v>
      </c>
      <c r="I740" s="7">
        <f t="shared" si="80"/>
        <v>8118</v>
      </c>
      <c r="J740" s="6">
        <f>320*25</f>
        <v>8000</v>
      </c>
      <c r="K740" s="33">
        <v>118</v>
      </c>
      <c r="L740" s="5">
        <f t="shared" si="83"/>
        <v>1.4749999999999999E-2</v>
      </c>
      <c r="M740" s="26">
        <f t="shared" si="84"/>
        <v>230.19628800000001</v>
      </c>
    </row>
    <row r="741" spans="1:13" x14ac:dyDescent="0.25">
      <c r="A741" s="16" t="str">
        <f t="shared" si="81"/>
        <v>April</v>
      </c>
      <c r="B741" s="31">
        <v>43938</v>
      </c>
      <c r="C741" s="32" t="s">
        <v>25</v>
      </c>
      <c r="D741" s="9" t="str">
        <f t="shared" si="82"/>
        <v>43938 - 1S</v>
      </c>
      <c r="E741" s="32" t="s">
        <v>15</v>
      </c>
      <c r="G741" s="4" t="str">
        <f>IFERROR(VLOOKUP(F741,Lists!$C:$D,2,0), "N/A")</f>
        <v>N/A</v>
      </c>
      <c r="H741" s="26">
        <f>IFERROR(VLOOKUP(F741,Lists!$C:$F,4,0),0)</f>
        <v>0</v>
      </c>
      <c r="I741" s="7">
        <f t="shared" si="80"/>
        <v>5</v>
      </c>
      <c r="K741" s="33">
        <v>5</v>
      </c>
      <c r="L741" s="5">
        <f t="shared" si="83"/>
        <v>1</v>
      </c>
      <c r="M741" s="26">
        <f t="shared" si="84"/>
        <v>0</v>
      </c>
    </row>
    <row r="742" spans="1:13" x14ac:dyDescent="0.25">
      <c r="A742" s="16" t="str">
        <f t="shared" si="81"/>
        <v>April</v>
      </c>
      <c r="B742" s="31">
        <v>43938</v>
      </c>
      <c r="C742" s="32" t="s">
        <v>26</v>
      </c>
      <c r="D742" s="9" t="str">
        <f t="shared" si="82"/>
        <v>43938 - 2S</v>
      </c>
      <c r="E742" s="32" t="s">
        <v>9</v>
      </c>
      <c r="F742" s="2">
        <v>8000035</v>
      </c>
      <c r="G742" s="4" t="str">
        <f>IFERROR(VLOOKUP(F742,Lists!$C:$D,2,0), "N/A")</f>
        <v>TURTLES MILK CHOC ORIGINAL</v>
      </c>
      <c r="H742" s="26">
        <f>IFERROR(VLOOKUP(F742,Lists!$C:$F,4,0),0)</f>
        <v>1.91178</v>
      </c>
      <c r="I742" s="7">
        <f t="shared" si="80"/>
        <v>8526</v>
      </c>
      <c r="J742" s="6">
        <v>8000</v>
      </c>
      <c r="K742" s="33">
        <v>526</v>
      </c>
      <c r="L742" s="5">
        <f t="shared" si="83"/>
        <v>6.5750000000000003E-2</v>
      </c>
      <c r="M742" s="26">
        <f t="shared" si="84"/>
        <v>1005.59628</v>
      </c>
    </row>
    <row r="743" spans="1:13" x14ac:dyDescent="0.25">
      <c r="A743" s="16" t="str">
        <f t="shared" si="81"/>
        <v>April</v>
      </c>
      <c r="B743" s="31">
        <v>43938</v>
      </c>
      <c r="C743" s="32" t="s">
        <v>26</v>
      </c>
      <c r="D743" s="9" t="str">
        <f t="shared" si="82"/>
        <v>43938 - 2S</v>
      </c>
      <c r="E743" s="32" t="s">
        <v>10</v>
      </c>
      <c r="F743" s="2">
        <v>8000039</v>
      </c>
      <c r="G743" s="4" t="str">
        <f>IFERROR(VLOOKUP(F743,Lists!$C:$D,2,0), "N/A")</f>
        <v>TURTLES MILK CHOC ORIG MINI</v>
      </c>
      <c r="H743" s="26">
        <f>IFERROR(VLOOKUP(F743,Lists!$C:$F,4,0),0)</f>
        <v>2.08013</v>
      </c>
      <c r="I743" s="7">
        <f t="shared" si="80"/>
        <v>6946</v>
      </c>
      <c r="J743" s="6">
        <v>6720</v>
      </c>
      <c r="K743" s="33">
        <v>226</v>
      </c>
      <c r="L743" s="5">
        <f t="shared" si="83"/>
        <v>3.3630952380952379E-2</v>
      </c>
      <c r="M743" s="26">
        <f t="shared" si="84"/>
        <v>470.10937999999999</v>
      </c>
    </row>
    <row r="744" spans="1:13" x14ac:dyDescent="0.25">
      <c r="A744" s="16" t="str">
        <f t="shared" si="81"/>
        <v>April</v>
      </c>
      <c r="B744" s="31">
        <v>43939</v>
      </c>
      <c r="C744" s="32" t="s">
        <v>26</v>
      </c>
      <c r="D744" s="9" t="str">
        <f t="shared" si="82"/>
        <v>43939 - 2S</v>
      </c>
      <c r="E744" s="32" t="s">
        <v>12</v>
      </c>
      <c r="F744" s="2">
        <v>8000055</v>
      </c>
      <c r="G744" s="4" t="str">
        <f>IFERROR(VLOOKUP(F744,Lists!$C:$D,2,0), "N/A")</f>
        <v>916.BF FLIPZ 25 LB BULK MILK CHOC</v>
      </c>
      <c r="H744" s="26">
        <f>IFERROR(VLOOKUP(F744,Lists!$C:$F,4,0),0)</f>
        <v>1.9508160000000001</v>
      </c>
      <c r="I744" s="7">
        <f t="shared" si="80"/>
        <v>9029</v>
      </c>
      <c r="J744" s="6">
        <f>360*25</f>
        <v>9000</v>
      </c>
      <c r="K744" s="33">
        <v>29</v>
      </c>
      <c r="L744" s="5">
        <f t="shared" si="83"/>
        <v>3.2222222222222222E-3</v>
      </c>
      <c r="M744" s="26">
        <f t="shared" si="84"/>
        <v>56.573664000000001</v>
      </c>
    </row>
    <row r="745" spans="1:13" x14ac:dyDescent="0.25">
      <c r="A745" s="16" t="str">
        <f t="shared" si="81"/>
        <v>April</v>
      </c>
      <c r="B745" s="31">
        <v>43938</v>
      </c>
      <c r="C745" s="32" t="s">
        <v>26</v>
      </c>
      <c r="D745" s="9" t="str">
        <f t="shared" si="82"/>
        <v>43938 - 2S</v>
      </c>
      <c r="E745" s="32" t="s">
        <v>15</v>
      </c>
      <c r="G745" s="4" t="str">
        <f>IFERROR(VLOOKUP(F745,Lists!$C:$D,2,0), "N/A")</f>
        <v>N/A</v>
      </c>
      <c r="H745" s="26">
        <f>IFERROR(VLOOKUP(F745,Lists!$C:$F,4,0),0)</f>
        <v>0</v>
      </c>
      <c r="I745" s="7">
        <f t="shared" si="80"/>
        <v>15</v>
      </c>
      <c r="K745" s="33">
        <v>15</v>
      </c>
      <c r="L745" s="5">
        <f t="shared" si="83"/>
        <v>1</v>
      </c>
      <c r="M745" s="26">
        <f t="shared" si="84"/>
        <v>0</v>
      </c>
    </row>
    <row r="746" spans="1:13" x14ac:dyDescent="0.25">
      <c r="A746" s="16" t="str">
        <f t="shared" si="81"/>
        <v>April</v>
      </c>
      <c r="B746" s="31">
        <v>43939</v>
      </c>
      <c r="C746" s="32" t="s">
        <v>25</v>
      </c>
      <c r="D746" s="9" t="str">
        <f t="shared" si="82"/>
        <v>43939 - 1S</v>
      </c>
      <c r="E746" s="32" t="s">
        <v>12</v>
      </c>
      <c r="F746" s="2">
        <v>8000055</v>
      </c>
      <c r="G746" s="4" t="str">
        <f>IFERROR(VLOOKUP(F746,Lists!$C:$D,2,0), "N/A")</f>
        <v>916.BF FLIPZ 25 LB BULK MILK CHOC</v>
      </c>
      <c r="H746" s="26">
        <f>IFERROR(VLOOKUP(F746,Lists!$C:$F,4,0),0)</f>
        <v>1.9508160000000001</v>
      </c>
      <c r="I746" s="7">
        <f t="shared" si="80"/>
        <v>10206</v>
      </c>
      <c r="J746" s="6">
        <f>400*25</f>
        <v>10000</v>
      </c>
      <c r="K746" s="33">
        <v>206</v>
      </c>
      <c r="L746" s="5">
        <f t="shared" si="83"/>
        <v>2.06E-2</v>
      </c>
      <c r="M746" s="26">
        <f t="shared" si="84"/>
        <v>401.86809600000004</v>
      </c>
    </row>
    <row r="747" spans="1:13" x14ac:dyDescent="0.25">
      <c r="A747" s="16" t="str">
        <f t="shared" si="81"/>
        <v>April</v>
      </c>
      <c r="B747" s="31">
        <v>43939</v>
      </c>
      <c r="C747" s="32" t="s">
        <v>25</v>
      </c>
      <c r="D747" s="9" t="str">
        <f t="shared" si="82"/>
        <v>43939 - 1S</v>
      </c>
      <c r="E747" s="32" t="s">
        <v>15</v>
      </c>
      <c r="G747" s="4" t="str">
        <f>IFERROR(VLOOKUP(F747,Lists!$C:$D,2,0), "N/A")</f>
        <v>N/A</v>
      </c>
      <c r="H747" s="26">
        <f>IFERROR(VLOOKUP(F747,Lists!$C:$F,4,0),0)</f>
        <v>0</v>
      </c>
      <c r="I747" s="7">
        <f t="shared" si="80"/>
        <v>13</v>
      </c>
      <c r="K747" s="33">
        <v>13</v>
      </c>
      <c r="L747" s="5">
        <f t="shared" si="83"/>
        <v>1</v>
      </c>
      <c r="M747" s="26">
        <f t="shared" si="84"/>
        <v>0</v>
      </c>
    </row>
    <row r="748" spans="1:13" x14ac:dyDescent="0.25">
      <c r="A748" s="16" t="str">
        <f t="shared" si="81"/>
        <v>April</v>
      </c>
      <c r="B748" s="31">
        <v>43940</v>
      </c>
      <c r="C748" s="32" t="s">
        <v>26</v>
      </c>
      <c r="D748" s="9" t="str">
        <f t="shared" si="82"/>
        <v>43940 - 2S</v>
      </c>
      <c r="E748" s="32" t="s">
        <v>9</v>
      </c>
      <c r="F748" s="2">
        <v>8000035</v>
      </c>
      <c r="G748" s="4" t="str">
        <f>IFERROR(VLOOKUP(F748,Lists!$C:$D,2,0), "N/A")</f>
        <v>TURTLES MILK CHOC ORIGINAL</v>
      </c>
      <c r="H748" s="26">
        <f>IFERROR(VLOOKUP(F748,Lists!$C:$F,4,0),0)</f>
        <v>1.91178</v>
      </c>
      <c r="I748" s="7">
        <f t="shared" ref="I748:I811" si="85">J748+K748</f>
        <v>90</v>
      </c>
      <c r="J748" s="6">
        <v>0</v>
      </c>
      <c r="K748" s="33">
        <v>90</v>
      </c>
      <c r="L748" s="5">
        <f t="shared" si="83"/>
        <v>1</v>
      </c>
      <c r="M748" s="26">
        <f t="shared" si="84"/>
        <v>172.06020000000001</v>
      </c>
    </row>
    <row r="749" spans="1:13" x14ac:dyDescent="0.25">
      <c r="A749" s="16" t="str">
        <f t="shared" si="81"/>
        <v>April</v>
      </c>
      <c r="B749" s="31">
        <v>43940</v>
      </c>
      <c r="C749" s="32" t="s">
        <v>26</v>
      </c>
      <c r="D749" s="9" t="str">
        <f t="shared" si="82"/>
        <v>43940 - 2S</v>
      </c>
      <c r="E749" s="32" t="s">
        <v>12</v>
      </c>
      <c r="F749" s="2">
        <v>8000055</v>
      </c>
      <c r="G749" s="4" t="str">
        <f>IFERROR(VLOOKUP(F749,Lists!$C:$D,2,0), "N/A")</f>
        <v>916.BF FLIPZ 25 LB BULK MILK CHOC</v>
      </c>
      <c r="H749" s="26">
        <f>IFERROR(VLOOKUP(F749,Lists!$C:$F,4,0),0)</f>
        <v>1.9508160000000001</v>
      </c>
      <c r="I749" s="7">
        <f t="shared" si="85"/>
        <v>11011</v>
      </c>
      <c r="J749" s="6">
        <f>440*25</f>
        <v>11000</v>
      </c>
      <c r="K749" s="33">
        <v>11</v>
      </c>
      <c r="L749" s="5">
        <f t="shared" si="83"/>
        <v>1E-3</v>
      </c>
      <c r="M749" s="26">
        <f t="shared" si="84"/>
        <v>21.458976</v>
      </c>
    </row>
    <row r="750" spans="1:13" x14ac:dyDescent="0.25">
      <c r="A750" s="16" t="str">
        <f t="shared" si="81"/>
        <v>April</v>
      </c>
      <c r="B750" s="31">
        <v>43940</v>
      </c>
      <c r="C750" s="32" t="s">
        <v>25</v>
      </c>
      <c r="D750" s="9" t="str">
        <f t="shared" si="82"/>
        <v>43940 - 1S</v>
      </c>
      <c r="E750" s="32" t="s">
        <v>12</v>
      </c>
      <c r="F750" s="2">
        <v>8000055</v>
      </c>
      <c r="G750" s="4" t="str">
        <f>IFERROR(VLOOKUP(F750,Lists!$C:$D,2,0), "N/A")</f>
        <v>916.BF FLIPZ 25 LB BULK MILK CHOC</v>
      </c>
      <c r="H750" s="26">
        <f>IFERROR(VLOOKUP(F750,Lists!$C:$F,4,0),0)</f>
        <v>1.9508160000000001</v>
      </c>
      <c r="I750" s="7">
        <f t="shared" si="85"/>
        <v>8026</v>
      </c>
      <c r="J750" s="6">
        <f>320*25</f>
        <v>8000</v>
      </c>
      <c r="K750" s="33">
        <v>26</v>
      </c>
      <c r="L750" s="5">
        <f t="shared" si="83"/>
        <v>3.2499999999999999E-3</v>
      </c>
      <c r="M750" s="26">
        <f t="shared" si="84"/>
        <v>50.721216000000005</v>
      </c>
    </row>
    <row r="751" spans="1:13" x14ac:dyDescent="0.25">
      <c r="A751" s="16" t="str">
        <f t="shared" si="81"/>
        <v>April</v>
      </c>
      <c r="B751" s="31">
        <v>43940</v>
      </c>
      <c r="C751" s="32" t="s">
        <v>25</v>
      </c>
      <c r="D751" s="9" t="str">
        <f t="shared" si="82"/>
        <v>43940 - 1S</v>
      </c>
      <c r="E751" s="32" t="s">
        <v>13</v>
      </c>
      <c r="F751" s="2">
        <v>8000055</v>
      </c>
      <c r="G751" s="4" t="str">
        <f>IFERROR(VLOOKUP(F751,Lists!$C:$D,2,0), "N/A")</f>
        <v>916.BF FLIPZ 25 LB BULK MILK CHOC</v>
      </c>
      <c r="H751" s="26">
        <f>IFERROR(VLOOKUP(F751,Lists!$C:$F,4,0),0)</f>
        <v>1.9508160000000001</v>
      </c>
      <c r="I751" s="7">
        <f t="shared" si="85"/>
        <v>2031</v>
      </c>
      <c r="J751" s="6">
        <f>80*25</f>
        <v>2000</v>
      </c>
      <c r="K751" s="33">
        <v>31</v>
      </c>
      <c r="L751" s="5">
        <f t="shared" si="83"/>
        <v>1.55E-2</v>
      </c>
      <c r="M751" s="26">
        <f t="shared" si="84"/>
        <v>60.475296</v>
      </c>
    </row>
    <row r="752" spans="1:13" x14ac:dyDescent="0.25">
      <c r="A752" s="16" t="str">
        <f t="shared" si="81"/>
        <v>April</v>
      </c>
      <c r="B752" s="31">
        <v>43941</v>
      </c>
      <c r="C752" s="32" t="s">
        <v>26</v>
      </c>
      <c r="D752" s="9" t="str">
        <f t="shared" si="82"/>
        <v>43941 - 2S</v>
      </c>
      <c r="E752" s="32" t="s">
        <v>9</v>
      </c>
      <c r="F752" s="2">
        <v>8000035</v>
      </c>
      <c r="G752" s="4" t="str">
        <f>IFERROR(VLOOKUP(F752,Lists!$C:$D,2,0), "N/A")</f>
        <v>TURTLES MILK CHOC ORIGINAL</v>
      </c>
      <c r="H752" s="26">
        <f>IFERROR(VLOOKUP(F752,Lists!$C:$F,4,0),0)</f>
        <v>1.91178</v>
      </c>
      <c r="I752" s="7">
        <f t="shared" si="85"/>
        <v>5932.8</v>
      </c>
      <c r="J752" s="6">
        <v>5680.8</v>
      </c>
      <c r="K752" s="33">
        <v>252</v>
      </c>
      <c r="L752" s="5">
        <f t="shared" si="83"/>
        <v>4.4359949302915078E-2</v>
      </c>
      <c r="M752" s="26">
        <f t="shared" si="84"/>
        <v>481.76856000000004</v>
      </c>
    </row>
    <row r="753" spans="1:13" x14ac:dyDescent="0.25">
      <c r="A753" s="16" t="str">
        <f t="shared" ref="A753:A816" si="86">TEXT(B753,"mmmm")</f>
        <v>April</v>
      </c>
      <c r="B753" s="31">
        <v>43941</v>
      </c>
      <c r="C753" s="32" t="s">
        <v>24</v>
      </c>
      <c r="D753" s="9" t="str">
        <f t="shared" si="82"/>
        <v>43941 - 3S</v>
      </c>
      <c r="E753" s="32" t="s">
        <v>10</v>
      </c>
      <c r="F753" s="2">
        <v>8000039</v>
      </c>
      <c r="G753" s="4" t="str">
        <f>IFERROR(VLOOKUP(F753,Lists!$C:$D,2,0), "N/A")</f>
        <v>TURTLES MILK CHOC ORIG MINI</v>
      </c>
      <c r="H753" s="26">
        <f>IFERROR(VLOOKUP(F753,Lists!$C:$F,4,0),0)</f>
        <v>2.08013</v>
      </c>
      <c r="I753" s="7">
        <f t="shared" si="85"/>
        <v>7909</v>
      </c>
      <c r="J753" s="6">
        <v>7680</v>
      </c>
      <c r="K753" s="33">
        <v>229</v>
      </c>
      <c r="L753" s="5">
        <f t="shared" si="83"/>
        <v>2.9817708333333335E-2</v>
      </c>
      <c r="M753" s="26">
        <f t="shared" si="84"/>
        <v>476.34977000000003</v>
      </c>
    </row>
    <row r="754" spans="1:13" x14ac:dyDescent="0.25">
      <c r="A754" s="16" t="str">
        <f t="shared" si="86"/>
        <v>April</v>
      </c>
      <c r="B754" s="31">
        <v>43941</v>
      </c>
      <c r="C754" s="32" t="s">
        <v>25</v>
      </c>
      <c r="D754" s="9" t="str">
        <f t="shared" si="82"/>
        <v>43941 - 1S</v>
      </c>
      <c r="E754" s="32" t="s">
        <v>13</v>
      </c>
      <c r="F754" s="2">
        <v>8000055</v>
      </c>
      <c r="G754" s="4" t="str">
        <f>IFERROR(VLOOKUP(F754,Lists!$C:$D,2,0), "N/A")</f>
        <v>916.BF FLIPZ 25 LB BULK MILK CHOC</v>
      </c>
      <c r="H754" s="26">
        <f>IFERROR(VLOOKUP(F754,Lists!$C:$F,4,0),0)</f>
        <v>1.9508160000000001</v>
      </c>
      <c r="I754" s="7">
        <f t="shared" si="85"/>
        <v>2011</v>
      </c>
      <c r="J754" s="6">
        <f>80*25</f>
        <v>2000</v>
      </c>
      <c r="K754" s="33">
        <v>11</v>
      </c>
      <c r="L754" s="5">
        <f t="shared" si="83"/>
        <v>5.4999999999999997E-3</v>
      </c>
      <c r="M754" s="26">
        <f t="shared" si="84"/>
        <v>21.458976</v>
      </c>
    </row>
    <row r="755" spans="1:13" x14ac:dyDescent="0.25">
      <c r="A755" s="16" t="str">
        <f t="shared" si="86"/>
        <v>April</v>
      </c>
      <c r="B755" s="31">
        <v>43941</v>
      </c>
      <c r="C755" s="32" t="s">
        <v>25</v>
      </c>
      <c r="D755" s="9" t="str">
        <f t="shared" si="82"/>
        <v>43941 - 1S</v>
      </c>
      <c r="E755" s="32" t="s">
        <v>9</v>
      </c>
      <c r="F755" s="2">
        <v>8000035</v>
      </c>
      <c r="G755" s="4" t="str">
        <f>IFERROR(VLOOKUP(F755,Lists!$C:$D,2,0), "N/A")</f>
        <v>TURTLES MILK CHOC ORIGINAL</v>
      </c>
      <c r="H755" s="26">
        <f>IFERROR(VLOOKUP(F755,Lists!$C:$F,4,0),0)</f>
        <v>1.91178</v>
      </c>
      <c r="I755" s="7">
        <f t="shared" si="85"/>
        <v>5514</v>
      </c>
      <c r="J755" s="6">
        <v>4968</v>
      </c>
      <c r="K755" s="33">
        <v>546</v>
      </c>
      <c r="L755" s="5">
        <f t="shared" si="83"/>
        <v>0.10990338164251208</v>
      </c>
      <c r="M755" s="26">
        <f t="shared" si="84"/>
        <v>1043.83188</v>
      </c>
    </row>
    <row r="756" spans="1:13" x14ac:dyDescent="0.25">
      <c r="A756" s="16" t="str">
        <f t="shared" si="86"/>
        <v>April</v>
      </c>
      <c r="B756" s="31">
        <v>43941</v>
      </c>
      <c r="C756" s="32" t="s">
        <v>25</v>
      </c>
      <c r="D756" s="9" t="str">
        <f t="shared" si="82"/>
        <v>43941 - 1S</v>
      </c>
      <c r="E756" s="32" t="s">
        <v>10</v>
      </c>
      <c r="F756" s="2">
        <v>8000039</v>
      </c>
      <c r="G756" s="4" t="str">
        <f>IFERROR(VLOOKUP(F756,Lists!$C:$D,2,0), "N/A")</f>
        <v>TURTLES MILK CHOC ORIG MINI</v>
      </c>
      <c r="H756" s="26">
        <f>IFERROR(VLOOKUP(F756,Lists!$C:$F,4,0),0)</f>
        <v>2.08013</v>
      </c>
      <c r="I756" s="7">
        <f t="shared" si="85"/>
        <v>7798</v>
      </c>
      <c r="J756" s="6">
        <v>7680</v>
      </c>
      <c r="K756" s="33">
        <v>118</v>
      </c>
      <c r="L756" s="5">
        <f t="shared" si="83"/>
        <v>1.5364583333333333E-2</v>
      </c>
      <c r="M756" s="26">
        <f t="shared" si="84"/>
        <v>245.45534000000001</v>
      </c>
    </row>
    <row r="757" spans="1:13" x14ac:dyDescent="0.25">
      <c r="A757" s="16" t="str">
        <f t="shared" si="86"/>
        <v>April</v>
      </c>
      <c r="B757" s="31">
        <v>43941</v>
      </c>
      <c r="C757" s="32" t="s">
        <v>26</v>
      </c>
      <c r="D757" s="9" t="str">
        <f t="shared" si="82"/>
        <v>43941 - 2S</v>
      </c>
      <c r="E757" s="32" t="s">
        <v>9</v>
      </c>
      <c r="F757" s="2">
        <v>8000035</v>
      </c>
      <c r="G757" s="4" t="str">
        <f>IFERROR(VLOOKUP(F757,Lists!$C:$D,2,0), "N/A")</f>
        <v>TURTLES MILK CHOC ORIGINAL</v>
      </c>
      <c r="H757" s="26">
        <f>IFERROR(VLOOKUP(F757,Lists!$C:$F,4,0),0)</f>
        <v>1.91178</v>
      </c>
      <c r="I757" s="7">
        <f t="shared" si="85"/>
        <v>5931.8</v>
      </c>
      <c r="J757" s="6">
        <v>5680.8</v>
      </c>
      <c r="K757" s="33">
        <v>251</v>
      </c>
      <c r="L757" s="5">
        <f t="shared" si="83"/>
        <v>4.4183917758062241E-2</v>
      </c>
      <c r="M757" s="26">
        <f t="shared" si="84"/>
        <v>479.85678000000001</v>
      </c>
    </row>
    <row r="758" spans="1:13" x14ac:dyDescent="0.25">
      <c r="A758" s="16" t="str">
        <f t="shared" si="86"/>
        <v>April</v>
      </c>
      <c r="B758" s="31">
        <v>43941</v>
      </c>
      <c r="C758" s="32" t="s">
        <v>26</v>
      </c>
      <c r="D758" s="9" t="str">
        <f t="shared" si="82"/>
        <v>43941 - 2S</v>
      </c>
      <c r="E758" s="32" t="s">
        <v>12</v>
      </c>
      <c r="F758" s="2">
        <v>8000055</v>
      </c>
      <c r="G758" s="4" t="str">
        <f>IFERROR(VLOOKUP(F758,Lists!$C:$D,2,0), "N/A")</f>
        <v>916.BF FLIPZ 25 LB BULK MILK CHOC</v>
      </c>
      <c r="H758" s="26">
        <f>IFERROR(VLOOKUP(F758,Lists!$C:$F,4,0),0)</f>
        <v>1.9508160000000001</v>
      </c>
      <c r="I758" s="7">
        <f t="shared" si="85"/>
        <v>10023</v>
      </c>
      <c r="J758" s="6">
        <f>400*25</f>
        <v>10000</v>
      </c>
      <c r="K758" s="33">
        <v>23</v>
      </c>
      <c r="L758" s="5">
        <f t="shared" si="83"/>
        <v>2.3E-3</v>
      </c>
      <c r="M758" s="26">
        <f t="shared" si="84"/>
        <v>44.868768000000003</v>
      </c>
    </row>
    <row r="759" spans="1:13" x14ac:dyDescent="0.25">
      <c r="A759" s="16" t="str">
        <f t="shared" si="86"/>
        <v>April</v>
      </c>
      <c r="B759" s="31">
        <v>43942</v>
      </c>
      <c r="C759" s="32" t="s">
        <v>24</v>
      </c>
      <c r="D759" s="9" t="str">
        <f t="shared" si="82"/>
        <v>43942 - 3S</v>
      </c>
      <c r="E759" s="32" t="s">
        <v>9</v>
      </c>
      <c r="F759" s="2">
        <v>8000035</v>
      </c>
      <c r="G759" s="4" t="str">
        <f>IFERROR(VLOOKUP(F759,Lists!$C:$D,2,0), "N/A")</f>
        <v>TURTLES MILK CHOC ORIGINAL</v>
      </c>
      <c r="H759" s="26">
        <f>IFERROR(VLOOKUP(F759,Lists!$C:$F,4,0),0)</f>
        <v>1.91178</v>
      </c>
      <c r="I759" s="7">
        <f t="shared" si="85"/>
        <v>4966.76</v>
      </c>
      <c r="J759" s="6">
        <v>4709.76</v>
      </c>
      <c r="K759" s="33">
        <v>257</v>
      </c>
      <c r="L759" s="5">
        <f t="shared" si="83"/>
        <v>5.456753635004756E-2</v>
      </c>
      <c r="M759" s="26">
        <f t="shared" si="84"/>
        <v>491.32746000000003</v>
      </c>
    </row>
    <row r="760" spans="1:13" x14ac:dyDescent="0.25">
      <c r="A760" s="16" t="str">
        <f t="shared" si="86"/>
        <v>April</v>
      </c>
      <c r="B760" s="31">
        <v>43942</v>
      </c>
      <c r="C760" s="32" t="s">
        <v>24</v>
      </c>
      <c r="D760" s="9" t="str">
        <f t="shared" si="82"/>
        <v>43942 - 3S</v>
      </c>
      <c r="E760" s="32" t="s">
        <v>10</v>
      </c>
      <c r="F760" s="2">
        <v>8000039</v>
      </c>
      <c r="G760" s="4" t="str">
        <f>IFERROR(VLOOKUP(F760,Lists!$C:$D,2,0), "N/A")</f>
        <v>TURTLES MILK CHOC ORIG MINI</v>
      </c>
      <c r="H760" s="26">
        <f>IFERROR(VLOOKUP(F760,Lists!$C:$F,4,0),0)</f>
        <v>2.08013</v>
      </c>
      <c r="I760" s="7">
        <f t="shared" si="85"/>
        <v>6830</v>
      </c>
      <c r="J760" s="6">
        <v>6720</v>
      </c>
      <c r="K760" s="33">
        <v>110</v>
      </c>
      <c r="L760" s="5">
        <f t="shared" si="83"/>
        <v>1.636904761904762E-2</v>
      </c>
      <c r="M760" s="26">
        <f t="shared" si="84"/>
        <v>228.8143</v>
      </c>
    </row>
    <row r="761" spans="1:13" x14ac:dyDescent="0.25">
      <c r="A761" s="16" t="str">
        <f t="shared" si="86"/>
        <v>April</v>
      </c>
      <c r="B761" s="31">
        <v>43942</v>
      </c>
      <c r="C761" s="32" t="s">
        <v>24</v>
      </c>
      <c r="D761" s="9" t="str">
        <f t="shared" si="82"/>
        <v>43942 - 3S</v>
      </c>
      <c r="E761" s="32" t="s">
        <v>13</v>
      </c>
      <c r="F761" s="2">
        <v>8000055</v>
      </c>
      <c r="G761" s="4" t="str">
        <f>IFERROR(VLOOKUP(F761,Lists!$C:$D,2,0), "N/A")</f>
        <v>916.BF FLIPZ 25 LB BULK MILK CHOC</v>
      </c>
      <c r="H761" s="26">
        <f>IFERROR(VLOOKUP(F761,Lists!$C:$F,4,0),0)</f>
        <v>1.9508160000000001</v>
      </c>
      <c r="I761" s="7">
        <f t="shared" si="85"/>
        <v>2004</v>
      </c>
      <c r="J761" s="6">
        <f>80*25</f>
        <v>2000</v>
      </c>
      <c r="K761" s="33">
        <v>4</v>
      </c>
      <c r="L761" s="5">
        <f t="shared" si="83"/>
        <v>2E-3</v>
      </c>
      <c r="M761" s="26">
        <f t="shared" si="84"/>
        <v>7.8032640000000004</v>
      </c>
    </row>
    <row r="762" spans="1:13" x14ac:dyDescent="0.25">
      <c r="A762" s="16" t="str">
        <f t="shared" si="86"/>
        <v>April</v>
      </c>
      <c r="B762" s="31">
        <v>43942</v>
      </c>
      <c r="C762" s="32" t="s">
        <v>24</v>
      </c>
      <c r="D762" s="9" t="str">
        <f t="shared" si="82"/>
        <v>43942 - 3S</v>
      </c>
      <c r="E762" s="32" t="s">
        <v>15</v>
      </c>
      <c r="G762" s="4" t="str">
        <f>IFERROR(VLOOKUP(F762,Lists!$C:$D,2,0), "N/A")</f>
        <v>N/A</v>
      </c>
      <c r="H762" s="26">
        <f>IFERROR(VLOOKUP(F762,Lists!$C:$F,4,0),0)</f>
        <v>0</v>
      </c>
      <c r="I762" s="7">
        <f t="shared" si="85"/>
        <v>5</v>
      </c>
      <c r="K762" s="33">
        <v>5</v>
      </c>
      <c r="L762" s="5">
        <f t="shared" si="83"/>
        <v>1</v>
      </c>
      <c r="M762" s="26">
        <f t="shared" si="84"/>
        <v>0</v>
      </c>
    </row>
    <row r="763" spans="1:13" x14ac:dyDescent="0.25">
      <c r="A763" s="16" t="str">
        <f t="shared" si="86"/>
        <v>April</v>
      </c>
      <c r="B763" s="31">
        <v>43942</v>
      </c>
      <c r="C763" s="32" t="s">
        <v>25</v>
      </c>
      <c r="D763" s="9" t="str">
        <f t="shared" si="82"/>
        <v>43942 - 1S</v>
      </c>
      <c r="E763" s="32" t="s">
        <v>9</v>
      </c>
      <c r="F763" s="2">
        <v>8000035</v>
      </c>
      <c r="G763" s="4" t="str">
        <f>IFERROR(VLOOKUP(F763,Lists!$C:$D,2,0), "N/A")</f>
        <v>TURTLES MILK CHOC ORIGINAL</v>
      </c>
      <c r="H763" s="26">
        <f>IFERROR(VLOOKUP(F763,Lists!$C:$F,4,0),0)</f>
        <v>1.91178</v>
      </c>
      <c r="I763" s="7">
        <f t="shared" si="85"/>
        <v>5995.4</v>
      </c>
      <c r="J763" s="6">
        <v>5702.4</v>
      </c>
      <c r="K763" s="33">
        <v>293</v>
      </c>
      <c r="L763" s="5">
        <f t="shared" si="83"/>
        <v>5.1381874298540971E-2</v>
      </c>
      <c r="M763" s="26">
        <f t="shared" si="84"/>
        <v>560.15153999999995</v>
      </c>
    </row>
    <row r="764" spans="1:13" x14ac:dyDescent="0.25">
      <c r="A764" s="16" t="str">
        <f t="shared" si="86"/>
        <v>April</v>
      </c>
      <c r="B764" s="31">
        <v>43942</v>
      </c>
      <c r="C764" s="32" t="s">
        <v>25</v>
      </c>
      <c r="D764" s="9" t="str">
        <f t="shared" si="82"/>
        <v>43942 - 1S</v>
      </c>
      <c r="E764" s="32" t="s">
        <v>10</v>
      </c>
      <c r="F764" s="2">
        <v>8000039</v>
      </c>
      <c r="G764" s="4" t="str">
        <f>IFERROR(VLOOKUP(F764,Lists!$C:$D,2,0), "N/A")</f>
        <v>TURTLES MILK CHOC ORIG MINI</v>
      </c>
      <c r="H764" s="26">
        <f>IFERROR(VLOOKUP(F764,Lists!$C:$F,4,0),0)</f>
        <v>2.08013</v>
      </c>
      <c r="I764" s="7">
        <f t="shared" si="85"/>
        <v>2261</v>
      </c>
      <c r="J764" s="6">
        <v>1920</v>
      </c>
      <c r="K764" s="33">
        <v>341</v>
      </c>
      <c r="L764" s="5">
        <f t="shared" si="83"/>
        <v>0.17760416666666667</v>
      </c>
      <c r="M764" s="26">
        <f t="shared" si="84"/>
        <v>709.32433000000003</v>
      </c>
    </row>
    <row r="765" spans="1:13" x14ac:dyDescent="0.25">
      <c r="A765" s="16" t="str">
        <f t="shared" si="86"/>
        <v>April</v>
      </c>
      <c r="B765" s="31">
        <v>43942</v>
      </c>
      <c r="C765" s="32" t="s">
        <v>25</v>
      </c>
      <c r="D765" s="9" t="str">
        <f t="shared" si="82"/>
        <v>43942 - 1S</v>
      </c>
      <c r="E765" s="32" t="s">
        <v>13</v>
      </c>
      <c r="F765" s="2">
        <v>8000055</v>
      </c>
      <c r="G765" s="4" t="str">
        <f>IFERROR(VLOOKUP(F765,Lists!$C:$D,2,0), "N/A")</f>
        <v>916.BF FLIPZ 25 LB BULK MILK CHOC</v>
      </c>
      <c r="H765" s="26">
        <f>IFERROR(VLOOKUP(F765,Lists!$C:$F,4,0),0)</f>
        <v>1.9508160000000001</v>
      </c>
      <c r="I765" s="7">
        <f t="shared" si="85"/>
        <v>2070</v>
      </c>
      <c r="J765" s="6">
        <f>80*25</f>
        <v>2000</v>
      </c>
      <c r="K765" s="33">
        <v>70</v>
      </c>
      <c r="L765" s="5">
        <f t="shared" si="83"/>
        <v>3.5000000000000003E-2</v>
      </c>
      <c r="M765" s="26">
        <f t="shared" si="84"/>
        <v>136.55712</v>
      </c>
    </row>
    <row r="766" spans="1:13" x14ac:dyDescent="0.25">
      <c r="A766" s="16" t="str">
        <f t="shared" si="86"/>
        <v>April</v>
      </c>
      <c r="B766" s="31">
        <v>43942</v>
      </c>
      <c r="C766" s="32" t="s">
        <v>26</v>
      </c>
      <c r="D766" s="9" t="str">
        <f t="shared" si="82"/>
        <v>43942 - 2S</v>
      </c>
      <c r="E766" s="32" t="s">
        <v>9</v>
      </c>
      <c r="F766" s="2">
        <v>8000035</v>
      </c>
      <c r="G766" s="4" t="str">
        <f>IFERROR(VLOOKUP(F766,Lists!$C:$D,2,0), "N/A")</f>
        <v>TURTLES MILK CHOC ORIGINAL</v>
      </c>
      <c r="H766" s="26">
        <f>IFERROR(VLOOKUP(F766,Lists!$C:$F,4,0),0)</f>
        <v>1.91178</v>
      </c>
      <c r="I766" s="7">
        <f t="shared" si="85"/>
        <v>7544</v>
      </c>
      <c r="J766" s="6">
        <v>7128</v>
      </c>
      <c r="K766" s="33">
        <v>416</v>
      </c>
      <c r="L766" s="5">
        <f t="shared" si="83"/>
        <v>5.8361391694725026E-2</v>
      </c>
      <c r="M766" s="26">
        <f t="shared" si="84"/>
        <v>795.30047999999999</v>
      </c>
    </row>
    <row r="767" spans="1:13" x14ac:dyDescent="0.25">
      <c r="A767" s="16" t="str">
        <f t="shared" si="86"/>
        <v>April</v>
      </c>
      <c r="B767" s="31">
        <v>43942</v>
      </c>
      <c r="C767" s="32" t="s">
        <v>26</v>
      </c>
      <c r="D767" s="9" t="str">
        <f t="shared" si="82"/>
        <v>43942 - 2S</v>
      </c>
      <c r="E767" s="32" t="s">
        <v>10</v>
      </c>
      <c r="F767" s="2">
        <v>8000039</v>
      </c>
      <c r="G767" s="4" t="str">
        <f>IFERROR(VLOOKUP(F767,Lists!$C:$D,2,0), "N/A")</f>
        <v>TURTLES MILK CHOC ORIG MINI</v>
      </c>
      <c r="H767" s="26">
        <f>IFERROR(VLOOKUP(F767,Lists!$C:$F,4,0),0)</f>
        <v>2.08013</v>
      </c>
      <c r="I767" s="7">
        <f t="shared" si="85"/>
        <v>5863</v>
      </c>
      <c r="J767" s="6">
        <v>5760</v>
      </c>
      <c r="K767" s="33">
        <v>103</v>
      </c>
      <c r="L767" s="5">
        <f t="shared" si="83"/>
        <v>1.7881944444444443E-2</v>
      </c>
      <c r="M767" s="26">
        <f t="shared" si="84"/>
        <v>214.25339</v>
      </c>
    </row>
    <row r="768" spans="1:13" x14ac:dyDescent="0.25">
      <c r="A768" s="16" t="str">
        <f t="shared" si="86"/>
        <v>April</v>
      </c>
      <c r="B768" s="31">
        <v>43942</v>
      </c>
      <c r="C768" s="32" t="s">
        <v>26</v>
      </c>
      <c r="D768" s="9" t="str">
        <f t="shared" si="82"/>
        <v>43942 - 2S</v>
      </c>
      <c r="E768" s="32" t="s">
        <v>12</v>
      </c>
      <c r="F768" s="2">
        <v>8000055</v>
      </c>
      <c r="G768" s="4" t="str">
        <f>IFERROR(VLOOKUP(F768,Lists!$C:$D,2,0), "N/A")</f>
        <v>916.BF FLIPZ 25 LB BULK MILK CHOC</v>
      </c>
      <c r="H768" s="26">
        <f>IFERROR(VLOOKUP(F768,Lists!$C:$F,4,0),0)</f>
        <v>1.9508160000000001</v>
      </c>
      <c r="I768" s="7">
        <f t="shared" si="85"/>
        <v>9026</v>
      </c>
      <c r="J768" s="6">
        <f>360*25</f>
        <v>9000</v>
      </c>
      <c r="K768" s="33">
        <v>26</v>
      </c>
      <c r="L768" s="5">
        <f t="shared" si="83"/>
        <v>2.8888888888888888E-3</v>
      </c>
      <c r="M768" s="26">
        <f t="shared" si="84"/>
        <v>50.721216000000005</v>
      </c>
    </row>
    <row r="769" spans="1:13" x14ac:dyDescent="0.25">
      <c r="A769" s="16" t="str">
        <f t="shared" si="86"/>
        <v>April</v>
      </c>
      <c r="B769" s="31">
        <v>43943</v>
      </c>
      <c r="C769" s="32" t="s">
        <v>24</v>
      </c>
      <c r="D769" s="9" t="str">
        <f t="shared" si="82"/>
        <v>43943 - 3S</v>
      </c>
      <c r="E769" s="32" t="s">
        <v>9</v>
      </c>
      <c r="F769" s="2">
        <v>8000035</v>
      </c>
      <c r="G769" s="4" t="str">
        <f>IFERROR(VLOOKUP(F769,Lists!$C:$D,2,0), "N/A")</f>
        <v>TURTLES MILK CHOC ORIGINAL</v>
      </c>
      <c r="H769" s="26">
        <f>IFERROR(VLOOKUP(F769,Lists!$C:$F,4,0),0)</f>
        <v>1.91178</v>
      </c>
      <c r="I769" s="7">
        <f t="shared" si="85"/>
        <v>8212.7999999999993</v>
      </c>
      <c r="J769" s="6">
        <v>7840.8</v>
      </c>
      <c r="K769" s="33">
        <v>372</v>
      </c>
      <c r="L769" s="5">
        <f t="shared" si="83"/>
        <v>4.7444138353229262E-2</v>
      </c>
      <c r="M769" s="26">
        <f t="shared" si="84"/>
        <v>711.18216000000007</v>
      </c>
    </row>
    <row r="770" spans="1:13" x14ac:dyDescent="0.25">
      <c r="A770" s="16" t="str">
        <f t="shared" si="86"/>
        <v>April</v>
      </c>
      <c r="B770" s="31">
        <v>43943</v>
      </c>
      <c r="C770" s="32" t="s">
        <v>24</v>
      </c>
      <c r="D770" s="9" t="str">
        <f t="shared" si="82"/>
        <v>43943 - 3S</v>
      </c>
      <c r="E770" s="32" t="s">
        <v>10</v>
      </c>
      <c r="F770" s="2">
        <v>8000039</v>
      </c>
      <c r="G770" s="4" t="str">
        <f>IFERROR(VLOOKUP(F770,Lists!$C:$D,2,0), "N/A")</f>
        <v>TURTLES MILK CHOC ORIG MINI</v>
      </c>
      <c r="H770" s="26">
        <f>IFERROR(VLOOKUP(F770,Lists!$C:$F,4,0),0)</f>
        <v>2.08013</v>
      </c>
      <c r="I770" s="7">
        <f t="shared" si="85"/>
        <v>6810</v>
      </c>
      <c r="J770" s="6">
        <v>6720</v>
      </c>
      <c r="K770" s="33">
        <v>90</v>
      </c>
      <c r="L770" s="5">
        <f t="shared" si="83"/>
        <v>1.3392857142857142E-2</v>
      </c>
      <c r="M770" s="26">
        <f t="shared" si="84"/>
        <v>187.21170000000001</v>
      </c>
    </row>
    <row r="771" spans="1:13" x14ac:dyDescent="0.25">
      <c r="A771" s="16" t="str">
        <f t="shared" si="86"/>
        <v>April</v>
      </c>
      <c r="B771" s="31">
        <v>43943</v>
      </c>
      <c r="C771" s="32" t="s">
        <v>24</v>
      </c>
      <c r="D771" s="9" t="str">
        <f t="shared" si="82"/>
        <v>43943 - 3S</v>
      </c>
      <c r="E771" s="32" t="s">
        <v>15</v>
      </c>
      <c r="G771" s="4" t="str">
        <f>IFERROR(VLOOKUP(F771,Lists!$C:$D,2,0), "N/A")</f>
        <v>N/A</v>
      </c>
      <c r="H771" s="26">
        <f>IFERROR(VLOOKUP(F771,Lists!$C:$F,4,0),0)</f>
        <v>0</v>
      </c>
      <c r="I771" s="7">
        <f t="shared" si="85"/>
        <v>80</v>
      </c>
      <c r="K771" s="33">
        <v>80</v>
      </c>
      <c r="L771" s="5">
        <f t="shared" si="83"/>
        <v>1</v>
      </c>
      <c r="M771" s="26">
        <f t="shared" si="84"/>
        <v>0</v>
      </c>
    </row>
    <row r="772" spans="1:13" x14ac:dyDescent="0.25">
      <c r="A772" s="16" t="str">
        <f t="shared" si="86"/>
        <v>April</v>
      </c>
      <c r="B772" s="31">
        <v>43943</v>
      </c>
      <c r="C772" s="32" t="s">
        <v>25</v>
      </c>
      <c r="D772" s="9" t="str">
        <f t="shared" si="82"/>
        <v>43943 - 1S</v>
      </c>
      <c r="E772" s="32" t="s">
        <v>9</v>
      </c>
      <c r="F772" s="2">
        <v>8000035</v>
      </c>
      <c r="G772" s="4" t="str">
        <f>IFERROR(VLOOKUP(F772,Lists!$C:$D,2,0), "N/A")</f>
        <v>TURTLES MILK CHOC ORIGINAL</v>
      </c>
      <c r="H772" s="26">
        <f>IFERROR(VLOOKUP(F772,Lists!$C:$F,4,0),0)</f>
        <v>1.91178</v>
      </c>
      <c r="I772" s="7">
        <f t="shared" si="85"/>
        <v>9070.6</v>
      </c>
      <c r="J772" s="6">
        <v>8553.6</v>
      </c>
      <c r="K772" s="33">
        <v>517</v>
      </c>
      <c r="L772" s="5">
        <f t="shared" si="83"/>
        <v>6.0442386831275716E-2</v>
      </c>
      <c r="M772" s="26">
        <f t="shared" si="84"/>
        <v>988.39026000000001</v>
      </c>
    </row>
    <row r="773" spans="1:13" x14ac:dyDescent="0.25">
      <c r="A773" s="16" t="str">
        <f t="shared" si="86"/>
        <v>April</v>
      </c>
      <c r="B773" s="31">
        <v>43943</v>
      </c>
      <c r="C773" s="32" t="s">
        <v>25</v>
      </c>
      <c r="D773" s="9" t="str">
        <f t="shared" si="82"/>
        <v>43943 - 1S</v>
      </c>
      <c r="E773" s="32" t="s">
        <v>10</v>
      </c>
      <c r="F773" s="2">
        <v>8000039</v>
      </c>
      <c r="G773" s="4" t="str">
        <f>IFERROR(VLOOKUP(F773,Lists!$C:$D,2,0), "N/A")</f>
        <v>TURTLES MILK CHOC ORIG MINI</v>
      </c>
      <c r="H773" s="26">
        <f>IFERROR(VLOOKUP(F773,Lists!$C:$F,4,0),0)</f>
        <v>2.08013</v>
      </c>
      <c r="I773" s="7">
        <f t="shared" si="85"/>
        <v>6905</v>
      </c>
      <c r="J773" s="6">
        <v>6720</v>
      </c>
      <c r="K773" s="33">
        <v>185</v>
      </c>
      <c r="L773" s="5">
        <f t="shared" si="83"/>
        <v>2.7529761904761904E-2</v>
      </c>
      <c r="M773" s="26">
        <f t="shared" si="84"/>
        <v>384.82405</v>
      </c>
    </row>
    <row r="774" spans="1:13" x14ac:dyDescent="0.25">
      <c r="A774" s="16" t="str">
        <f t="shared" si="86"/>
        <v>April</v>
      </c>
      <c r="B774" s="31">
        <v>43943</v>
      </c>
      <c r="C774" s="32" t="s">
        <v>25</v>
      </c>
      <c r="D774" s="9" t="str">
        <f t="shared" si="82"/>
        <v>43943 - 1S</v>
      </c>
      <c r="E774" s="32" t="s">
        <v>12</v>
      </c>
      <c r="F774" s="2">
        <v>8000055</v>
      </c>
      <c r="G774" s="4" t="str">
        <f>IFERROR(VLOOKUP(F774,Lists!$C:$D,2,0), "N/A")</f>
        <v>916.BF FLIPZ 25 LB BULK MILK CHOC</v>
      </c>
      <c r="H774" s="26">
        <f>IFERROR(VLOOKUP(F774,Lists!$C:$F,4,0),0)</f>
        <v>1.9508160000000001</v>
      </c>
      <c r="I774" s="7">
        <f t="shared" si="85"/>
        <v>10009</v>
      </c>
      <c r="J774" s="6">
        <f>400*25</f>
        <v>10000</v>
      </c>
      <c r="K774" s="33">
        <v>9</v>
      </c>
      <c r="L774" s="5">
        <f t="shared" si="83"/>
        <v>8.9999999999999998E-4</v>
      </c>
      <c r="M774" s="26">
        <f t="shared" si="84"/>
        <v>17.557344000000001</v>
      </c>
    </row>
    <row r="775" spans="1:13" x14ac:dyDescent="0.25">
      <c r="A775" s="16" t="str">
        <f t="shared" si="86"/>
        <v>April</v>
      </c>
      <c r="B775" s="31">
        <v>43943</v>
      </c>
      <c r="C775" s="32" t="s">
        <v>25</v>
      </c>
      <c r="D775" s="9" t="str">
        <f t="shared" ref="D775:D840" si="87">CONCATENATE(B775," - ",C775)</f>
        <v>43943 - 1S</v>
      </c>
      <c r="E775" s="32" t="s">
        <v>13</v>
      </c>
      <c r="F775" s="2">
        <v>8000055</v>
      </c>
      <c r="G775" s="4" t="str">
        <f>IFERROR(VLOOKUP(F775,Lists!$C:$D,2,0), "N/A")</f>
        <v>916.BF FLIPZ 25 LB BULK MILK CHOC</v>
      </c>
      <c r="H775" s="26">
        <f>IFERROR(VLOOKUP(F775,Lists!$C:$F,4,0),0)</f>
        <v>1.9508160000000001</v>
      </c>
      <c r="I775" s="7">
        <f t="shared" si="85"/>
        <v>3089</v>
      </c>
      <c r="J775" s="6">
        <f>120*25</f>
        <v>3000</v>
      </c>
      <c r="K775" s="33">
        <v>89</v>
      </c>
      <c r="L775" s="5">
        <f t="shared" ref="L775:L840" si="88">IFERROR((K775/J775),1)</f>
        <v>2.9666666666666668E-2</v>
      </c>
      <c r="M775" s="26">
        <f t="shared" ref="M775:M840" si="89">K775*H775</f>
        <v>173.622624</v>
      </c>
    </row>
    <row r="776" spans="1:13" x14ac:dyDescent="0.25">
      <c r="A776" s="16" t="str">
        <f t="shared" si="86"/>
        <v>April</v>
      </c>
      <c r="B776" s="31">
        <v>43943</v>
      </c>
      <c r="C776" s="32" t="s">
        <v>26</v>
      </c>
      <c r="D776" s="9" t="str">
        <f t="shared" si="87"/>
        <v>43943 - 2S</v>
      </c>
      <c r="E776" s="32" t="s">
        <v>9</v>
      </c>
      <c r="F776" s="2">
        <v>8000035</v>
      </c>
      <c r="G776" s="4" t="str">
        <f>IFERROR(VLOOKUP(F776,Lists!$C:$D,2,0), "N/A")</f>
        <v>TURTLES MILK CHOC ORIGINAL</v>
      </c>
      <c r="H776" s="26">
        <f>IFERROR(VLOOKUP(F776,Lists!$C:$F,4,0),0)</f>
        <v>1.91178</v>
      </c>
      <c r="I776" s="7">
        <f t="shared" si="85"/>
        <v>6159.4</v>
      </c>
      <c r="J776" s="6">
        <v>5702.4</v>
      </c>
      <c r="K776" s="33">
        <v>457</v>
      </c>
      <c r="L776" s="5">
        <f t="shared" si="88"/>
        <v>8.0141694725028065E-2</v>
      </c>
      <c r="M776" s="26">
        <f t="shared" si="89"/>
        <v>873.68345999999997</v>
      </c>
    </row>
    <row r="777" spans="1:13" x14ac:dyDescent="0.25">
      <c r="A777" s="16" t="str">
        <f t="shared" si="86"/>
        <v>April</v>
      </c>
      <c r="B777" s="31">
        <v>43943</v>
      </c>
      <c r="C777" s="32" t="s">
        <v>26</v>
      </c>
      <c r="D777" s="9" t="str">
        <f t="shared" si="87"/>
        <v>43943 - 2S</v>
      </c>
      <c r="E777" s="32" t="s">
        <v>10</v>
      </c>
      <c r="F777" s="2">
        <v>8000039</v>
      </c>
      <c r="G777" s="4" t="str">
        <f>IFERROR(VLOOKUP(F777,Lists!$C:$D,2,0), "N/A")</f>
        <v>TURTLES MILK CHOC ORIG MINI</v>
      </c>
      <c r="H777" s="26">
        <f>IFERROR(VLOOKUP(F777,Lists!$C:$F,4,0),0)</f>
        <v>2.08013</v>
      </c>
      <c r="I777" s="7">
        <f t="shared" si="85"/>
        <v>6907</v>
      </c>
      <c r="J777" s="6">
        <v>6720</v>
      </c>
      <c r="K777" s="33">
        <v>187</v>
      </c>
      <c r="L777" s="5">
        <f t="shared" si="88"/>
        <v>2.7827380952380951E-2</v>
      </c>
      <c r="M777" s="26">
        <f t="shared" si="89"/>
        <v>388.98430999999999</v>
      </c>
    </row>
    <row r="778" spans="1:13" x14ac:dyDescent="0.25">
      <c r="A778" s="16" t="str">
        <f t="shared" si="86"/>
        <v>April</v>
      </c>
      <c r="B778" s="31">
        <v>43943</v>
      </c>
      <c r="C778" s="32" t="s">
        <v>26</v>
      </c>
      <c r="D778" s="9" t="str">
        <f t="shared" si="87"/>
        <v>43943 - 2S</v>
      </c>
      <c r="E778" s="32" t="s">
        <v>15</v>
      </c>
      <c r="G778" s="4" t="str">
        <f>IFERROR(VLOOKUP(F778,Lists!$C:$D,2,0), "N/A")</f>
        <v>N/A</v>
      </c>
      <c r="H778" s="26">
        <f>IFERROR(VLOOKUP(F778,Lists!$C:$F,4,0),0)</f>
        <v>0</v>
      </c>
      <c r="I778" s="7">
        <f t="shared" si="85"/>
        <v>10</v>
      </c>
      <c r="K778" s="33">
        <v>10</v>
      </c>
      <c r="L778" s="5">
        <f t="shared" si="88"/>
        <v>1</v>
      </c>
      <c r="M778" s="26">
        <f t="shared" si="89"/>
        <v>0</v>
      </c>
    </row>
    <row r="779" spans="1:13" x14ac:dyDescent="0.25">
      <c r="A779" s="16" t="str">
        <f t="shared" si="86"/>
        <v>April</v>
      </c>
      <c r="B779" s="31">
        <v>43944</v>
      </c>
      <c r="C779" s="32" t="s">
        <v>24</v>
      </c>
      <c r="D779" s="9" t="str">
        <f t="shared" si="87"/>
        <v>43944 - 3S</v>
      </c>
      <c r="E779" s="32" t="s">
        <v>9</v>
      </c>
      <c r="F779" s="2">
        <v>8000035</v>
      </c>
      <c r="G779" s="4" t="str">
        <f>IFERROR(VLOOKUP(F779,Lists!$C:$D,2,0), "N/A")</f>
        <v>TURTLES MILK CHOC ORIGINAL</v>
      </c>
      <c r="H779" s="26">
        <f>IFERROR(VLOOKUP(F779,Lists!$C:$F,4,0),0)</f>
        <v>1.91178</v>
      </c>
      <c r="I779" s="7">
        <f t="shared" si="85"/>
        <v>8094.8</v>
      </c>
      <c r="J779" s="6">
        <v>7840.8</v>
      </c>
      <c r="K779" s="33">
        <v>254</v>
      </c>
      <c r="L779" s="5">
        <f t="shared" si="88"/>
        <v>3.239465360677482E-2</v>
      </c>
      <c r="M779" s="26">
        <f t="shared" si="89"/>
        <v>485.59212000000002</v>
      </c>
    </row>
    <row r="780" spans="1:13" x14ac:dyDescent="0.25">
      <c r="A780" s="16" t="str">
        <f t="shared" si="86"/>
        <v>April</v>
      </c>
      <c r="B780" s="31">
        <v>43944</v>
      </c>
      <c r="C780" s="32" t="s">
        <v>24</v>
      </c>
      <c r="D780" s="9" t="str">
        <f t="shared" si="87"/>
        <v>43944 - 3S</v>
      </c>
      <c r="E780" s="32" t="s">
        <v>10</v>
      </c>
      <c r="F780" s="2">
        <v>8000039</v>
      </c>
      <c r="G780" s="4" t="str">
        <f>IFERROR(VLOOKUP(F780,Lists!$C:$D,2,0), "N/A")</f>
        <v>TURTLES MILK CHOC ORIG MINI</v>
      </c>
      <c r="H780" s="26">
        <f>IFERROR(VLOOKUP(F780,Lists!$C:$F,4,0),0)</f>
        <v>2.08013</v>
      </c>
      <c r="I780" s="7">
        <f t="shared" si="85"/>
        <v>3910</v>
      </c>
      <c r="J780" s="6">
        <v>3840</v>
      </c>
      <c r="K780" s="33">
        <v>70</v>
      </c>
      <c r="L780" s="5">
        <f t="shared" si="88"/>
        <v>1.8229166666666668E-2</v>
      </c>
      <c r="M780" s="26">
        <f t="shared" si="89"/>
        <v>145.60910000000001</v>
      </c>
    </row>
    <row r="781" spans="1:13" x14ac:dyDescent="0.25">
      <c r="A781" s="16" t="str">
        <f t="shared" si="86"/>
        <v>April</v>
      </c>
      <c r="B781" s="31">
        <v>43944</v>
      </c>
      <c r="C781" s="32" t="s">
        <v>25</v>
      </c>
      <c r="D781" s="9" t="str">
        <f t="shared" si="87"/>
        <v>43944 - 1S</v>
      </c>
      <c r="E781" s="32" t="s">
        <v>9</v>
      </c>
      <c r="F781" s="2">
        <v>8000035</v>
      </c>
      <c r="G781" s="4" t="str">
        <f>IFERROR(VLOOKUP(F781,Lists!$C:$D,2,0), "N/A")</f>
        <v>TURTLES MILK CHOC ORIGINAL</v>
      </c>
      <c r="H781" s="26">
        <f>IFERROR(VLOOKUP(F781,Lists!$C:$F,4,0),0)</f>
        <v>1.91178</v>
      </c>
      <c r="I781" s="7">
        <f t="shared" si="85"/>
        <v>2422.4</v>
      </c>
      <c r="J781" s="6">
        <v>2138.4</v>
      </c>
      <c r="K781" s="33">
        <v>284</v>
      </c>
      <c r="L781" s="5">
        <f t="shared" si="88"/>
        <v>0.1328095772540217</v>
      </c>
      <c r="M781" s="26">
        <f t="shared" si="89"/>
        <v>542.94551999999999</v>
      </c>
    </row>
    <row r="782" spans="1:13" x14ac:dyDescent="0.25">
      <c r="A782" s="16" t="str">
        <f t="shared" si="86"/>
        <v>April</v>
      </c>
      <c r="B782" s="31">
        <v>43944</v>
      </c>
      <c r="C782" s="32" t="s">
        <v>25</v>
      </c>
      <c r="D782" s="9" t="str">
        <f t="shared" si="87"/>
        <v>43944 - 1S</v>
      </c>
      <c r="E782" s="32" t="s">
        <v>10</v>
      </c>
      <c r="F782" s="2" t="s">
        <v>410</v>
      </c>
      <c r="G782" s="4" t="str">
        <f>IFERROR(VLOOKUP(F782,Lists!$C:$D,2,0), "N/A")</f>
        <v>R&amp;D Trial</v>
      </c>
      <c r="H782" s="26">
        <f>IFERROR(VLOOKUP(F782,Lists!$C:$F,4,0),0)</f>
        <v>0</v>
      </c>
      <c r="I782" s="7">
        <f t="shared" si="85"/>
        <v>449</v>
      </c>
      <c r="J782" s="6">
        <v>0</v>
      </c>
      <c r="K782" s="33">
        <v>449</v>
      </c>
      <c r="L782" s="5">
        <f t="shared" si="88"/>
        <v>1</v>
      </c>
      <c r="M782" s="26">
        <f t="shared" si="89"/>
        <v>0</v>
      </c>
    </row>
    <row r="783" spans="1:13" x14ac:dyDescent="0.25">
      <c r="A783" s="16" t="str">
        <f t="shared" si="86"/>
        <v>April</v>
      </c>
      <c r="B783" s="31">
        <v>43945</v>
      </c>
      <c r="C783" s="32" t="s">
        <v>24</v>
      </c>
      <c r="D783" s="9" t="str">
        <f t="shared" si="87"/>
        <v>43945 - 3S</v>
      </c>
      <c r="E783" s="32" t="s">
        <v>9</v>
      </c>
      <c r="F783" s="2">
        <v>8000035</v>
      </c>
      <c r="G783" s="4" t="str">
        <f>IFERROR(VLOOKUP(F783,Lists!$C:$D,2,0), "N/A")</f>
        <v>TURTLES MILK CHOC ORIGINAL</v>
      </c>
      <c r="H783" s="26">
        <f>IFERROR(VLOOKUP(F783,Lists!$C:$F,4,0),0)</f>
        <v>1.91178</v>
      </c>
      <c r="I783" s="7">
        <f t="shared" si="85"/>
        <v>66</v>
      </c>
      <c r="J783" s="6">
        <v>0</v>
      </c>
      <c r="K783" s="33">
        <v>66</v>
      </c>
      <c r="L783" s="5">
        <f t="shared" si="88"/>
        <v>1</v>
      </c>
      <c r="M783" s="26">
        <f t="shared" si="89"/>
        <v>126.17748</v>
      </c>
    </row>
    <row r="784" spans="1:13" x14ac:dyDescent="0.25">
      <c r="A784" s="16" t="str">
        <f t="shared" si="86"/>
        <v>April</v>
      </c>
      <c r="B784" s="31">
        <v>43945</v>
      </c>
      <c r="C784" s="32" t="s">
        <v>25</v>
      </c>
      <c r="D784" s="9" t="str">
        <f t="shared" si="87"/>
        <v>43945 - 1S</v>
      </c>
      <c r="E784" s="32" t="s">
        <v>12</v>
      </c>
      <c r="F784" s="2">
        <v>8000055</v>
      </c>
      <c r="G784" s="4" t="str">
        <f>IFERROR(VLOOKUP(F784,Lists!$C:$D,2,0), "N/A")</f>
        <v>916.BF FLIPZ 25 LB BULK MILK CHOC</v>
      </c>
      <c r="H784" s="26">
        <f>IFERROR(VLOOKUP(F784,Lists!$C:$F,4,0),0)</f>
        <v>1.9508160000000001</v>
      </c>
      <c r="I784" s="7">
        <f t="shared" si="85"/>
        <v>8007</v>
      </c>
      <c r="J784" s="6">
        <f>320*25</f>
        <v>8000</v>
      </c>
      <c r="K784" s="33">
        <v>7</v>
      </c>
      <c r="L784" s="5">
        <f t="shared" si="88"/>
        <v>8.7500000000000002E-4</v>
      </c>
      <c r="M784" s="26">
        <f t="shared" si="89"/>
        <v>13.655712000000001</v>
      </c>
    </row>
    <row r="785" spans="1:13" x14ac:dyDescent="0.25">
      <c r="A785" s="16" t="str">
        <f t="shared" si="86"/>
        <v>April</v>
      </c>
      <c r="B785" s="31">
        <v>43945</v>
      </c>
      <c r="C785" s="32" t="s">
        <v>26</v>
      </c>
      <c r="D785" s="9" t="str">
        <f t="shared" si="87"/>
        <v>43945 - 2S</v>
      </c>
      <c r="E785" s="32" t="s">
        <v>12</v>
      </c>
      <c r="F785" s="2">
        <v>8000055</v>
      </c>
      <c r="G785" s="4" t="str">
        <f>IFERROR(VLOOKUP(F785,Lists!$C:$D,2,0), "N/A")</f>
        <v>916.BF FLIPZ 25 LB BULK MILK CHOC</v>
      </c>
      <c r="H785" s="26">
        <f>IFERROR(VLOOKUP(F785,Lists!$C:$F,4,0),0)</f>
        <v>1.9508160000000001</v>
      </c>
      <c r="I785" s="7">
        <f t="shared" si="85"/>
        <v>10005</v>
      </c>
      <c r="J785" s="6">
        <f>400*25</f>
        <v>10000</v>
      </c>
      <c r="K785" s="33">
        <v>5</v>
      </c>
      <c r="L785" s="5">
        <f t="shared" si="88"/>
        <v>5.0000000000000001E-4</v>
      </c>
      <c r="M785" s="26">
        <f t="shared" si="89"/>
        <v>9.7540800000000001</v>
      </c>
    </row>
    <row r="786" spans="1:13" x14ac:dyDescent="0.25">
      <c r="A786" s="16" t="str">
        <f t="shared" si="86"/>
        <v>April</v>
      </c>
      <c r="B786" s="31">
        <v>43946</v>
      </c>
      <c r="C786" s="32" t="s">
        <v>25</v>
      </c>
      <c r="D786" s="9" t="str">
        <f t="shared" si="87"/>
        <v>43946 - 1S</v>
      </c>
      <c r="E786" s="32" t="s">
        <v>12</v>
      </c>
      <c r="F786" s="2">
        <v>8000055</v>
      </c>
      <c r="G786" s="4" t="str">
        <f>IFERROR(VLOOKUP(F786,Lists!$C:$D,2,0), "N/A")</f>
        <v>916.BF FLIPZ 25 LB BULK MILK CHOC</v>
      </c>
      <c r="H786" s="26">
        <f>IFERROR(VLOOKUP(F786,Lists!$C:$F,4,0),0)</f>
        <v>1.9508160000000001</v>
      </c>
      <c r="I786" s="7">
        <f t="shared" si="85"/>
        <v>4014</v>
      </c>
      <c r="J786" s="6">
        <f>160*25</f>
        <v>4000</v>
      </c>
      <c r="K786" s="33">
        <v>14</v>
      </c>
      <c r="L786" s="5">
        <f t="shared" si="88"/>
        <v>3.5000000000000001E-3</v>
      </c>
      <c r="M786" s="26">
        <f t="shared" si="89"/>
        <v>27.311424000000002</v>
      </c>
    </row>
    <row r="787" spans="1:13" x14ac:dyDescent="0.25">
      <c r="A787" s="16" t="str">
        <f t="shared" si="86"/>
        <v>April</v>
      </c>
      <c r="B787" s="31">
        <v>43946</v>
      </c>
      <c r="C787" s="32" t="s">
        <v>26</v>
      </c>
      <c r="D787" s="9" t="str">
        <f t="shared" si="87"/>
        <v>43946 - 2S</v>
      </c>
      <c r="E787" s="32" t="s">
        <v>12</v>
      </c>
      <c r="F787" s="2">
        <v>8000055</v>
      </c>
      <c r="G787" s="4" t="str">
        <f>IFERROR(VLOOKUP(F787,Lists!$C:$D,2,0), "N/A")</f>
        <v>916.BF FLIPZ 25 LB BULK MILK CHOC</v>
      </c>
      <c r="H787" s="26">
        <f>IFERROR(VLOOKUP(F787,Lists!$C:$F,4,0),0)</f>
        <v>1.9508160000000001</v>
      </c>
      <c r="I787" s="7">
        <f t="shared" si="85"/>
        <v>8056</v>
      </c>
      <c r="J787" s="6">
        <f>320*25</f>
        <v>8000</v>
      </c>
      <c r="K787" s="33">
        <v>56</v>
      </c>
      <c r="L787" s="5">
        <f t="shared" si="88"/>
        <v>7.0000000000000001E-3</v>
      </c>
      <c r="M787" s="26">
        <f t="shared" si="89"/>
        <v>109.24569600000001</v>
      </c>
    </row>
    <row r="788" spans="1:13" x14ac:dyDescent="0.25">
      <c r="A788" s="16" t="str">
        <f t="shared" si="86"/>
        <v>April</v>
      </c>
      <c r="B788" s="31">
        <v>43946</v>
      </c>
      <c r="C788" s="32" t="s">
        <v>24</v>
      </c>
      <c r="D788" s="9" t="str">
        <f t="shared" si="87"/>
        <v>43946 - 3S</v>
      </c>
      <c r="E788" s="32" t="s">
        <v>15</v>
      </c>
      <c r="G788" s="4" t="str">
        <f>IFERROR(VLOOKUP(F788,Lists!$C:$D,2,0), "N/A")</f>
        <v>N/A</v>
      </c>
      <c r="H788" s="26">
        <f>IFERROR(VLOOKUP(F788,Lists!$C:$F,4,0),0)</f>
        <v>0</v>
      </c>
      <c r="I788" s="7">
        <f t="shared" si="85"/>
        <v>60</v>
      </c>
      <c r="K788" s="33">
        <v>60</v>
      </c>
      <c r="L788" s="5">
        <f t="shared" si="88"/>
        <v>1</v>
      </c>
      <c r="M788" s="26">
        <f t="shared" si="89"/>
        <v>0</v>
      </c>
    </row>
    <row r="789" spans="1:13" x14ac:dyDescent="0.25">
      <c r="A789" s="16" t="str">
        <f t="shared" si="86"/>
        <v>April</v>
      </c>
      <c r="B789" s="31">
        <v>43948</v>
      </c>
      <c r="C789" s="32" t="s">
        <v>24</v>
      </c>
      <c r="D789" s="9" t="str">
        <f t="shared" si="87"/>
        <v>43948 - 3S</v>
      </c>
      <c r="E789" s="32" t="s">
        <v>9</v>
      </c>
      <c r="F789" s="2" t="s">
        <v>410</v>
      </c>
      <c r="G789" s="4" t="str">
        <f>IFERROR(VLOOKUP(F789,Lists!$C:$D,2,0), "N/A")</f>
        <v>R&amp;D Trial</v>
      </c>
      <c r="H789" s="26">
        <f>IFERROR(VLOOKUP(F789,Lists!$C:$F,4,0),0)</f>
        <v>0</v>
      </c>
      <c r="I789" s="7">
        <f t="shared" si="85"/>
        <v>112</v>
      </c>
      <c r="J789" s="6">
        <v>0</v>
      </c>
      <c r="K789" s="33">
        <v>112</v>
      </c>
      <c r="L789" s="5">
        <f t="shared" si="88"/>
        <v>1</v>
      </c>
      <c r="M789" s="26">
        <f t="shared" si="89"/>
        <v>0</v>
      </c>
    </row>
    <row r="790" spans="1:13" x14ac:dyDescent="0.25">
      <c r="A790" s="16" t="str">
        <f t="shared" si="86"/>
        <v>April</v>
      </c>
      <c r="B790" s="31">
        <v>43948</v>
      </c>
      <c r="C790" s="32" t="s">
        <v>24</v>
      </c>
      <c r="D790" s="9" t="str">
        <f t="shared" si="87"/>
        <v>43948 - 3S</v>
      </c>
      <c r="E790" s="32" t="s">
        <v>10</v>
      </c>
      <c r="F790" s="2" t="s">
        <v>410</v>
      </c>
      <c r="G790" s="4" t="str">
        <f>IFERROR(VLOOKUP(F790,Lists!$C:$D,2,0), "N/A")</f>
        <v>R&amp;D Trial</v>
      </c>
      <c r="H790" s="26">
        <f>IFERROR(VLOOKUP(F790,Lists!$C:$F,4,0),0)</f>
        <v>0</v>
      </c>
      <c r="I790" s="7">
        <f t="shared" si="85"/>
        <v>112</v>
      </c>
      <c r="J790" s="6">
        <v>0</v>
      </c>
      <c r="K790" s="33">
        <v>112</v>
      </c>
      <c r="L790" s="5">
        <f t="shared" si="88"/>
        <v>1</v>
      </c>
      <c r="M790" s="26">
        <f t="shared" si="89"/>
        <v>0</v>
      </c>
    </row>
    <row r="791" spans="1:13" x14ac:dyDescent="0.25">
      <c r="A791" s="16" t="str">
        <f t="shared" si="86"/>
        <v>April</v>
      </c>
      <c r="B791" s="31">
        <v>43947</v>
      </c>
      <c r="C791" s="32" t="s">
        <v>25</v>
      </c>
      <c r="D791" s="9" t="str">
        <f t="shared" si="87"/>
        <v>43947 - 1S</v>
      </c>
      <c r="E791" s="32" t="s">
        <v>12</v>
      </c>
      <c r="F791" s="2">
        <v>8000055</v>
      </c>
      <c r="G791" s="4" t="str">
        <f>IFERROR(VLOOKUP(F791,Lists!$C:$D,2,0), "N/A")</f>
        <v>916.BF FLIPZ 25 LB BULK MILK CHOC</v>
      </c>
      <c r="H791" s="26">
        <f>IFERROR(VLOOKUP(F791,Lists!$C:$F,4,0),0)</f>
        <v>1.9508160000000001</v>
      </c>
      <c r="I791" s="7">
        <f t="shared" si="85"/>
        <v>16065</v>
      </c>
      <c r="J791" s="6">
        <f>640*25</f>
        <v>16000</v>
      </c>
      <c r="K791" s="33">
        <v>65</v>
      </c>
      <c r="L791" s="5">
        <f t="shared" si="88"/>
        <v>4.0625000000000001E-3</v>
      </c>
      <c r="M791" s="26">
        <f t="shared" si="89"/>
        <v>126.80304000000001</v>
      </c>
    </row>
    <row r="792" spans="1:13" x14ac:dyDescent="0.25">
      <c r="A792" s="16" t="str">
        <f t="shared" si="86"/>
        <v>April</v>
      </c>
      <c r="B792" s="31">
        <v>43947</v>
      </c>
      <c r="C792" s="32" t="s">
        <v>24</v>
      </c>
      <c r="D792" s="9" t="str">
        <f t="shared" si="87"/>
        <v>43947 - 3S</v>
      </c>
      <c r="E792" s="32" t="s">
        <v>15</v>
      </c>
      <c r="G792" s="4" t="str">
        <f>IFERROR(VLOOKUP(F792,Lists!$C:$D,2,0), "N/A")</f>
        <v>N/A</v>
      </c>
      <c r="H792" s="26">
        <f>IFERROR(VLOOKUP(F792,Lists!$C:$F,4,0),0)</f>
        <v>0</v>
      </c>
      <c r="I792" s="7">
        <f t="shared" si="85"/>
        <v>20</v>
      </c>
      <c r="K792" s="33">
        <v>20</v>
      </c>
      <c r="L792" s="5">
        <f t="shared" si="88"/>
        <v>1</v>
      </c>
      <c r="M792" s="26">
        <f t="shared" si="89"/>
        <v>0</v>
      </c>
    </row>
    <row r="793" spans="1:13" x14ac:dyDescent="0.25">
      <c r="A793" s="16" t="str">
        <f t="shared" si="86"/>
        <v>April</v>
      </c>
      <c r="B793" s="31">
        <v>43948</v>
      </c>
      <c r="C793" s="32" t="s">
        <v>25</v>
      </c>
      <c r="D793" s="9" t="str">
        <f t="shared" si="87"/>
        <v>43948 - 1S</v>
      </c>
      <c r="E793" s="32" t="s">
        <v>9</v>
      </c>
      <c r="F793" s="2">
        <v>8000402</v>
      </c>
      <c r="G793" s="4" t="str">
        <f>IFERROR(VLOOKUP(F793,Lists!$C:$D,2,0), "N/A")</f>
        <v>WIP.DALM.BITE</v>
      </c>
      <c r="H793" s="26">
        <f>IFERROR(VLOOKUP(F793,Lists!$C:$F,4,0),0)</f>
        <v>0</v>
      </c>
      <c r="I793" s="7">
        <f t="shared" si="85"/>
        <v>1297</v>
      </c>
      <c r="J793" s="6">
        <v>720</v>
      </c>
      <c r="K793" s="33">
        <v>577</v>
      </c>
      <c r="L793" s="5">
        <f t="shared" si="88"/>
        <v>0.80138888888888893</v>
      </c>
      <c r="M793" s="26">
        <f t="shared" si="89"/>
        <v>0</v>
      </c>
    </row>
    <row r="794" spans="1:13" x14ac:dyDescent="0.25">
      <c r="A794" s="16" t="str">
        <f t="shared" si="86"/>
        <v>April</v>
      </c>
      <c r="B794" s="31">
        <v>43948</v>
      </c>
      <c r="C794" s="32" t="s">
        <v>25</v>
      </c>
      <c r="D794" s="9" t="str">
        <f t="shared" si="87"/>
        <v>43948 - 1S</v>
      </c>
      <c r="E794" s="32" t="s">
        <v>10</v>
      </c>
      <c r="F794" s="2" t="s">
        <v>410</v>
      </c>
      <c r="G794" s="4" t="str">
        <f>IFERROR(VLOOKUP(F794,Lists!$C:$D,2,0), "N/A")</f>
        <v>R&amp;D Trial</v>
      </c>
      <c r="H794" s="26">
        <f>IFERROR(VLOOKUP(F794,Lists!$C:$F,4,0),0)</f>
        <v>0</v>
      </c>
      <c r="I794" s="7">
        <f t="shared" si="85"/>
        <v>205</v>
      </c>
      <c r="J794" s="6">
        <v>0</v>
      </c>
      <c r="K794" s="33">
        <v>205</v>
      </c>
      <c r="L794" s="5">
        <f t="shared" si="88"/>
        <v>1</v>
      </c>
      <c r="M794" s="26">
        <f t="shared" si="89"/>
        <v>0</v>
      </c>
    </row>
    <row r="795" spans="1:13" x14ac:dyDescent="0.25">
      <c r="A795" s="16" t="str">
        <f t="shared" si="86"/>
        <v>April</v>
      </c>
      <c r="B795" s="31">
        <v>43948</v>
      </c>
      <c r="C795" s="32" t="s">
        <v>25</v>
      </c>
      <c r="D795" s="9" t="str">
        <f t="shared" si="87"/>
        <v>43948 - 1S</v>
      </c>
      <c r="E795" s="32" t="s">
        <v>12</v>
      </c>
      <c r="F795" s="2">
        <v>8000055</v>
      </c>
      <c r="G795" s="4" t="str">
        <f>IFERROR(VLOOKUP(F795,Lists!$C:$D,2,0), "N/A")</f>
        <v>916.BF FLIPZ 25 LB BULK MILK CHOC</v>
      </c>
      <c r="H795" s="26">
        <f>IFERROR(VLOOKUP(F795,Lists!$C:$F,4,0),0)</f>
        <v>1.9508160000000001</v>
      </c>
      <c r="I795" s="7">
        <f t="shared" si="85"/>
        <v>8007</v>
      </c>
      <c r="J795" s="6">
        <f>320*25</f>
        <v>8000</v>
      </c>
      <c r="K795" s="33">
        <v>7</v>
      </c>
      <c r="L795" s="5">
        <f t="shared" si="88"/>
        <v>8.7500000000000002E-4</v>
      </c>
      <c r="M795" s="26">
        <f t="shared" si="89"/>
        <v>13.655712000000001</v>
      </c>
    </row>
    <row r="796" spans="1:13" x14ac:dyDescent="0.25">
      <c r="A796" s="16" t="str">
        <f t="shared" si="86"/>
        <v>April</v>
      </c>
      <c r="B796" s="31">
        <v>43948</v>
      </c>
      <c r="C796" s="32" t="s">
        <v>26</v>
      </c>
      <c r="D796" s="9" t="str">
        <f t="shared" si="87"/>
        <v>43948 - 2S</v>
      </c>
      <c r="E796" s="32" t="s">
        <v>9</v>
      </c>
      <c r="F796" s="2">
        <v>8000402</v>
      </c>
      <c r="G796" s="4" t="str">
        <f>IFERROR(VLOOKUP(F796,Lists!$C:$D,2,0), "N/A")</f>
        <v>WIP.DALM.BITE</v>
      </c>
      <c r="H796" s="26">
        <f>IFERROR(VLOOKUP(F796,Lists!$C:$F,4,0),0)</f>
        <v>0</v>
      </c>
      <c r="I796" s="7">
        <f t="shared" si="85"/>
        <v>4629</v>
      </c>
      <c r="J796" s="6">
        <v>4320</v>
      </c>
      <c r="K796" s="33">
        <v>309</v>
      </c>
      <c r="L796" s="5">
        <f t="shared" si="88"/>
        <v>7.1527777777777773E-2</v>
      </c>
      <c r="M796" s="26">
        <f t="shared" si="89"/>
        <v>0</v>
      </c>
    </row>
    <row r="797" spans="1:13" x14ac:dyDescent="0.25">
      <c r="A797" s="16" t="str">
        <f t="shared" si="86"/>
        <v>April</v>
      </c>
      <c r="B797" s="31">
        <v>43948</v>
      </c>
      <c r="C797" s="32" t="s">
        <v>26</v>
      </c>
      <c r="D797" s="9" t="str">
        <f t="shared" si="87"/>
        <v>43948 - 2S</v>
      </c>
      <c r="E797" s="32" t="s">
        <v>10</v>
      </c>
      <c r="F797" s="2" t="s">
        <v>410</v>
      </c>
      <c r="G797" s="4" t="str">
        <f>IFERROR(VLOOKUP(F797,Lists!$C:$D,2,0), "N/A")</f>
        <v>R&amp;D Trial</v>
      </c>
      <c r="H797" s="26">
        <f>IFERROR(VLOOKUP(F797,Lists!$C:$F,4,0),0)</f>
        <v>0</v>
      </c>
      <c r="I797" s="7">
        <f t="shared" si="85"/>
        <v>32</v>
      </c>
      <c r="J797" s="6">
        <v>0</v>
      </c>
      <c r="K797" s="33">
        <v>32</v>
      </c>
      <c r="L797" s="5">
        <f t="shared" si="88"/>
        <v>1</v>
      </c>
      <c r="M797" s="26">
        <f t="shared" si="89"/>
        <v>0</v>
      </c>
    </row>
    <row r="798" spans="1:13" x14ac:dyDescent="0.25">
      <c r="A798" s="16" t="str">
        <f t="shared" si="86"/>
        <v>April</v>
      </c>
      <c r="B798" s="31">
        <v>43949</v>
      </c>
      <c r="C798" s="32" t="s">
        <v>24</v>
      </c>
      <c r="D798" s="9" t="str">
        <f t="shared" si="87"/>
        <v>43949 - 3S</v>
      </c>
      <c r="E798" s="32" t="s">
        <v>9</v>
      </c>
      <c r="F798" s="2">
        <v>8000402</v>
      </c>
      <c r="G798" s="4" t="str">
        <f>IFERROR(VLOOKUP(F798,Lists!$C:$D,2,0), "N/A")</f>
        <v>WIP.DALM.BITE</v>
      </c>
      <c r="H798" s="26">
        <f>IFERROR(VLOOKUP(F798,Lists!$C:$F,4,0),0)</f>
        <v>0</v>
      </c>
      <c r="I798" s="7">
        <f t="shared" si="85"/>
        <v>11255</v>
      </c>
      <c r="J798" s="6">
        <v>10800</v>
      </c>
      <c r="K798" s="33">
        <v>455</v>
      </c>
      <c r="L798" s="5">
        <f t="shared" si="88"/>
        <v>4.2129629629629628E-2</v>
      </c>
      <c r="M798" s="26">
        <f t="shared" si="89"/>
        <v>0</v>
      </c>
    </row>
    <row r="799" spans="1:13" x14ac:dyDescent="0.25">
      <c r="A799" s="16" t="str">
        <f t="shared" si="86"/>
        <v>April</v>
      </c>
      <c r="B799" s="31">
        <v>43949</v>
      </c>
      <c r="C799" s="32" t="s">
        <v>24</v>
      </c>
      <c r="D799" s="9" t="str">
        <f t="shared" si="87"/>
        <v>43949 - 3S</v>
      </c>
      <c r="E799" s="32" t="s">
        <v>10</v>
      </c>
      <c r="F799" s="2">
        <v>8000055</v>
      </c>
      <c r="G799" s="4" t="str">
        <f>IFERROR(VLOOKUP(F799,Lists!$C:$D,2,0), "N/A")</f>
        <v>916.BF FLIPZ 25 LB BULK MILK CHOC</v>
      </c>
      <c r="H799" s="26">
        <f>IFERROR(VLOOKUP(F799,Lists!$C:$F,4,0),0)</f>
        <v>1.9508160000000001</v>
      </c>
      <c r="I799" s="7">
        <f t="shared" si="85"/>
        <v>4203</v>
      </c>
      <c r="J799" s="6">
        <f>160*25</f>
        <v>4000</v>
      </c>
      <c r="K799" s="33">
        <v>203</v>
      </c>
      <c r="L799" s="5">
        <f t="shared" si="88"/>
        <v>5.0750000000000003E-2</v>
      </c>
      <c r="M799" s="26">
        <f t="shared" si="89"/>
        <v>396.015648</v>
      </c>
    </row>
    <row r="800" spans="1:13" x14ac:dyDescent="0.25">
      <c r="A800" s="16" t="str">
        <f t="shared" si="86"/>
        <v>April</v>
      </c>
      <c r="B800" s="31">
        <v>43949</v>
      </c>
      <c r="C800" s="32" t="s">
        <v>25</v>
      </c>
      <c r="D800" s="9" t="str">
        <f t="shared" si="87"/>
        <v>43949 - 1S</v>
      </c>
      <c r="E800" s="32" t="s">
        <v>9</v>
      </c>
      <c r="F800" s="2">
        <v>8000402</v>
      </c>
      <c r="G800" s="4" t="str">
        <f>IFERROR(VLOOKUP(F800,Lists!$C:$D,2,0), "N/A")</f>
        <v>WIP.DALM.BITE</v>
      </c>
      <c r="H800" s="26">
        <f>IFERROR(VLOOKUP(F800,Lists!$C:$F,4,0),0)</f>
        <v>0</v>
      </c>
      <c r="I800" s="7">
        <f t="shared" si="85"/>
        <v>6088</v>
      </c>
      <c r="J800" s="6">
        <v>5418</v>
      </c>
      <c r="K800" s="33">
        <v>670</v>
      </c>
      <c r="L800" s="5">
        <f t="shared" si="88"/>
        <v>0.12366186784791436</v>
      </c>
      <c r="M800" s="26">
        <f t="shared" si="89"/>
        <v>0</v>
      </c>
    </row>
    <row r="801" spans="1:13" x14ac:dyDescent="0.25">
      <c r="A801" s="16" t="str">
        <f t="shared" si="86"/>
        <v>April</v>
      </c>
      <c r="B801" s="31">
        <v>43949</v>
      </c>
      <c r="C801" s="32" t="s">
        <v>25</v>
      </c>
      <c r="D801" s="9" t="str">
        <f t="shared" si="87"/>
        <v>43949 - 1S</v>
      </c>
      <c r="E801" s="32" t="s">
        <v>12</v>
      </c>
      <c r="F801" s="2">
        <v>8000055</v>
      </c>
      <c r="G801" s="4" t="str">
        <f>IFERROR(VLOOKUP(F801,Lists!$C:$D,2,0), "N/A")</f>
        <v>916.BF FLIPZ 25 LB BULK MILK CHOC</v>
      </c>
      <c r="H801" s="26">
        <f>IFERROR(VLOOKUP(F801,Lists!$C:$F,4,0),0)</f>
        <v>1.9508160000000001</v>
      </c>
      <c r="I801" s="7">
        <f t="shared" si="85"/>
        <v>7051</v>
      </c>
      <c r="J801" s="6">
        <f>280*25</f>
        <v>7000</v>
      </c>
      <c r="K801" s="33">
        <v>51</v>
      </c>
      <c r="L801" s="5">
        <f t="shared" si="88"/>
        <v>7.285714285714286E-3</v>
      </c>
      <c r="M801" s="26">
        <f t="shared" si="89"/>
        <v>99.491616000000008</v>
      </c>
    </row>
    <row r="802" spans="1:13" x14ac:dyDescent="0.25">
      <c r="A802" s="16" t="str">
        <f t="shared" si="86"/>
        <v>April</v>
      </c>
      <c r="B802" s="31">
        <v>43949</v>
      </c>
      <c r="C802" s="32" t="s">
        <v>25</v>
      </c>
      <c r="D802" s="9" t="str">
        <f t="shared" si="87"/>
        <v>43949 - 1S</v>
      </c>
      <c r="E802" s="32" t="s">
        <v>15</v>
      </c>
      <c r="G802" s="4" t="str">
        <f>IFERROR(VLOOKUP(F802,Lists!$C:$D,2,0), "N/A")</f>
        <v>N/A</v>
      </c>
      <c r="H802" s="26">
        <f>IFERROR(VLOOKUP(F802,Lists!$C:$F,4,0),0)</f>
        <v>0</v>
      </c>
      <c r="I802" s="7">
        <f t="shared" si="85"/>
        <v>15</v>
      </c>
      <c r="K802" s="33">
        <v>15</v>
      </c>
      <c r="L802" s="5">
        <f t="shared" si="88"/>
        <v>1</v>
      </c>
      <c r="M802" s="26">
        <f t="shared" si="89"/>
        <v>0</v>
      </c>
    </row>
    <row r="803" spans="1:13" x14ac:dyDescent="0.25">
      <c r="A803" s="16" t="str">
        <f t="shared" si="86"/>
        <v>April</v>
      </c>
      <c r="B803" s="31">
        <v>43949</v>
      </c>
      <c r="C803" s="32" t="s">
        <v>26</v>
      </c>
      <c r="D803" s="9" t="str">
        <f t="shared" si="87"/>
        <v>43949 - 2S</v>
      </c>
      <c r="E803" s="32" t="s">
        <v>15</v>
      </c>
      <c r="G803" s="4" t="str">
        <f>IFERROR(VLOOKUP(F803,Lists!$C:$D,2,0), "N/A")</f>
        <v>N/A</v>
      </c>
      <c r="H803" s="26">
        <f>IFERROR(VLOOKUP(F803,Lists!$C:$F,4,0),0)</f>
        <v>0</v>
      </c>
      <c r="I803" s="7">
        <f t="shared" si="85"/>
        <v>10</v>
      </c>
      <c r="K803" s="33">
        <v>10</v>
      </c>
      <c r="L803" s="5">
        <f t="shared" si="88"/>
        <v>1</v>
      </c>
      <c r="M803" s="26">
        <f t="shared" si="89"/>
        <v>0</v>
      </c>
    </row>
    <row r="804" spans="1:13" x14ac:dyDescent="0.25">
      <c r="A804" s="16" t="str">
        <f t="shared" si="86"/>
        <v>April</v>
      </c>
      <c r="B804" s="31">
        <v>43949</v>
      </c>
      <c r="C804" s="32" t="s">
        <v>26</v>
      </c>
      <c r="D804" s="9" t="str">
        <f t="shared" si="87"/>
        <v>43949 - 2S</v>
      </c>
      <c r="E804" s="32" t="s">
        <v>10</v>
      </c>
      <c r="F804" s="2">
        <v>8000055</v>
      </c>
      <c r="G804" s="4" t="str">
        <f>IFERROR(VLOOKUP(F804,Lists!$C:$D,2,0), "N/A")</f>
        <v>916.BF FLIPZ 25 LB BULK MILK CHOC</v>
      </c>
      <c r="H804" s="26">
        <f>IFERROR(VLOOKUP(F804,Lists!$C:$F,4,0),0)</f>
        <v>1.9508160000000001</v>
      </c>
      <c r="I804" s="7">
        <f t="shared" si="85"/>
        <v>5026</v>
      </c>
      <c r="J804" s="6">
        <f>200*25</f>
        <v>5000</v>
      </c>
      <c r="K804" s="33">
        <v>26</v>
      </c>
      <c r="L804" s="5">
        <f t="shared" si="88"/>
        <v>5.1999999999999998E-3</v>
      </c>
      <c r="M804" s="26">
        <f t="shared" si="89"/>
        <v>50.721216000000005</v>
      </c>
    </row>
    <row r="805" spans="1:13" x14ac:dyDescent="0.25">
      <c r="A805" s="16" t="str">
        <f t="shared" si="86"/>
        <v>April</v>
      </c>
      <c r="B805" s="31">
        <v>43950</v>
      </c>
      <c r="C805" s="32" t="s">
        <v>26</v>
      </c>
      <c r="D805" s="9" t="str">
        <f t="shared" si="87"/>
        <v>43950 - 2S</v>
      </c>
      <c r="E805" s="32" t="s">
        <v>15</v>
      </c>
      <c r="G805" s="4" t="str">
        <f>IFERROR(VLOOKUP(F805,Lists!$C:$D,2,0), "N/A")</f>
        <v>N/A</v>
      </c>
      <c r="H805" s="26">
        <f>IFERROR(VLOOKUP(F805,Lists!$C:$F,4,0),0)</f>
        <v>0</v>
      </c>
      <c r="I805" s="7">
        <f t="shared" si="85"/>
        <v>7</v>
      </c>
      <c r="K805" s="33">
        <v>7</v>
      </c>
      <c r="L805" s="5">
        <f t="shared" si="88"/>
        <v>1</v>
      </c>
      <c r="M805" s="26">
        <f t="shared" si="89"/>
        <v>0</v>
      </c>
    </row>
    <row r="806" spans="1:13" x14ac:dyDescent="0.25">
      <c r="A806" s="16" t="str">
        <f t="shared" si="86"/>
        <v>April</v>
      </c>
      <c r="B806" s="31">
        <v>43950</v>
      </c>
      <c r="C806" s="32" t="s">
        <v>25</v>
      </c>
      <c r="D806" s="9" t="str">
        <f t="shared" si="87"/>
        <v>43950 - 1S</v>
      </c>
      <c r="E806" s="32" t="s">
        <v>10</v>
      </c>
      <c r="F806" s="2">
        <v>8000055</v>
      </c>
      <c r="G806" s="4" t="str">
        <f>IFERROR(VLOOKUP(F806,Lists!$C:$D,2,0), "N/A")</f>
        <v>916.BF FLIPZ 25 LB BULK MILK CHOC</v>
      </c>
      <c r="H806" s="26">
        <f>IFERROR(VLOOKUP(F806,Lists!$C:$F,4,0),0)</f>
        <v>1.9508160000000001</v>
      </c>
      <c r="I806" s="7">
        <f t="shared" si="85"/>
        <v>2041</v>
      </c>
      <c r="J806" s="6">
        <f>80*25</f>
        <v>2000</v>
      </c>
      <c r="K806" s="33">
        <v>41</v>
      </c>
      <c r="L806" s="5">
        <f t="shared" si="88"/>
        <v>2.0500000000000001E-2</v>
      </c>
      <c r="M806" s="26">
        <f t="shared" si="89"/>
        <v>79.983456000000004</v>
      </c>
    </row>
    <row r="807" spans="1:13" x14ac:dyDescent="0.25">
      <c r="A807" s="16" t="str">
        <f t="shared" si="86"/>
        <v>April</v>
      </c>
      <c r="B807" s="31">
        <v>43950</v>
      </c>
      <c r="C807" s="32" t="s">
        <v>25</v>
      </c>
      <c r="D807" s="9" t="str">
        <f t="shared" si="87"/>
        <v>43950 - 1S</v>
      </c>
      <c r="E807" s="32" t="s">
        <v>12</v>
      </c>
      <c r="F807" s="2">
        <v>8000055</v>
      </c>
      <c r="G807" s="4" t="str">
        <f>IFERROR(VLOOKUP(F807,Lists!$C:$D,2,0), "N/A")</f>
        <v>916.BF FLIPZ 25 LB BULK MILK CHOC</v>
      </c>
      <c r="H807" s="26">
        <f>IFERROR(VLOOKUP(F807,Lists!$C:$F,4,0),0)</f>
        <v>1.9508160000000001</v>
      </c>
      <c r="I807" s="7">
        <f t="shared" si="85"/>
        <v>8366</v>
      </c>
      <c r="J807" s="6">
        <f>320*25</f>
        <v>8000</v>
      </c>
      <c r="K807" s="33">
        <v>366</v>
      </c>
      <c r="L807" s="5">
        <f t="shared" si="88"/>
        <v>4.5749999999999999E-2</v>
      </c>
      <c r="M807" s="26">
        <f t="shared" si="89"/>
        <v>713.99865599999998</v>
      </c>
    </row>
    <row r="808" spans="1:13" x14ac:dyDescent="0.25">
      <c r="A808" s="16" t="str">
        <f t="shared" si="86"/>
        <v>April</v>
      </c>
      <c r="B808" s="31">
        <v>43950</v>
      </c>
      <c r="C808" s="32" t="s">
        <v>26</v>
      </c>
      <c r="D808" s="9" t="str">
        <f t="shared" si="87"/>
        <v>43950 - 2S</v>
      </c>
      <c r="E808" s="32" t="s">
        <v>12</v>
      </c>
      <c r="F808" s="2">
        <v>8000055</v>
      </c>
      <c r="G808" s="4" t="str">
        <f>IFERROR(VLOOKUP(F808,Lists!$C:$D,2,0), "N/A")</f>
        <v>916.BF FLIPZ 25 LB BULK MILK CHOC</v>
      </c>
      <c r="H808" s="26">
        <f>IFERROR(VLOOKUP(F808,Lists!$C:$F,4,0),0)</f>
        <v>1.9508160000000001</v>
      </c>
      <c r="I808" s="7">
        <f t="shared" si="85"/>
        <v>10004</v>
      </c>
      <c r="J808" s="6">
        <f>400*25</f>
        <v>10000</v>
      </c>
      <c r="K808" s="33">
        <v>4</v>
      </c>
      <c r="L808" s="5">
        <f t="shared" si="88"/>
        <v>4.0000000000000002E-4</v>
      </c>
      <c r="M808" s="26">
        <f t="shared" si="89"/>
        <v>7.8032640000000004</v>
      </c>
    </row>
    <row r="809" spans="1:13" x14ac:dyDescent="0.25">
      <c r="A809" s="16" t="str">
        <f t="shared" si="86"/>
        <v>April</v>
      </c>
      <c r="B809" s="31">
        <v>43950</v>
      </c>
      <c r="C809" s="32" t="s">
        <v>26</v>
      </c>
      <c r="D809" s="9" t="str">
        <f t="shared" si="87"/>
        <v>43950 - 2S</v>
      </c>
      <c r="E809" s="32" t="s">
        <v>15</v>
      </c>
      <c r="G809" s="4" t="str">
        <f>IFERROR(VLOOKUP(F809,Lists!$C:$D,2,0), "N/A")</f>
        <v>N/A</v>
      </c>
      <c r="H809" s="26">
        <f>IFERROR(VLOOKUP(F809,Lists!$C:$F,4,0),0)</f>
        <v>0</v>
      </c>
      <c r="I809" s="7">
        <f t="shared" si="85"/>
        <v>20</v>
      </c>
      <c r="K809" s="33">
        <v>20</v>
      </c>
      <c r="L809" s="5">
        <f t="shared" si="88"/>
        <v>1</v>
      </c>
      <c r="M809" s="26">
        <f t="shared" si="89"/>
        <v>0</v>
      </c>
    </row>
    <row r="810" spans="1:13" x14ac:dyDescent="0.25">
      <c r="A810" s="16" t="str">
        <f t="shared" si="86"/>
        <v>April</v>
      </c>
      <c r="B810" s="31">
        <v>43951</v>
      </c>
      <c r="C810" s="32" t="s">
        <v>25</v>
      </c>
      <c r="D810" s="9" t="str">
        <f t="shared" si="87"/>
        <v>43951 - 1S</v>
      </c>
      <c r="E810" s="32" t="s">
        <v>9</v>
      </c>
      <c r="F810" s="2">
        <v>8000035</v>
      </c>
      <c r="G810" s="4" t="str">
        <f>IFERROR(VLOOKUP(F810,Lists!$C:$D,2,0), "N/A")</f>
        <v>TURTLES MILK CHOC ORIGINAL</v>
      </c>
      <c r="H810" s="26">
        <f>IFERROR(VLOOKUP(F810,Lists!$C:$F,4,0),0)</f>
        <v>1.91178</v>
      </c>
      <c r="I810" s="7">
        <f t="shared" si="85"/>
        <v>4070</v>
      </c>
      <c r="J810" s="6">
        <v>3564</v>
      </c>
      <c r="K810" s="33">
        <v>506</v>
      </c>
      <c r="L810" s="5">
        <f t="shared" si="88"/>
        <v>0.1419753086419753</v>
      </c>
      <c r="M810" s="26">
        <f t="shared" si="89"/>
        <v>967.36068</v>
      </c>
    </row>
    <row r="811" spans="1:13" x14ac:dyDescent="0.25">
      <c r="A811" s="16" t="str">
        <f t="shared" si="86"/>
        <v>April</v>
      </c>
      <c r="B811" s="31">
        <v>43951</v>
      </c>
      <c r="C811" s="32" t="s">
        <v>25</v>
      </c>
      <c r="D811" s="9" t="str">
        <f t="shared" si="87"/>
        <v>43951 - 1S</v>
      </c>
      <c r="E811" s="32" t="s">
        <v>10</v>
      </c>
      <c r="F811" s="2">
        <v>8000055</v>
      </c>
      <c r="G811" s="4" t="str">
        <f>IFERROR(VLOOKUP(F811,Lists!$C:$D,2,0), "N/A")</f>
        <v>916.BF FLIPZ 25 LB BULK MILK CHOC</v>
      </c>
      <c r="H811" s="26">
        <f>IFERROR(VLOOKUP(F811,Lists!$C:$F,4,0),0)</f>
        <v>1.9508160000000001</v>
      </c>
      <c r="I811" s="7">
        <f t="shared" si="85"/>
        <v>1020</v>
      </c>
      <c r="J811" s="6">
        <f>40*25</f>
        <v>1000</v>
      </c>
      <c r="K811" s="33">
        <v>20</v>
      </c>
      <c r="L811" s="5">
        <f t="shared" si="88"/>
        <v>0.02</v>
      </c>
      <c r="M811" s="26">
        <f t="shared" si="89"/>
        <v>39.01632</v>
      </c>
    </row>
    <row r="812" spans="1:13" x14ac:dyDescent="0.25">
      <c r="A812" s="16" t="str">
        <f t="shared" si="86"/>
        <v>April</v>
      </c>
      <c r="B812" s="31">
        <v>43951</v>
      </c>
      <c r="C812" s="32" t="s">
        <v>25</v>
      </c>
      <c r="D812" s="9" t="str">
        <f t="shared" si="87"/>
        <v>43951 - 1S</v>
      </c>
      <c r="E812" s="32" t="s">
        <v>12</v>
      </c>
      <c r="F812" s="2">
        <v>8000055</v>
      </c>
      <c r="G812" s="4" t="str">
        <f>IFERROR(VLOOKUP(F812,Lists!$C:$D,2,0), "N/A")</f>
        <v>916.BF FLIPZ 25 LB BULK MILK CHOC</v>
      </c>
      <c r="H812" s="26">
        <f>IFERROR(VLOOKUP(F812,Lists!$C:$F,4,0),0)</f>
        <v>1.9508160000000001</v>
      </c>
      <c r="I812" s="7">
        <f t="shared" ref="I812:I876" si="90">J812+K812</f>
        <v>7370</v>
      </c>
      <c r="J812" s="6">
        <f>280*25</f>
        <v>7000</v>
      </c>
      <c r="K812" s="33">
        <v>370</v>
      </c>
      <c r="L812" s="5">
        <f t="shared" si="88"/>
        <v>5.2857142857142859E-2</v>
      </c>
      <c r="M812" s="26">
        <f t="shared" si="89"/>
        <v>721.80192</v>
      </c>
    </row>
    <row r="813" spans="1:13" x14ac:dyDescent="0.25">
      <c r="A813" s="16" t="str">
        <f t="shared" si="86"/>
        <v>April</v>
      </c>
      <c r="B813" s="31">
        <v>43951</v>
      </c>
      <c r="C813" s="32" t="s">
        <v>26</v>
      </c>
      <c r="D813" s="9" t="str">
        <f t="shared" si="87"/>
        <v>43951 - 2S</v>
      </c>
      <c r="E813" s="32" t="s">
        <v>15</v>
      </c>
      <c r="G813" s="4" t="str">
        <f>IFERROR(VLOOKUP(F813,Lists!$C:$D,2,0), "N/A")</f>
        <v>N/A</v>
      </c>
      <c r="H813" s="26">
        <f>IFERROR(VLOOKUP(F813,Lists!$C:$F,4,0),0)</f>
        <v>0</v>
      </c>
      <c r="I813" s="7">
        <f t="shared" si="90"/>
        <v>10</v>
      </c>
      <c r="K813" s="33">
        <v>10</v>
      </c>
      <c r="L813" s="5">
        <f t="shared" si="88"/>
        <v>1</v>
      </c>
      <c r="M813" s="26">
        <f t="shared" si="89"/>
        <v>0</v>
      </c>
    </row>
    <row r="814" spans="1:13" x14ac:dyDescent="0.25">
      <c r="A814" s="16" t="str">
        <f t="shared" si="86"/>
        <v>May</v>
      </c>
      <c r="B814" s="31">
        <v>43952</v>
      </c>
      <c r="C814" s="32" t="s">
        <v>24</v>
      </c>
      <c r="D814" s="9" t="str">
        <f t="shared" si="87"/>
        <v>43952 - 3S</v>
      </c>
      <c r="E814" s="32" t="s">
        <v>9</v>
      </c>
      <c r="F814" s="2">
        <v>8000035</v>
      </c>
      <c r="G814" s="4" t="str">
        <f>IFERROR(VLOOKUP(F814,Lists!$C:$D,2,0), "N/A")</f>
        <v>TURTLES MILK CHOC ORIGINAL</v>
      </c>
      <c r="H814" s="26">
        <f>IFERROR(VLOOKUP(F814,Lists!$C:$F,4,0),0)</f>
        <v>1.91178</v>
      </c>
      <c r="I814" s="7">
        <f t="shared" si="90"/>
        <v>6850.2</v>
      </c>
      <c r="J814" s="6">
        <v>6415.2</v>
      </c>
      <c r="K814" s="33">
        <v>435</v>
      </c>
      <c r="L814" s="5">
        <f t="shared" si="88"/>
        <v>6.7807706696595582E-2</v>
      </c>
      <c r="M814" s="26">
        <f t="shared" si="89"/>
        <v>831.62430000000006</v>
      </c>
    </row>
    <row r="815" spans="1:13" x14ac:dyDescent="0.25">
      <c r="A815" s="16" t="str">
        <f t="shared" si="86"/>
        <v>May</v>
      </c>
      <c r="B815" s="31">
        <v>43952</v>
      </c>
      <c r="C815" s="32" t="s">
        <v>24</v>
      </c>
      <c r="D815" s="9" t="str">
        <f t="shared" si="87"/>
        <v>43952 - 3S</v>
      </c>
      <c r="E815" s="32" t="s">
        <v>15</v>
      </c>
      <c r="G815" s="4" t="str">
        <f>IFERROR(VLOOKUP(F815,Lists!$C:$D,2,0), "N/A")</f>
        <v>N/A</v>
      </c>
      <c r="H815" s="26">
        <f>IFERROR(VLOOKUP(F815,Lists!$C:$F,4,0),0)</f>
        <v>0</v>
      </c>
      <c r="I815" s="7">
        <f t="shared" si="90"/>
        <v>30</v>
      </c>
      <c r="K815" s="33">
        <v>30</v>
      </c>
      <c r="L815" s="5">
        <f t="shared" si="88"/>
        <v>1</v>
      </c>
      <c r="M815" s="26">
        <f t="shared" si="89"/>
        <v>0</v>
      </c>
    </row>
    <row r="816" spans="1:13" x14ac:dyDescent="0.25">
      <c r="A816" s="16" t="str">
        <f t="shared" si="86"/>
        <v>May</v>
      </c>
      <c r="B816" s="31">
        <v>43952</v>
      </c>
      <c r="C816" s="32" t="s">
        <v>25</v>
      </c>
      <c r="D816" s="9" t="str">
        <f t="shared" si="87"/>
        <v>43952 - 1S</v>
      </c>
      <c r="E816" s="32" t="s">
        <v>9</v>
      </c>
      <c r="F816" s="2">
        <v>8000035</v>
      </c>
      <c r="G816" s="4" t="str">
        <f>IFERROR(VLOOKUP(F816,Lists!$C:$D,2,0), "N/A")</f>
        <v>TURTLES MILK CHOC ORIGINAL</v>
      </c>
      <c r="H816" s="26">
        <f>IFERROR(VLOOKUP(F816,Lists!$C:$F,4,0),0)</f>
        <v>1.91178</v>
      </c>
      <c r="I816" s="7">
        <f t="shared" si="90"/>
        <v>7603.4</v>
      </c>
      <c r="J816" s="6">
        <v>5702.4</v>
      </c>
      <c r="K816" s="33">
        <v>1901</v>
      </c>
      <c r="L816" s="5">
        <f t="shared" si="88"/>
        <v>0.33336840628507297</v>
      </c>
      <c r="M816" s="26">
        <f t="shared" si="89"/>
        <v>3634.29378</v>
      </c>
    </row>
    <row r="817" spans="1:13" x14ac:dyDescent="0.25">
      <c r="A817" s="16" t="str">
        <f t="shared" ref="A817:A881" si="91">TEXT(B817,"mmmm")</f>
        <v>May</v>
      </c>
      <c r="B817" s="31">
        <v>43952</v>
      </c>
      <c r="C817" s="32" t="s">
        <v>25</v>
      </c>
      <c r="D817" s="9" t="str">
        <f t="shared" si="87"/>
        <v>43952 - 1S</v>
      </c>
      <c r="E817" s="32" t="s">
        <v>10</v>
      </c>
      <c r="F817" s="2">
        <v>8000055</v>
      </c>
      <c r="G817" s="4" t="str">
        <f>IFERROR(VLOOKUP(F817,Lists!$C:$D,2,0), "N/A")</f>
        <v>916.BF FLIPZ 25 LB BULK MILK CHOC</v>
      </c>
      <c r="H817" s="26">
        <f>IFERROR(VLOOKUP(F817,Lists!$C:$F,4,0),0)</f>
        <v>1.9508160000000001</v>
      </c>
      <c r="I817" s="7">
        <f t="shared" si="90"/>
        <v>1468</v>
      </c>
      <c r="J817" s="6">
        <f>35*25</f>
        <v>875</v>
      </c>
      <c r="K817" s="33">
        <v>593</v>
      </c>
      <c r="L817" s="5">
        <f t="shared" si="88"/>
        <v>0.67771428571428571</v>
      </c>
      <c r="M817" s="26">
        <f t="shared" si="89"/>
        <v>1156.8338880000001</v>
      </c>
    </row>
    <row r="818" spans="1:13" x14ac:dyDescent="0.25">
      <c r="A818" s="16" t="str">
        <f t="shared" si="91"/>
        <v>May</v>
      </c>
      <c r="B818" s="31">
        <v>43952</v>
      </c>
      <c r="C818" s="32" t="s">
        <v>25</v>
      </c>
      <c r="D818" s="9" t="str">
        <f t="shared" si="87"/>
        <v>43952 - 1S</v>
      </c>
      <c r="E818" s="32" t="s">
        <v>15</v>
      </c>
      <c r="G818" s="4" t="str">
        <f>IFERROR(VLOOKUP(F818,Lists!$C:$D,2,0), "N/A")</f>
        <v>N/A</v>
      </c>
      <c r="H818" s="26">
        <f>IFERROR(VLOOKUP(F818,Lists!$C:$F,4,0),0)</f>
        <v>0</v>
      </c>
      <c r="I818" s="77">
        <f>J818+K818</f>
        <v>5</v>
      </c>
      <c r="J818" s="45">
        <v>0</v>
      </c>
      <c r="K818" s="33">
        <v>5</v>
      </c>
      <c r="L818" s="5">
        <f t="shared" si="88"/>
        <v>1</v>
      </c>
      <c r="M818" s="26">
        <f t="shared" si="89"/>
        <v>0</v>
      </c>
    </row>
    <row r="819" spans="1:13" x14ac:dyDescent="0.25">
      <c r="A819" s="16" t="s">
        <v>435</v>
      </c>
      <c r="B819" s="31">
        <v>43952</v>
      </c>
      <c r="C819" s="32" t="s">
        <v>26</v>
      </c>
      <c r="D819" s="9" t="str">
        <f t="shared" si="87"/>
        <v>43952 - 2S</v>
      </c>
      <c r="E819" s="32" t="s">
        <v>9</v>
      </c>
      <c r="F819" s="2">
        <v>8000035</v>
      </c>
      <c r="G819" s="4" t="str">
        <f>IFERROR(VLOOKUP(F819,Lists!$C:$D,2,0), "N/A")</f>
        <v>TURTLES MILK CHOC ORIGINAL</v>
      </c>
      <c r="H819" s="26">
        <f>IFERROR(VLOOKUP(F819,Lists!$C:$F,4,0),0)</f>
        <v>1.91178</v>
      </c>
      <c r="I819" s="76">
        <f t="shared" si="90"/>
        <v>7111</v>
      </c>
      <c r="J819" s="45">
        <v>5702</v>
      </c>
      <c r="K819" s="33">
        <v>1409</v>
      </c>
      <c r="L819" s="5">
        <f t="shared" si="88"/>
        <v>0.24710627849877237</v>
      </c>
      <c r="M819" s="26"/>
    </row>
    <row r="820" spans="1:13" x14ac:dyDescent="0.25">
      <c r="A820" s="16"/>
      <c r="B820" s="31">
        <v>43953</v>
      </c>
      <c r="C820" s="32" t="s">
        <v>24</v>
      </c>
      <c r="D820" s="9" t="str">
        <f t="shared" si="87"/>
        <v>43953 - 3S</v>
      </c>
      <c r="E820" s="32" t="s">
        <v>9</v>
      </c>
      <c r="F820" s="2">
        <v>8000035</v>
      </c>
      <c r="G820" s="4"/>
      <c r="H820" s="26"/>
      <c r="I820" s="76"/>
      <c r="J820" s="45">
        <v>0</v>
      </c>
      <c r="K820" s="33">
        <v>435</v>
      </c>
      <c r="L820" s="5"/>
      <c r="M820" s="26"/>
    </row>
    <row r="821" spans="1:13" x14ac:dyDescent="0.25">
      <c r="A821" s="16" t="str">
        <f t="shared" si="91"/>
        <v>May</v>
      </c>
      <c r="B821" s="31">
        <v>43953</v>
      </c>
      <c r="C821" s="32" t="s">
        <v>25</v>
      </c>
      <c r="D821" s="9" t="str">
        <f t="shared" si="87"/>
        <v>43953 - 1S</v>
      </c>
      <c r="E821" s="32" t="s">
        <v>12</v>
      </c>
      <c r="F821" s="2">
        <v>8000055</v>
      </c>
      <c r="G821" s="4" t="str">
        <f>IFERROR(VLOOKUP(F821,Lists!$C:$D,2,0), "N/A")</f>
        <v>916.BF FLIPZ 25 LB BULK MILK CHOC</v>
      </c>
      <c r="H821" s="26">
        <f>IFERROR(VLOOKUP(F821,Lists!$C:$F,4,0),0)</f>
        <v>1.9508160000000001</v>
      </c>
      <c r="I821" s="7">
        <f t="shared" si="90"/>
        <v>8155</v>
      </c>
      <c r="J821" s="6">
        <f>320*25</f>
        <v>8000</v>
      </c>
      <c r="K821" s="33">
        <v>155</v>
      </c>
      <c r="L821" s="5">
        <f t="shared" si="88"/>
        <v>1.9375E-2</v>
      </c>
      <c r="M821" s="26">
        <f t="shared" si="89"/>
        <v>302.37648000000002</v>
      </c>
    </row>
    <row r="822" spans="1:13" x14ac:dyDescent="0.25">
      <c r="A822" s="16" t="str">
        <f t="shared" si="91"/>
        <v>May</v>
      </c>
      <c r="B822" s="31">
        <v>43954</v>
      </c>
      <c r="C822" s="32" t="s">
        <v>26</v>
      </c>
      <c r="D822" s="9" t="str">
        <f t="shared" si="87"/>
        <v>43954 - 2S</v>
      </c>
      <c r="E822" s="32" t="s">
        <v>15</v>
      </c>
      <c r="G822" s="4" t="str">
        <f>IFERROR(VLOOKUP(F822,Lists!$C:$D,2,0), "N/A")</f>
        <v>N/A</v>
      </c>
      <c r="H822" s="26">
        <f>IFERROR(VLOOKUP(F822,Lists!$C:$F,4,0),0)</f>
        <v>0</v>
      </c>
      <c r="I822" s="7">
        <f>J822+K822</f>
        <v>25</v>
      </c>
      <c r="K822" s="33">
        <v>25</v>
      </c>
      <c r="L822" s="5">
        <f t="shared" si="88"/>
        <v>1</v>
      </c>
      <c r="M822" s="26">
        <f t="shared" si="89"/>
        <v>0</v>
      </c>
    </row>
    <row r="823" spans="1:13" x14ac:dyDescent="0.25">
      <c r="A823" s="16" t="str">
        <f t="shared" si="91"/>
        <v>May</v>
      </c>
      <c r="B823" s="31">
        <v>43955</v>
      </c>
      <c r="C823" s="32" t="s">
        <v>24</v>
      </c>
      <c r="D823" s="9" t="str">
        <f t="shared" si="87"/>
        <v>43955 - 3S</v>
      </c>
      <c r="E823" s="32" t="s">
        <v>9</v>
      </c>
      <c r="F823" s="2">
        <v>8000035</v>
      </c>
      <c r="G823" s="4" t="str">
        <f>IFERROR(VLOOKUP(F823,Lists!$C:$D,2,0), "N/A")</f>
        <v>TURTLES MILK CHOC ORIGINAL</v>
      </c>
      <c r="H823" s="26">
        <f>IFERROR(VLOOKUP(F823,Lists!$C:$F,4,0),0)</f>
        <v>1.91178</v>
      </c>
      <c r="I823" s="7">
        <f t="shared" si="90"/>
        <v>3989</v>
      </c>
      <c r="J823" s="6">
        <v>3564</v>
      </c>
      <c r="K823" s="33">
        <v>425</v>
      </c>
      <c r="L823" s="5">
        <f t="shared" si="88"/>
        <v>0.11924803591470258</v>
      </c>
      <c r="M823" s="26">
        <f t="shared" si="89"/>
        <v>812.50649999999996</v>
      </c>
    </row>
    <row r="824" spans="1:13" x14ac:dyDescent="0.25">
      <c r="A824" s="16" t="str">
        <f t="shared" si="91"/>
        <v>May</v>
      </c>
      <c r="B824" s="31">
        <v>43955</v>
      </c>
      <c r="C824" s="32" t="s">
        <v>24</v>
      </c>
      <c r="D824" s="9" t="str">
        <f t="shared" si="87"/>
        <v>43955 - 3S</v>
      </c>
      <c r="E824" s="32" t="s">
        <v>10</v>
      </c>
      <c r="F824" s="2">
        <v>8000040</v>
      </c>
      <c r="G824" s="4" t="str">
        <f>IFERROR(VLOOKUP(F824,Lists!$C:$D,2,0), "N/A")</f>
        <v>WIP.MSM FLIPZ MILK CHOC SUPER MINI</v>
      </c>
      <c r="H824" s="26">
        <f>IFERROR(VLOOKUP(F824,Lists!$C:$F,4,0),0)</f>
        <v>1.21353</v>
      </c>
      <c r="I824" s="7">
        <f t="shared" si="90"/>
        <v>2245</v>
      </c>
      <c r="J824" s="6">
        <f>80*25</f>
        <v>2000</v>
      </c>
      <c r="K824" s="33">
        <v>245</v>
      </c>
      <c r="L824" s="5">
        <f t="shared" si="88"/>
        <v>0.1225</v>
      </c>
      <c r="M824" s="26">
        <f t="shared" si="89"/>
        <v>297.31484999999998</v>
      </c>
    </row>
    <row r="825" spans="1:13" x14ac:dyDescent="0.25">
      <c r="A825" s="16" t="str">
        <f t="shared" si="91"/>
        <v>May</v>
      </c>
      <c r="B825" s="31">
        <v>43955</v>
      </c>
      <c r="C825" s="32" t="s">
        <v>25</v>
      </c>
      <c r="D825" s="9" t="str">
        <f t="shared" si="87"/>
        <v>43955 - 1S</v>
      </c>
      <c r="E825" s="32" t="s">
        <v>9</v>
      </c>
      <c r="F825" s="2">
        <v>8000035</v>
      </c>
      <c r="G825" s="4" t="str">
        <f>IFERROR(VLOOKUP(F825,Lists!$C:$D,2,0), "N/A")</f>
        <v>TURTLES MILK CHOC ORIGINAL</v>
      </c>
      <c r="H825" s="26">
        <f>IFERROR(VLOOKUP(F825,Lists!$C:$F,4,0),0)</f>
        <v>1.91178</v>
      </c>
      <c r="I825" s="7">
        <f t="shared" si="90"/>
        <v>7862</v>
      </c>
      <c r="J825" s="6">
        <v>7128</v>
      </c>
      <c r="K825" s="33">
        <v>734</v>
      </c>
      <c r="L825" s="5">
        <f t="shared" si="88"/>
        <v>0.10297418630751964</v>
      </c>
      <c r="M825" s="26">
        <f t="shared" si="89"/>
        <v>1403.2465199999999</v>
      </c>
    </row>
    <row r="826" spans="1:13" x14ac:dyDescent="0.25">
      <c r="A826" s="16" t="str">
        <f t="shared" si="91"/>
        <v>May</v>
      </c>
      <c r="B826" s="31">
        <v>43955</v>
      </c>
      <c r="C826" s="32" t="s">
        <v>25</v>
      </c>
      <c r="D826" s="9" t="str">
        <f t="shared" si="87"/>
        <v>43955 - 1S</v>
      </c>
      <c r="E826" s="32" t="s">
        <v>11</v>
      </c>
      <c r="F826" s="2">
        <v>8000034</v>
      </c>
      <c r="G826" s="4" t="str">
        <f>IFERROR(VLOOKUP(F826,Lists!$C:$D,2,0), "N/A")</f>
        <v>KS MILK CHOC MACADAMIA</v>
      </c>
      <c r="H826" s="26">
        <f>IFERROR(VLOOKUP(F826,Lists!$C:$F,4,0),0)</f>
        <v>3.8943099999999999</v>
      </c>
      <c r="I826" s="7">
        <f t="shared" si="90"/>
        <v>4095</v>
      </c>
      <c r="J826" s="6">
        <v>4000</v>
      </c>
      <c r="K826" s="33">
        <v>95</v>
      </c>
      <c r="L826" s="5">
        <f t="shared" si="88"/>
        <v>2.375E-2</v>
      </c>
      <c r="M826" s="26">
        <f t="shared" si="89"/>
        <v>369.95945</v>
      </c>
    </row>
    <row r="827" spans="1:13" x14ac:dyDescent="0.25">
      <c r="A827" s="16" t="str">
        <f t="shared" si="91"/>
        <v>May</v>
      </c>
      <c r="B827" s="31">
        <v>43955</v>
      </c>
      <c r="C827" s="32" t="s">
        <v>26</v>
      </c>
      <c r="D827" s="9" t="str">
        <f t="shared" si="87"/>
        <v>43955 - 2S</v>
      </c>
      <c r="E827" s="32" t="s">
        <v>10</v>
      </c>
      <c r="F827" s="2">
        <v>8000040</v>
      </c>
      <c r="G827" s="4" t="str">
        <f>IFERROR(VLOOKUP(F827,Lists!$C:$D,2,0), "N/A")</f>
        <v>WIP.MSM FLIPZ MILK CHOC SUPER MINI</v>
      </c>
      <c r="H827" s="26">
        <f>IFERROR(VLOOKUP(F827,Lists!$C:$F,4,0),0)</f>
        <v>1.21353</v>
      </c>
      <c r="I827" s="7">
        <f t="shared" si="90"/>
        <v>5046</v>
      </c>
      <c r="J827" s="6">
        <f>200*25</f>
        <v>5000</v>
      </c>
      <c r="K827" s="33">
        <v>46</v>
      </c>
      <c r="L827" s="5">
        <f t="shared" si="88"/>
        <v>9.1999999999999998E-3</v>
      </c>
      <c r="M827" s="26">
        <f t="shared" si="89"/>
        <v>55.822380000000003</v>
      </c>
    </row>
    <row r="828" spans="1:13" x14ac:dyDescent="0.25">
      <c r="A828" s="16" t="str">
        <f t="shared" si="91"/>
        <v>May</v>
      </c>
      <c r="B828" s="31">
        <v>43955</v>
      </c>
      <c r="C828" s="32" t="s">
        <v>26</v>
      </c>
      <c r="D828" s="9" t="str">
        <f t="shared" si="87"/>
        <v>43955 - 2S</v>
      </c>
      <c r="E828" s="32" t="s">
        <v>11</v>
      </c>
      <c r="F828" s="2">
        <v>8000034</v>
      </c>
      <c r="G828" s="4" t="str">
        <f>IFERROR(VLOOKUP(F828,Lists!$C:$D,2,0), "N/A")</f>
        <v>KS MILK CHOC MACADAMIA</v>
      </c>
      <c r="H828" s="26">
        <f>IFERROR(VLOOKUP(F828,Lists!$C:$F,4,0),0)</f>
        <v>3.8943099999999999</v>
      </c>
      <c r="I828" s="7">
        <f t="shared" si="90"/>
        <v>2440</v>
      </c>
      <c r="J828" s="6">
        <v>2400</v>
      </c>
      <c r="K828" s="33">
        <v>40</v>
      </c>
      <c r="L828" s="5">
        <f t="shared" si="88"/>
        <v>1.6666666666666666E-2</v>
      </c>
      <c r="M828" s="26">
        <f t="shared" si="89"/>
        <v>155.7724</v>
      </c>
    </row>
    <row r="829" spans="1:13" x14ac:dyDescent="0.25">
      <c r="A829" s="16" t="str">
        <f t="shared" si="91"/>
        <v>May</v>
      </c>
      <c r="B829" s="31">
        <v>43955</v>
      </c>
      <c r="C829" s="32" t="s">
        <v>26</v>
      </c>
      <c r="D829" s="9" t="str">
        <f t="shared" si="87"/>
        <v>43955 - 2S</v>
      </c>
      <c r="E829" s="32" t="s">
        <v>12</v>
      </c>
      <c r="F829" s="2">
        <v>8000031</v>
      </c>
      <c r="G829" s="4" t="str">
        <f>IFERROR(VLOOKUP(F829,Lists!$C:$D,2,0), "N/A")</f>
        <v>WIP.DCP FLIPZ  DARK CHOC PRETZEL</v>
      </c>
      <c r="H829" s="26">
        <f>IFERROR(VLOOKUP(F829,Lists!$C:$F,4,0),0)</f>
        <v>1.4516300000000002</v>
      </c>
      <c r="I829" s="7">
        <f t="shared" si="90"/>
        <v>5018</v>
      </c>
      <c r="J829" s="6">
        <f>200*25</f>
        <v>5000</v>
      </c>
      <c r="K829" s="33">
        <v>18</v>
      </c>
      <c r="L829" s="5">
        <f t="shared" si="88"/>
        <v>3.5999999999999999E-3</v>
      </c>
      <c r="M829" s="26">
        <f t="shared" si="89"/>
        <v>26.129340000000003</v>
      </c>
    </row>
    <row r="830" spans="1:13" x14ac:dyDescent="0.25">
      <c r="A830" s="16" t="str">
        <f t="shared" si="91"/>
        <v>May</v>
      </c>
      <c r="B830" s="31">
        <v>43956</v>
      </c>
      <c r="C830" s="32" t="s">
        <v>24</v>
      </c>
      <c r="D830" s="9" t="str">
        <f t="shared" si="87"/>
        <v>43956 - 3S</v>
      </c>
      <c r="E830" s="32" t="s">
        <v>9</v>
      </c>
      <c r="F830" s="2">
        <v>8000035</v>
      </c>
      <c r="G830" s="4" t="str">
        <f>IFERROR(VLOOKUP(F830,Lists!$C:$D,2,0), "N/A")</f>
        <v>TURTLES MILK CHOC ORIGINAL</v>
      </c>
      <c r="H830" s="26">
        <f>IFERROR(VLOOKUP(F830,Lists!$C:$F,4,0),0)</f>
        <v>1.91178</v>
      </c>
      <c r="I830" s="7">
        <f t="shared" si="90"/>
        <v>152</v>
      </c>
      <c r="J830" s="6">
        <v>0</v>
      </c>
      <c r="K830" s="33">
        <v>152</v>
      </c>
      <c r="L830" s="5">
        <f t="shared" si="88"/>
        <v>1</v>
      </c>
      <c r="M830" s="26">
        <f t="shared" si="89"/>
        <v>290.59055999999998</v>
      </c>
    </row>
    <row r="831" spans="1:13" x14ac:dyDescent="0.25">
      <c r="A831" s="16" t="str">
        <f t="shared" si="91"/>
        <v>May</v>
      </c>
      <c r="B831" s="31">
        <v>43956</v>
      </c>
      <c r="C831" s="32" t="s">
        <v>24</v>
      </c>
      <c r="D831" s="9" t="str">
        <f t="shared" si="87"/>
        <v>43956 - 3S</v>
      </c>
      <c r="E831" s="32" t="s">
        <v>10</v>
      </c>
      <c r="F831" s="2">
        <v>8000055</v>
      </c>
      <c r="G831" s="4" t="str">
        <f>IFERROR(VLOOKUP(F831,Lists!$C:$D,2,0), "N/A")</f>
        <v>916.BF FLIPZ 25 LB BULK MILK CHOC</v>
      </c>
      <c r="H831" s="26">
        <f>IFERROR(VLOOKUP(F831,Lists!$C:$F,4,0),0)</f>
        <v>1.9508160000000001</v>
      </c>
      <c r="I831" s="7">
        <f t="shared" si="90"/>
        <v>1073</v>
      </c>
      <c r="J831" s="6">
        <f>40*25</f>
        <v>1000</v>
      </c>
      <c r="K831" s="33">
        <v>73</v>
      </c>
      <c r="L831" s="5">
        <f t="shared" si="88"/>
        <v>7.2999999999999995E-2</v>
      </c>
      <c r="M831" s="26">
        <f t="shared" si="89"/>
        <v>142.40956800000001</v>
      </c>
    </row>
    <row r="832" spans="1:13" x14ac:dyDescent="0.25">
      <c r="A832" s="16" t="str">
        <f t="shared" si="91"/>
        <v>May</v>
      </c>
      <c r="B832" s="31">
        <v>43956</v>
      </c>
      <c r="C832" s="32" t="s">
        <v>24</v>
      </c>
      <c r="D832" s="9" t="str">
        <f t="shared" si="87"/>
        <v>43956 - 3S</v>
      </c>
      <c r="E832" s="32" t="s">
        <v>11</v>
      </c>
      <c r="F832" s="2">
        <v>8000034</v>
      </c>
      <c r="G832" s="4" t="str">
        <f>IFERROR(VLOOKUP(F832,Lists!$C:$D,2,0), "N/A")</f>
        <v>KS MILK CHOC MACADAMIA</v>
      </c>
      <c r="H832" s="26">
        <f>IFERROR(VLOOKUP(F832,Lists!$C:$F,4,0),0)</f>
        <v>3.8943099999999999</v>
      </c>
      <c r="I832" s="7">
        <f t="shared" si="90"/>
        <v>4153</v>
      </c>
      <c r="J832" s="6">
        <v>4000</v>
      </c>
      <c r="K832" s="33">
        <v>153</v>
      </c>
      <c r="L832" s="5">
        <f t="shared" si="88"/>
        <v>3.8249999999999999E-2</v>
      </c>
      <c r="M832" s="26">
        <f t="shared" si="89"/>
        <v>595.82943</v>
      </c>
    </row>
    <row r="833" spans="1:13" x14ac:dyDescent="0.25">
      <c r="A833" s="16" t="str">
        <f t="shared" si="91"/>
        <v>May</v>
      </c>
      <c r="B833" s="31">
        <v>43956</v>
      </c>
      <c r="C833" s="32" t="s">
        <v>24</v>
      </c>
      <c r="D833" s="9" t="str">
        <f t="shared" si="87"/>
        <v>43956 - 3S</v>
      </c>
      <c r="E833" s="32" t="s">
        <v>15</v>
      </c>
      <c r="G833" s="4" t="str">
        <f>IFERROR(VLOOKUP(F833,Lists!$C:$D,2,0), "N/A")</f>
        <v>N/A</v>
      </c>
      <c r="H833" s="26">
        <f>IFERROR(VLOOKUP(F833,Lists!$C:$F,4,0),0)</f>
        <v>0</v>
      </c>
      <c r="I833" s="7">
        <f t="shared" si="90"/>
        <v>13</v>
      </c>
      <c r="K833" s="33">
        <v>13</v>
      </c>
      <c r="L833" s="5">
        <f t="shared" si="88"/>
        <v>1</v>
      </c>
      <c r="M833" s="26">
        <f t="shared" si="89"/>
        <v>0</v>
      </c>
    </row>
    <row r="834" spans="1:13" x14ac:dyDescent="0.25">
      <c r="A834" s="16" t="str">
        <f t="shared" si="91"/>
        <v>May</v>
      </c>
      <c r="B834" s="31">
        <v>43956</v>
      </c>
      <c r="C834" s="32" t="s">
        <v>25</v>
      </c>
      <c r="D834" s="9" t="str">
        <f t="shared" si="87"/>
        <v>43956 - 1S</v>
      </c>
      <c r="E834" s="32" t="s">
        <v>9</v>
      </c>
      <c r="F834" s="2">
        <v>8000035</v>
      </c>
      <c r="G834" s="4" t="str">
        <f>IFERROR(VLOOKUP(F834,Lists!$C:$D,2,0), "N/A")</f>
        <v>TURTLES MILK CHOC ORIGINAL</v>
      </c>
      <c r="H834" s="26">
        <f>IFERROR(VLOOKUP(F834,Lists!$C:$F,4,0),0)</f>
        <v>1.91178</v>
      </c>
      <c r="I834" s="7">
        <f t="shared" si="90"/>
        <v>9823.4</v>
      </c>
      <c r="J834" s="6">
        <v>9266.4</v>
      </c>
      <c r="K834" s="33">
        <v>557</v>
      </c>
      <c r="L834" s="5">
        <f t="shared" si="88"/>
        <v>6.0109643442976778E-2</v>
      </c>
      <c r="M834" s="26">
        <f t="shared" si="89"/>
        <v>1064.8614600000001</v>
      </c>
    </row>
    <row r="835" spans="1:13" x14ac:dyDescent="0.25">
      <c r="A835" s="16" t="str">
        <f t="shared" si="91"/>
        <v>May</v>
      </c>
      <c r="B835" s="31">
        <v>43956</v>
      </c>
      <c r="C835" s="32" t="s">
        <v>25</v>
      </c>
      <c r="D835" s="9" t="str">
        <f t="shared" si="87"/>
        <v>43956 - 1S</v>
      </c>
      <c r="E835" s="32" t="s">
        <v>10</v>
      </c>
      <c r="F835" s="2">
        <v>8000055</v>
      </c>
      <c r="G835" s="4" t="str">
        <f>IFERROR(VLOOKUP(F835,Lists!$C:$D,2,0), "N/A")</f>
        <v>916.BF FLIPZ 25 LB BULK MILK CHOC</v>
      </c>
      <c r="H835" s="26">
        <f>IFERROR(VLOOKUP(F835,Lists!$C:$F,4,0),0)</f>
        <v>1.9508160000000001</v>
      </c>
      <c r="I835" s="7">
        <f t="shared" si="90"/>
        <v>6019</v>
      </c>
      <c r="J835" s="6">
        <f>240*25</f>
        <v>6000</v>
      </c>
      <c r="K835" s="33">
        <v>19</v>
      </c>
      <c r="L835" s="5">
        <f t="shared" si="88"/>
        <v>3.1666666666666666E-3</v>
      </c>
      <c r="M835" s="26">
        <f t="shared" si="89"/>
        <v>37.065504000000004</v>
      </c>
    </row>
    <row r="836" spans="1:13" x14ac:dyDescent="0.25">
      <c r="A836" s="16" t="str">
        <f t="shared" si="91"/>
        <v>May</v>
      </c>
      <c r="B836" s="31">
        <v>43956</v>
      </c>
      <c r="C836" s="32" t="s">
        <v>25</v>
      </c>
      <c r="D836" s="9" t="str">
        <f t="shared" si="87"/>
        <v>43956 - 1S</v>
      </c>
      <c r="E836" s="32" t="s">
        <v>11</v>
      </c>
      <c r="F836" s="2">
        <v>8000034</v>
      </c>
      <c r="G836" s="4" t="str">
        <f>IFERROR(VLOOKUP(F836,Lists!$C:$D,2,0), "N/A")</f>
        <v>KS MILK CHOC MACADAMIA</v>
      </c>
      <c r="H836" s="26">
        <f>IFERROR(VLOOKUP(F836,Lists!$C:$F,4,0),0)</f>
        <v>3.8943099999999999</v>
      </c>
      <c r="I836" s="7">
        <f t="shared" si="90"/>
        <v>7325</v>
      </c>
      <c r="J836" s="6">
        <v>7200</v>
      </c>
      <c r="K836" s="33">
        <v>125</v>
      </c>
      <c r="L836" s="5">
        <f t="shared" si="88"/>
        <v>1.7361111111111112E-2</v>
      </c>
      <c r="M836" s="26">
        <f t="shared" si="89"/>
        <v>486.78874999999999</v>
      </c>
    </row>
    <row r="837" spans="1:13" x14ac:dyDescent="0.25">
      <c r="A837" s="16" t="str">
        <f t="shared" si="91"/>
        <v>May</v>
      </c>
      <c r="B837" s="31">
        <v>43956</v>
      </c>
      <c r="C837" s="32" t="s">
        <v>26</v>
      </c>
      <c r="D837" s="9" t="str">
        <f t="shared" si="87"/>
        <v>43956 - 2S</v>
      </c>
      <c r="E837" s="32" t="s">
        <v>10</v>
      </c>
      <c r="F837" s="2">
        <v>8000055</v>
      </c>
      <c r="G837" s="4" t="str">
        <f>IFERROR(VLOOKUP(F837,Lists!$C:$D,2,0), "N/A")</f>
        <v>916.BF FLIPZ 25 LB BULK MILK CHOC</v>
      </c>
      <c r="H837" s="26">
        <f>IFERROR(VLOOKUP(F837,Lists!$C:$F,4,0),0)</f>
        <v>1.9508160000000001</v>
      </c>
      <c r="I837" s="7">
        <f t="shared" si="90"/>
        <v>3050</v>
      </c>
      <c r="J837" s="6">
        <f>120*25</f>
        <v>3000</v>
      </c>
      <c r="K837" s="33">
        <v>50</v>
      </c>
      <c r="L837" s="5">
        <f t="shared" si="88"/>
        <v>1.6666666666666666E-2</v>
      </c>
      <c r="M837" s="26">
        <f t="shared" si="89"/>
        <v>97.540800000000004</v>
      </c>
    </row>
    <row r="838" spans="1:13" x14ac:dyDescent="0.25">
      <c r="A838" s="16" t="str">
        <f t="shared" si="91"/>
        <v>May</v>
      </c>
      <c r="B838" s="31">
        <v>43956</v>
      </c>
      <c r="C838" s="32" t="s">
        <v>26</v>
      </c>
      <c r="D838" s="9" t="str">
        <f t="shared" si="87"/>
        <v>43956 - 2S</v>
      </c>
      <c r="E838" s="32" t="s">
        <v>12</v>
      </c>
      <c r="F838" s="2">
        <v>8000031</v>
      </c>
      <c r="G838" s="4" t="str">
        <f>IFERROR(VLOOKUP(F838,Lists!$C:$D,2,0), "N/A")</f>
        <v>WIP.DCP FLIPZ  DARK CHOC PRETZEL</v>
      </c>
      <c r="H838" s="26">
        <f>IFERROR(VLOOKUP(F838,Lists!$C:$F,4,0),0)</f>
        <v>1.4516300000000002</v>
      </c>
      <c r="I838" s="7">
        <f t="shared" si="90"/>
        <v>6030</v>
      </c>
      <c r="J838" s="6">
        <f>240*25</f>
        <v>6000</v>
      </c>
      <c r="K838" s="33">
        <v>30</v>
      </c>
      <c r="L838" s="5">
        <f t="shared" si="88"/>
        <v>5.0000000000000001E-3</v>
      </c>
      <c r="M838" s="26">
        <f t="shared" si="89"/>
        <v>43.548900000000003</v>
      </c>
    </row>
    <row r="839" spans="1:13" x14ac:dyDescent="0.25">
      <c r="A839" s="16" t="str">
        <f t="shared" si="91"/>
        <v>May</v>
      </c>
      <c r="B839" s="31">
        <v>43957</v>
      </c>
      <c r="C839" s="32" t="s">
        <v>24</v>
      </c>
      <c r="D839" s="9" t="str">
        <f t="shared" si="87"/>
        <v>43957 - 3S</v>
      </c>
      <c r="E839" s="32" t="s">
        <v>11</v>
      </c>
      <c r="F839" s="2">
        <v>8000034</v>
      </c>
      <c r="G839" s="4" t="str">
        <f>IFERROR(VLOOKUP(F839,Lists!$C:$D,2,0), "N/A")</f>
        <v>KS MILK CHOC MACADAMIA</v>
      </c>
      <c r="H839" s="26">
        <f>IFERROR(VLOOKUP(F839,Lists!$C:$F,4,0),0)</f>
        <v>3.8943099999999999</v>
      </c>
      <c r="I839" s="7">
        <f t="shared" si="90"/>
        <v>7333</v>
      </c>
      <c r="J839" s="6">
        <v>7200</v>
      </c>
      <c r="K839" s="33">
        <v>133</v>
      </c>
      <c r="L839" s="5">
        <f t="shared" si="88"/>
        <v>1.8472222222222223E-2</v>
      </c>
      <c r="M839" s="26">
        <f t="shared" si="89"/>
        <v>517.94322999999997</v>
      </c>
    </row>
    <row r="840" spans="1:13" x14ac:dyDescent="0.25">
      <c r="A840" s="16" t="str">
        <f t="shared" si="91"/>
        <v>May</v>
      </c>
      <c r="B840" s="31">
        <v>43957</v>
      </c>
      <c r="C840" s="32" t="s">
        <v>26</v>
      </c>
      <c r="D840" s="9" t="str">
        <f t="shared" si="87"/>
        <v>43957 - 2S</v>
      </c>
      <c r="E840" s="32" t="s">
        <v>10</v>
      </c>
      <c r="F840" s="2">
        <v>8000055</v>
      </c>
      <c r="G840" s="4" t="str">
        <f>IFERROR(VLOOKUP(F840,Lists!$C:$D,2,0), "N/A")</f>
        <v>916.BF FLIPZ 25 LB BULK MILK CHOC</v>
      </c>
      <c r="H840" s="26">
        <f>IFERROR(VLOOKUP(F840,Lists!$C:$F,4,0),0)</f>
        <v>1.9508160000000001</v>
      </c>
      <c r="I840" s="7">
        <f t="shared" si="90"/>
        <v>4115</v>
      </c>
      <c r="J840" s="6">
        <f>160*25</f>
        <v>4000</v>
      </c>
      <c r="K840" s="33">
        <v>115</v>
      </c>
      <c r="L840" s="5">
        <f t="shared" si="88"/>
        <v>2.8750000000000001E-2</v>
      </c>
      <c r="M840" s="26">
        <f t="shared" si="89"/>
        <v>224.34384</v>
      </c>
    </row>
    <row r="841" spans="1:13" x14ac:dyDescent="0.25">
      <c r="A841" s="16" t="str">
        <f t="shared" si="91"/>
        <v>May</v>
      </c>
      <c r="B841" s="31">
        <v>43957</v>
      </c>
      <c r="C841" s="32" t="s">
        <v>25</v>
      </c>
      <c r="D841" s="9" t="str">
        <f t="shared" ref="D841:D903" si="92">CONCATENATE(B841," - ",C841)</f>
        <v>43957 - 1S</v>
      </c>
      <c r="E841" s="32" t="s">
        <v>9</v>
      </c>
      <c r="F841" s="2">
        <v>8000035</v>
      </c>
      <c r="G841" s="4" t="str">
        <f>IFERROR(VLOOKUP(F841,Lists!$C:$D,2,0), "N/A")</f>
        <v>TURTLES MILK CHOC ORIGINAL</v>
      </c>
      <c r="H841" s="26">
        <f>IFERROR(VLOOKUP(F841,Lists!$C:$F,4,0),0)</f>
        <v>1.91178</v>
      </c>
      <c r="I841" s="7">
        <f t="shared" si="90"/>
        <v>5515.6</v>
      </c>
      <c r="J841" s="6">
        <v>4989.6000000000004</v>
      </c>
      <c r="K841" s="33">
        <v>526</v>
      </c>
      <c r="L841" s="5">
        <f t="shared" ref="L841:L903" si="93">IFERROR((K841/J841),1)</f>
        <v>0.10541927208593875</v>
      </c>
      <c r="M841" s="26">
        <f t="shared" ref="M841:M903" si="94">K841*H841</f>
        <v>1005.59628</v>
      </c>
    </row>
    <row r="842" spans="1:13" x14ac:dyDescent="0.25">
      <c r="A842" s="16" t="str">
        <f t="shared" si="91"/>
        <v>May</v>
      </c>
      <c r="B842" s="31">
        <v>43957</v>
      </c>
      <c r="C842" s="32" t="s">
        <v>25</v>
      </c>
      <c r="D842" s="9" t="str">
        <f t="shared" si="92"/>
        <v>43957 - 1S</v>
      </c>
      <c r="E842" s="32" t="s">
        <v>10</v>
      </c>
      <c r="F842" s="2">
        <v>8000055</v>
      </c>
      <c r="G842" s="4" t="str">
        <f>IFERROR(VLOOKUP(F842,Lists!$C:$D,2,0), "N/A")</f>
        <v>916.BF FLIPZ 25 LB BULK MILK CHOC</v>
      </c>
      <c r="H842" s="26">
        <f>IFERROR(VLOOKUP(F842,Lists!$C:$F,4,0),0)</f>
        <v>1.9508160000000001</v>
      </c>
      <c r="I842" s="7">
        <f t="shared" si="90"/>
        <v>4071</v>
      </c>
      <c r="J842" s="6">
        <f>160*25</f>
        <v>4000</v>
      </c>
      <c r="K842" s="33">
        <v>71</v>
      </c>
      <c r="L842" s="5">
        <f t="shared" si="93"/>
        <v>1.7749999999999998E-2</v>
      </c>
      <c r="M842" s="26">
        <f t="shared" si="94"/>
        <v>138.507936</v>
      </c>
    </row>
    <row r="843" spans="1:13" x14ac:dyDescent="0.25">
      <c r="A843" s="16" t="str">
        <f t="shared" si="91"/>
        <v>May</v>
      </c>
      <c r="B843" s="31">
        <v>43957</v>
      </c>
      <c r="C843" s="32" t="s">
        <v>25</v>
      </c>
      <c r="D843" s="9" t="str">
        <f t="shared" si="92"/>
        <v>43957 - 1S</v>
      </c>
      <c r="E843" s="32" t="s">
        <v>11</v>
      </c>
      <c r="F843" s="2">
        <v>8000034</v>
      </c>
      <c r="G843" s="4" t="str">
        <f>IFERROR(VLOOKUP(F843,Lists!$C:$D,2,0), "N/A")</f>
        <v>KS MILK CHOC MACADAMIA</v>
      </c>
      <c r="H843" s="26">
        <f>IFERROR(VLOOKUP(F843,Lists!$C:$F,4,0),0)</f>
        <v>3.8943099999999999</v>
      </c>
      <c r="I843" s="7">
        <f t="shared" si="90"/>
        <v>8132</v>
      </c>
      <c r="J843" s="6">
        <v>8000</v>
      </c>
      <c r="K843" s="33">
        <v>132</v>
      </c>
      <c r="L843" s="5">
        <f t="shared" si="93"/>
        <v>1.6500000000000001E-2</v>
      </c>
      <c r="M843" s="26">
        <f t="shared" si="94"/>
        <v>514.04891999999995</v>
      </c>
    </row>
    <row r="844" spans="1:13" x14ac:dyDescent="0.25">
      <c r="A844" s="16" t="str">
        <f t="shared" si="91"/>
        <v>May</v>
      </c>
      <c r="B844" s="31">
        <v>43957</v>
      </c>
      <c r="C844" s="32" t="s">
        <v>25</v>
      </c>
      <c r="D844" s="9" t="str">
        <f t="shared" si="92"/>
        <v>43957 - 1S</v>
      </c>
      <c r="E844" s="32" t="s">
        <v>12</v>
      </c>
      <c r="F844" s="2">
        <v>8000031</v>
      </c>
      <c r="G844" s="4" t="str">
        <f>IFERROR(VLOOKUP(F844,Lists!$C:$D,2,0), "N/A")</f>
        <v>WIP.DCP FLIPZ  DARK CHOC PRETZEL</v>
      </c>
      <c r="H844" s="26">
        <f>IFERROR(VLOOKUP(F844,Lists!$C:$F,4,0),0)</f>
        <v>1.4516300000000002</v>
      </c>
      <c r="I844" s="7">
        <f t="shared" si="90"/>
        <v>9045</v>
      </c>
      <c r="J844" s="6">
        <f>360*25</f>
        <v>9000</v>
      </c>
      <c r="K844" s="33">
        <v>45</v>
      </c>
      <c r="L844" s="5">
        <f t="shared" si="93"/>
        <v>5.0000000000000001E-3</v>
      </c>
      <c r="M844" s="26">
        <f t="shared" si="94"/>
        <v>65.323350000000005</v>
      </c>
    </row>
    <row r="845" spans="1:13" x14ac:dyDescent="0.25">
      <c r="A845" s="16" t="str">
        <f t="shared" si="91"/>
        <v>May</v>
      </c>
      <c r="B845" s="31">
        <v>43957</v>
      </c>
      <c r="C845" s="32" t="s">
        <v>26</v>
      </c>
      <c r="D845" s="9" t="str">
        <f t="shared" si="92"/>
        <v>43957 - 2S</v>
      </c>
      <c r="E845" s="32" t="s">
        <v>10</v>
      </c>
      <c r="F845" s="2">
        <v>8000055</v>
      </c>
      <c r="G845" s="4" t="str">
        <f>IFERROR(VLOOKUP(F845,Lists!$C:$D,2,0), "N/A")</f>
        <v>916.BF FLIPZ 25 LB BULK MILK CHOC</v>
      </c>
      <c r="H845" s="26">
        <f>IFERROR(VLOOKUP(F845,Lists!$C:$F,4,0),0)</f>
        <v>1.9508160000000001</v>
      </c>
      <c r="I845" s="7">
        <f t="shared" si="90"/>
        <v>4066</v>
      </c>
      <c r="J845" s="6">
        <f>160*25</f>
        <v>4000</v>
      </c>
      <c r="K845" s="33">
        <v>66</v>
      </c>
      <c r="L845" s="5">
        <f t="shared" si="93"/>
        <v>1.6500000000000001E-2</v>
      </c>
      <c r="M845" s="26">
        <f t="shared" si="94"/>
        <v>128.75385600000001</v>
      </c>
    </row>
    <row r="846" spans="1:13" x14ac:dyDescent="0.25">
      <c r="A846" s="16" t="str">
        <f t="shared" si="91"/>
        <v>May</v>
      </c>
      <c r="B846" s="31">
        <v>43957</v>
      </c>
      <c r="C846" s="32" t="s">
        <v>26</v>
      </c>
      <c r="D846" s="9" t="str">
        <f t="shared" si="92"/>
        <v>43957 - 2S</v>
      </c>
      <c r="E846" s="32" t="s">
        <v>11</v>
      </c>
      <c r="F846" s="2">
        <v>8000034</v>
      </c>
      <c r="G846" s="4" t="str">
        <f>IFERROR(VLOOKUP(F846,Lists!$C:$D,2,0), "N/A")</f>
        <v>KS MILK CHOC MACADAMIA</v>
      </c>
      <c r="H846" s="26">
        <f>IFERROR(VLOOKUP(F846,Lists!$C:$F,4,0),0)</f>
        <v>3.8943099999999999</v>
      </c>
      <c r="I846" s="7">
        <f t="shared" si="90"/>
        <v>4815</v>
      </c>
      <c r="J846" s="6">
        <v>4800</v>
      </c>
      <c r="K846" s="33">
        <v>15</v>
      </c>
      <c r="L846" s="5">
        <f t="shared" si="93"/>
        <v>3.1250000000000002E-3</v>
      </c>
      <c r="M846" s="26">
        <f t="shared" si="94"/>
        <v>58.414650000000002</v>
      </c>
    </row>
    <row r="847" spans="1:13" x14ac:dyDescent="0.25">
      <c r="A847" s="16" t="str">
        <f t="shared" si="91"/>
        <v>May</v>
      </c>
      <c r="B847" s="31">
        <v>43957</v>
      </c>
      <c r="C847" s="32" t="s">
        <v>26</v>
      </c>
      <c r="D847" s="9" t="str">
        <f t="shared" si="92"/>
        <v>43957 - 2S</v>
      </c>
      <c r="E847" s="32" t="s">
        <v>15</v>
      </c>
      <c r="G847" s="4" t="str">
        <f>IFERROR(VLOOKUP(F847,Lists!$C:$D,2,0), "N/A")</f>
        <v>N/A</v>
      </c>
      <c r="H847" s="26">
        <f>IFERROR(VLOOKUP(F847,Lists!$C:$F,4,0),0)</f>
        <v>0</v>
      </c>
      <c r="I847" s="7">
        <f t="shared" si="90"/>
        <v>7</v>
      </c>
      <c r="K847" s="33">
        <v>7</v>
      </c>
      <c r="L847" s="5">
        <f t="shared" si="93"/>
        <v>1</v>
      </c>
      <c r="M847" s="26">
        <f t="shared" si="94"/>
        <v>0</v>
      </c>
    </row>
    <row r="848" spans="1:13" x14ac:dyDescent="0.25">
      <c r="A848" s="16" t="str">
        <f t="shared" si="91"/>
        <v>May</v>
      </c>
      <c r="B848" s="31">
        <v>43958</v>
      </c>
      <c r="C848" s="32" t="s">
        <v>24</v>
      </c>
      <c r="D848" s="9" t="str">
        <f t="shared" si="92"/>
        <v>43958 - 3S</v>
      </c>
      <c r="E848" s="32" t="s">
        <v>9</v>
      </c>
      <c r="F848" s="2">
        <v>8000035</v>
      </c>
      <c r="G848" s="4" t="str">
        <f>IFERROR(VLOOKUP(F848,Lists!$C:$D,2,0), "N/A")</f>
        <v>TURTLES MILK CHOC ORIGINAL</v>
      </c>
      <c r="H848" s="26">
        <f>IFERROR(VLOOKUP(F848,Lists!$C:$F,4,0),0)</f>
        <v>1.91178</v>
      </c>
      <c r="I848" s="7">
        <f t="shared" si="90"/>
        <v>4519.8</v>
      </c>
      <c r="J848" s="6">
        <v>4276.8</v>
      </c>
      <c r="K848" s="33">
        <v>243</v>
      </c>
      <c r="L848" s="5">
        <f t="shared" si="93"/>
        <v>5.6818181818181816E-2</v>
      </c>
      <c r="M848" s="26">
        <f t="shared" si="94"/>
        <v>464.56254000000001</v>
      </c>
    </row>
    <row r="849" spans="1:13" x14ac:dyDescent="0.25">
      <c r="A849" s="16" t="str">
        <f t="shared" si="91"/>
        <v>May</v>
      </c>
      <c r="B849" s="31">
        <v>43958</v>
      </c>
      <c r="C849" s="32" t="s">
        <v>24</v>
      </c>
      <c r="D849" s="9" t="str">
        <f t="shared" si="92"/>
        <v>43958 - 3S</v>
      </c>
      <c r="E849" s="32" t="s">
        <v>10</v>
      </c>
      <c r="F849" s="2">
        <v>8000055</v>
      </c>
      <c r="G849" s="4" t="str">
        <f>IFERROR(VLOOKUP(F849,Lists!$C:$D,2,0), "N/A")</f>
        <v>916.BF FLIPZ 25 LB BULK MILK CHOC</v>
      </c>
      <c r="H849" s="26">
        <f>IFERROR(VLOOKUP(F849,Lists!$C:$F,4,0),0)</f>
        <v>1.9508160000000001</v>
      </c>
      <c r="I849" s="7">
        <f t="shared" si="90"/>
        <v>4067</v>
      </c>
      <c r="J849" s="6">
        <f>160*25</f>
        <v>4000</v>
      </c>
      <c r="K849" s="33">
        <v>67</v>
      </c>
      <c r="L849" s="5">
        <f t="shared" si="93"/>
        <v>1.6750000000000001E-2</v>
      </c>
      <c r="M849" s="26">
        <f t="shared" si="94"/>
        <v>130.70467200000002</v>
      </c>
    </row>
    <row r="850" spans="1:13" x14ac:dyDescent="0.25">
      <c r="A850" s="16" t="str">
        <f t="shared" si="91"/>
        <v>May</v>
      </c>
      <c r="B850" s="31">
        <v>43958</v>
      </c>
      <c r="C850" s="32" t="s">
        <v>24</v>
      </c>
      <c r="D850" s="9" t="str">
        <f t="shared" si="92"/>
        <v>43958 - 3S</v>
      </c>
      <c r="E850" s="32" t="s">
        <v>11</v>
      </c>
      <c r="F850" s="2">
        <v>8000034</v>
      </c>
      <c r="G850" s="4" t="str">
        <f>IFERROR(VLOOKUP(F850,Lists!$C:$D,2,0), "N/A")</f>
        <v>KS MILK CHOC MACADAMIA</v>
      </c>
      <c r="H850" s="26">
        <f>IFERROR(VLOOKUP(F850,Lists!$C:$F,4,0),0)</f>
        <v>3.8943099999999999</v>
      </c>
      <c r="I850" s="7">
        <f t="shared" si="90"/>
        <v>6435</v>
      </c>
      <c r="J850" s="6">
        <v>6400</v>
      </c>
      <c r="K850" s="33">
        <v>35</v>
      </c>
      <c r="L850" s="5">
        <f t="shared" si="93"/>
        <v>5.4687499999999997E-3</v>
      </c>
      <c r="M850" s="26">
        <f t="shared" si="94"/>
        <v>136.30085</v>
      </c>
    </row>
    <row r="851" spans="1:13" x14ac:dyDescent="0.25">
      <c r="A851" s="16" t="str">
        <f t="shared" si="91"/>
        <v>May</v>
      </c>
      <c r="B851" s="31">
        <v>43958</v>
      </c>
      <c r="C851" s="32" t="s">
        <v>25</v>
      </c>
      <c r="D851" s="9" t="str">
        <f t="shared" si="92"/>
        <v>43958 - 1S</v>
      </c>
      <c r="E851" s="32" t="s">
        <v>10</v>
      </c>
      <c r="F851" s="2">
        <v>8000055</v>
      </c>
      <c r="G851" s="4" t="str">
        <f>IFERROR(VLOOKUP(F851,Lists!$C:$D,2,0), "N/A")</f>
        <v>916.BF FLIPZ 25 LB BULK MILK CHOC</v>
      </c>
      <c r="H851" s="26">
        <f>IFERROR(VLOOKUP(F851,Lists!$C:$F,4,0),0)</f>
        <v>1.9508160000000001</v>
      </c>
      <c r="I851" s="7">
        <f t="shared" si="90"/>
        <v>4219</v>
      </c>
      <c r="J851" s="6">
        <f>160*25</f>
        <v>4000</v>
      </c>
      <c r="K851" s="33">
        <v>219</v>
      </c>
      <c r="L851" s="5">
        <f t="shared" si="93"/>
        <v>5.475E-2</v>
      </c>
      <c r="M851" s="26">
        <f t="shared" si="94"/>
        <v>427.22870400000005</v>
      </c>
    </row>
    <row r="852" spans="1:13" x14ac:dyDescent="0.25">
      <c r="A852" s="16" t="str">
        <f t="shared" si="91"/>
        <v>May</v>
      </c>
      <c r="B852" s="31">
        <v>43958</v>
      </c>
      <c r="C852" s="32" t="s">
        <v>25</v>
      </c>
      <c r="D852" s="9" t="str">
        <f t="shared" si="92"/>
        <v>43958 - 1S</v>
      </c>
      <c r="E852" s="32" t="s">
        <v>11</v>
      </c>
      <c r="F852" s="2">
        <v>8000034</v>
      </c>
      <c r="G852" s="4" t="str">
        <f>IFERROR(VLOOKUP(F852,Lists!$C:$D,2,0), "N/A")</f>
        <v>KS MILK CHOC MACADAMIA</v>
      </c>
      <c r="H852" s="26">
        <f>IFERROR(VLOOKUP(F852,Lists!$C:$F,4,0),0)</f>
        <v>3.8943099999999999</v>
      </c>
      <c r="I852" s="7">
        <f t="shared" si="90"/>
        <v>7364</v>
      </c>
      <c r="J852" s="6">
        <v>7200</v>
      </c>
      <c r="K852" s="33">
        <v>164</v>
      </c>
      <c r="L852" s="5">
        <f t="shared" si="93"/>
        <v>2.2777777777777779E-2</v>
      </c>
      <c r="M852" s="26">
        <f t="shared" si="94"/>
        <v>638.66683999999998</v>
      </c>
    </row>
    <row r="853" spans="1:13" x14ac:dyDescent="0.25">
      <c r="A853" s="16" t="str">
        <f t="shared" si="91"/>
        <v>May</v>
      </c>
      <c r="B853" s="31">
        <v>43958</v>
      </c>
      <c r="C853" s="32" t="s">
        <v>25</v>
      </c>
      <c r="D853" s="9" t="str">
        <f t="shared" si="92"/>
        <v>43958 - 1S</v>
      </c>
      <c r="E853" s="32" t="s">
        <v>12</v>
      </c>
      <c r="F853" s="2">
        <v>8000031</v>
      </c>
      <c r="G853" s="4" t="str">
        <f>IFERROR(VLOOKUP(F853,Lists!$C:$D,2,0), "N/A")</f>
        <v>WIP.DCP FLIPZ  DARK CHOC PRETZEL</v>
      </c>
      <c r="H853" s="26">
        <f>IFERROR(VLOOKUP(F853,Lists!$C:$F,4,0),0)</f>
        <v>1.4516300000000002</v>
      </c>
      <c r="I853" s="7">
        <f t="shared" si="90"/>
        <v>8060</v>
      </c>
      <c r="J853" s="6">
        <f>320*25</f>
        <v>8000</v>
      </c>
      <c r="K853" s="33">
        <v>60</v>
      </c>
      <c r="L853" s="5">
        <f t="shared" si="93"/>
        <v>7.4999999999999997E-3</v>
      </c>
      <c r="M853" s="26">
        <f t="shared" si="94"/>
        <v>87.097800000000007</v>
      </c>
    </row>
    <row r="854" spans="1:13" x14ac:dyDescent="0.25">
      <c r="A854" s="16" t="str">
        <f t="shared" si="91"/>
        <v>May</v>
      </c>
      <c r="B854" s="31">
        <v>43958</v>
      </c>
      <c r="C854" s="32" t="s">
        <v>26</v>
      </c>
      <c r="D854" s="9" t="str">
        <f t="shared" si="92"/>
        <v>43958 - 2S</v>
      </c>
      <c r="E854" s="32" t="s">
        <v>10</v>
      </c>
      <c r="F854" s="2">
        <v>8000055</v>
      </c>
      <c r="G854" s="4" t="str">
        <f>IFERROR(VLOOKUP(F854,Lists!$C:$D,2,0), "N/A")</f>
        <v>916.BF FLIPZ 25 LB BULK MILK CHOC</v>
      </c>
      <c r="H854" s="26">
        <f>IFERROR(VLOOKUP(F854,Lists!$C:$F,4,0),0)</f>
        <v>1.9508160000000001</v>
      </c>
      <c r="I854" s="7">
        <f t="shared" si="90"/>
        <v>4092</v>
      </c>
      <c r="J854" s="6">
        <f>160*25</f>
        <v>4000</v>
      </c>
      <c r="K854" s="33">
        <v>92</v>
      </c>
      <c r="L854" s="5">
        <f t="shared" si="93"/>
        <v>2.3E-2</v>
      </c>
      <c r="M854" s="26">
        <f t="shared" si="94"/>
        <v>179.47507200000001</v>
      </c>
    </row>
    <row r="855" spans="1:13" x14ac:dyDescent="0.25">
      <c r="A855" s="16" t="str">
        <f t="shared" si="91"/>
        <v>May</v>
      </c>
      <c r="B855" s="31">
        <v>43958</v>
      </c>
      <c r="C855" s="32" t="s">
        <v>26</v>
      </c>
      <c r="D855" s="9" t="str">
        <f t="shared" si="92"/>
        <v>43958 - 2S</v>
      </c>
      <c r="E855" s="32" t="s">
        <v>11</v>
      </c>
      <c r="F855" s="2">
        <v>8000034</v>
      </c>
      <c r="G855" s="4" t="str">
        <f>IFERROR(VLOOKUP(F855,Lists!$C:$D,2,0), "N/A")</f>
        <v>KS MILK CHOC MACADAMIA</v>
      </c>
      <c r="H855" s="26">
        <f>IFERROR(VLOOKUP(F855,Lists!$C:$F,4,0),0)</f>
        <v>3.8943099999999999</v>
      </c>
      <c r="I855" s="7">
        <f t="shared" si="90"/>
        <v>3300</v>
      </c>
      <c r="J855" s="6">
        <v>3200</v>
      </c>
      <c r="K855" s="33">
        <v>100</v>
      </c>
      <c r="L855" s="5">
        <f t="shared" si="93"/>
        <v>3.125E-2</v>
      </c>
      <c r="M855" s="26">
        <f t="shared" si="94"/>
        <v>389.43099999999998</v>
      </c>
    </row>
    <row r="856" spans="1:13" x14ac:dyDescent="0.25">
      <c r="A856" s="16" t="str">
        <f t="shared" si="91"/>
        <v>May</v>
      </c>
      <c r="B856" s="31">
        <v>43958</v>
      </c>
      <c r="C856" s="32" t="s">
        <v>26</v>
      </c>
      <c r="D856" s="9" t="str">
        <f t="shared" si="92"/>
        <v>43958 - 2S</v>
      </c>
      <c r="E856" s="32" t="s">
        <v>12</v>
      </c>
      <c r="F856" s="2">
        <v>8000031</v>
      </c>
      <c r="G856" s="4" t="str">
        <f>IFERROR(VLOOKUP(F856,Lists!$C:$D,2,0), "N/A")</f>
        <v>WIP.DCP FLIPZ  DARK CHOC PRETZEL</v>
      </c>
      <c r="H856" s="26">
        <f>IFERROR(VLOOKUP(F856,Lists!$C:$F,4,0),0)</f>
        <v>1.4516300000000002</v>
      </c>
      <c r="I856" s="7">
        <f t="shared" si="90"/>
        <v>2238</v>
      </c>
      <c r="J856" s="6">
        <f>87*25</f>
        <v>2175</v>
      </c>
      <c r="K856" s="33">
        <v>63</v>
      </c>
      <c r="L856" s="5">
        <f t="shared" si="93"/>
        <v>2.8965517241379312E-2</v>
      </c>
      <c r="M856" s="26">
        <f t="shared" si="94"/>
        <v>91.452690000000018</v>
      </c>
    </row>
    <row r="857" spans="1:13" x14ac:dyDescent="0.25">
      <c r="A857" s="16" t="str">
        <f t="shared" si="91"/>
        <v>May</v>
      </c>
      <c r="B857" s="31">
        <v>43959</v>
      </c>
      <c r="C857" s="32" t="s">
        <v>24</v>
      </c>
      <c r="D857" s="9" t="str">
        <f t="shared" si="92"/>
        <v>43959 - 3S</v>
      </c>
      <c r="E857" s="32" t="s">
        <v>9</v>
      </c>
      <c r="F857" s="2">
        <v>8000038</v>
      </c>
      <c r="G857" s="4" t="str">
        <f>IFERROR(VLOOKUP(F857,Lists!$C:$D,2,0), "N/A")</f>
        <v>TURTLES MILK CHOC PEC BITE SZ</v>
      </c>
      <c r="H857" s="26">
        <f>IFERROR(VLOOKUP(F857,Lists!$C:$F,4,0),0)</f>
        <v>1.96</v>
      </c>
      <c r="I857" s="7">
        <f t="shared" si="90"/>
        <v>2698</v>
      </c>
      <c r="J857" s="6">
        <v>2106</v>
      </c>
      <c r="K857" s="33">
        <v>592</v>
      </c>
      <c r="L857" s="5">
        <f t="shared" si="93"/>
        <v>0.28110161443494774</v>
      </c>
      <c r="M857" s="26">
        <f t="shared" si="94"/>
        <v>1160.32</v>
      </c>
    </row>
    <row r="858" spans="1:13" x14ac:dyDescent="0.25">
      <c r="A858" s="16" t="str">
        <f t="shared" si="91"/>
        <v>May</v>
      </c>
      <c r="B858" s="31">
        <v>43959</v>
      </c>
      <c r="C858" s="32" t="s">
        <v>24</v>
      </c>
      <c r="D858" s="9" t="str">
        <f t="shared" si="92"/>
        <v>43959 - 3S</v>
      </c>
      <c r="E858" s="32" t="s">
        <v>10</v>
      </c>
      <c r="F858" s="2">
        <v>8000055</v>
      </c>
      <c r="G858" s="4" t="str">
        <f>IFERROR(VLOOKUP(F858,Lists!$C:$D,2,0), "N/A")</f>
        <v>916.BF FLIPZ 25 LB BULK MILK CHOC</v>
      </c>
      <c r="H858" s="26">
        <f>IFERROR(VLOOKUP(F858,Lists!$C:$F,4,0),0)</f>
        <v>1.9508160000000001</v>
      </c>
      <c r="I858" s="7">
        <f t="shared" si="90"/>
        <v>4013</v>
      </c>
      <c r="J858" s="6">
        <f>160*25</f>
        <v>4000</v>
      </c>
      <c r="K858" s="33">
        <v>13</v>
      </c>
      <c r="L858" s="5">
        <f t="shared" si="93"/>
        <v>3.2499999999999999E-3</v>
      </c>
      <c r="M858" s="26">
        <f t="shared" si="94"/>
        <v>25.360608000000003</v>
      </c>
    </row>
    <row r="859" spans="1:13" x14ac:dyDescent="0.25">
      <c r="A859" s="16" t="str">
        <f t="shared" si="91"/>
        <v>May</v>
      </c>
      <c r="B859" s="31">
        <v>43959</v>
      </c>
      <c r="C859" s="32" t="s">
        <v>25</v>
      </c>
      <c r="D859" s="9" t="str">
        <f t="shared" si="92"/>
        <v>43959 - 1S</v>
      </c>
      <c r="E859" s="32" t="s">
        <v>9</v>
      </c>
      <c r="F859" s="2">
        <v>8000038</v>
      </c>
      <c r="G859" s="4" t="str">
        <f>IFERROR(VLOOKUP(F859,Lists!$C:$D,2,0), "N/A")</f>
        <v>TURTLES MILK CHOC PEC BITE SZ</v>
      </c>
      <c r="H859" s="26">
        <f>IFERROR(VLOOKUP(F859,Lists!$C:$F,4,0),0)</f>
        <v>1.96</v>
      </c>
      <c r="I859" s="7">
        <f t="shared" si="90"/>
        <v>6199</v>
      </c>
      <c r="J859" s="6">
        <v>5760</v>
      </c>
      <c r="K859" s="33">
        <v>439</v>
      </c>
      <c r="L859" s="5">
        <f t="shared" si="93"/>
        <v>7.6215277777777785E-2</v>
      </c>
      <c r="M859" s="26">
        <f t="shared" si="94"/>
        <v>860.43999999999994</v>
      </c>
    </row>
    <row r="860" spans="1:13" x14ac:dyDescent="0.25">
      <c r="A860" s="16" t="str">
        <f t="shared" si="91"/>
        <v>May</v>
      </c>
      <c r="B860" s="31">
        <v>43959</v>
      </c>
      <c r="C860" s="32" t="s">
        <v>25</v>
      </c>
      <c r="D860" s="9" t="str">
        <f t="shared" si="92"/>
        <v>43959 - 1S</v>
      </c>
      <c r="E860" s="32" t="s">
        <v>13</v>
      </c>
      <c r="F860" s="2">
        <v>8000055</v>
      </c>
      <c r="G860" s="4" t="str">
        <f>IFERROR(VLOOKUP(F860,Lists!$C:$D,2,0), "N/A")</f>
        <v>916.BF FLIPZ 25 LB BULK MILK CHOC</v>
      </c>
      <c r="H860" s="26">
        <f>IFERROR(VLOOKUP(F860,Lists!$C:$F,4,0),0)</f>
        <v>1.9508160000000001</v>
      </c>
      <c r="I860" s="7">
        <f t="shared" si="90"/>
        <v>1209</v>
      </c>
      <c r="J860" s="6">
        <f>40*25</f>
        <v>1000</v>
      </c>
      <c r="K860" s="33">
        <v>209</v>
      </c>
      <c r="L860" s="5">
        <f t="shared" si="93"/>
        <v>0.20899999999999999</v>
      </c>
      <c r="M860" s="26">
        <f t="shared" si="94"/>
        <v>407.72054400000002</v>
      </c>
    </row>
    <row r="861" spans="1:13" x14ac:dyDescent="0.25">
      <c r="A861" s="16" t="str">
        <f t="shared" si="91"/>
        <v>May</v>
      </c>
      <c r="B861" s="31">
        <v>43959</v>
      </c>
      <c r="C861" s="32" t="s">
        <v>26</v>
      </c>
      <c r="D861" s="9" t="str">
        <f t="shared" si="92"/>
        <v>43959 - 2S</v>
      </c>
      <c r="E861" s="32" t="s">
        <v>10</v>
      </c>
      <c r="F861" s="2">
        <v>8000055</v>
      </c>
      <c r="G861" s="4" t="str">
        <f>IFERROR(VLOOKUP(F861,Lists!$C:$D,2,0), "N/A")</f>
        <v>916.BF FLIPZ 25 LB BULK MILK CHOC</v>
      </c>
      <c r="H861" s="26">
        <f>IFERROR(VLOOKUP(F861,Lists!$C:$F,4,0),0)</f>
        <v>1.9508160000000001</v>
      </c>
      <c r="I861" s="7">
        <f t="shared" si="90"/>
        <v>5069</v>
      </c>
      <c r="J861" s="6">
        <f>200*25</f>
        <v>5000</v>
      </c>
      <c r="K861" s="33">
        <v>69</v>
      </c>
      <c r="L861" s="5">
        <f t="shared" si="93"/>
        <v>1.38E-2</v>
      </c>
      <c r="M861" s="26">
        <f t="shared" si="94"/>
        <v>134.60630399999999</v>
      </c>
    </row>
    <row r="862" spans="1:13" x14ac:dyDescent="0.25">
      <c r="A862" s="16" t="str">
        <f t="shared" si="91"/>
        <v>May</v>
      </c>
      <c r="B862" s="31">
        <v>43960</v>
      </c>
      <c r="C862" s="32" t="s">
        <v>24</v>
      </c>
      <c r="D862" s="9" t="str">
        <f t="shared" si="92"/>
        <v>43960 - 3S</v>
      </c>
      <c r="E862" s="32" t="s">
        <v>13</v>
      </c>
      <c r="F862" s="2">
        <v>8000055</v>
      </c>
      <c r="G862" s="4" t="str">
        <f>IFERROR(VLOOKUP(F862,Lists!$C:$D,2,0), "N/A")</f>
        <v>916.BF FLIPZ 25 LB BULK MILK CHOC</v>
      </c>
      <c r="H862" s="26">
        <f>IFERROR(VLOOKUP(F862,Lists!$C:$F,4,0),0)</f>
        <v>1.9508160000000001</v>
      </c>
      <c r="I862" s="7">
        <f t="shared" si="90"/>
        <v>3025</v>
      </c>
      <c r="J862" s="6">
        <f>120*25</f>
        <v>3000</v>
      </c>
      <c r="K862" s="33">
        <v>25</v>
      </c>
      <c r="L862" s="5">
        <f t="shared" si="93"/>
        <v>8.3333333333333332E-3</v>
      </c>
      <c r="M862" s="26">
        <f t="shared" si="94"/>
        <v>48.770400000000002</v>
      </c>
    </row>
    <row r="863" spans="1:13" x14ac:dyDescent="0.25">
      <c r="A863" s="16" t="str">
        <f t="shared" si="91"/>
        <v>May</v>
      </c>
      <c r="B863" s="31">
        <v>43960</v>
      </c>
      <c r="C863" s="32" t="s">
        <v>24</v>
      </c>
      <c r="D863" s="9" t="str">
        <f t="shared" si="92"/>
        <v>43960 - 3S</v>
      </c>
      <c r="E863" s="32" t="s">
        <v>15</v>
      </c>
      <c r="G863" s="4" t="str">
        <f>IFERROR(VLOOKUP(F863,Lists!$C:$D,2,0), "N/A")</f>
        <v>N/A</v>
      </c>
      <c r="H863" s="26">
        <f>IFERROR(VLOOKUP(F863,Lists!$C:$F,4,0),0)</f>
        <v>0</v>
      </c>
      <c r="I863" s="7">
        <f t="shared" si="90"/>
        <v>3</v>
      </c>
      <c r="K863" s="33">
        <v>3</v>
      </c>
      <c r="L863" s="5">
        <f t="shared" si="93"/>
        <v>1</v>
      </c>
      <c r="M863" s="26">
        <f t="shared" si="94"/>
        <v>0</v>
      </c>
    </row>
    <row r="864" spans="1:13" x14ac:dyDescent="0.25">
      <c r="A864" s="16" t="str">
        <f t="shared" si="91"/>
        <v>May</v>
      </c>
      <c r="B864" s="31">
        <v>43960</v>
      </c>
      <c r="C864" s="32" t="s">
        <v>25</v>
      </c>
      <c r="D864" s="9" t="str">
        <f t="shared" si="92"/>
        <v>43960 - 1S</v>
      </c>
      <c r="E864" s="32" t="s">
        <v>10</v>
      </c>
      <c r="F864" s="2">
        <v>8000055</v>
      </c>
      <c r="G864" s="4" t="str">
        <f>IFERROR(VLOOKUP(F864,Lists!$C:$D,2,0), "N/A")</f>
        <v>916.BF FLIPZ 25 LB BULK MILK CHOC</v>
      </c>
      <c r="H864" s="26">
        <f>IFERROR(VLOOKUP(F864,Lists!$C:$F,4,0),0)</f>
        <v>1.9508160000000001</v>
      </c>
      <c r="I864" s="7">
        <f t="shared" si="90"/>
        <v>17047</v>
      </c>
      <c r="J864" s="6">
        <f>(360+320)*25</f>
        <v>17000</v>
      </c>
      <c r="K864" s="33">
        <v>47</v>
      </c>
      <c r="L864" s="5">
        <f t="shared" si="93"/>
        <v>2.7647058823529413E-3</v>
      </c>
      <c r="M864" s="26">
        <f t="shared" si="94"/>
        <v>91.688352000000009</v>
      </c>
    </row>
    <row r="865" spans="1:13" x14ac:dyDescent="0.25">
      <c r="A865" s="16" t="str">
        <f t="shared" si="91"/>
        <v>May</v>
      </c>
      <c r="B865" s="31">
        <v>43961</v>
      </c>
      <c r="C865" s="32" t="s">
        <v>24</v>
      </c>
      <c r="D865" s="9" t="str">
        <f t="shared" si="92"/>
        <v>43961 - 3S</v>
      </c>
      <c r="E865" s="32" t="s">
        <v>10</v>
      </c>
      <c r="F865" s="2">
        <v>8000055</v>
      </c>
      <c r="G865" s="4" t="str">
        <f>IFERROR(VLOOKUP(F865,Lists!$C:$D,2,0), "N/A")</f>
        <v>916.BF FLIPZ 25 LB BULK MILK CHOC</v>
      </c>
      <c r="H865" s="26">
        <f>IFERROR(VLOOKUP(F865,Lists!$C:$F,4,0),0)</f>
        <v>1.9508160000000001</v>
      </c>
      <c r="I865" s="7">
        <f t="shared" si="90"/>
        <v>15115</v>
      </c>
      <c r="J865" s="6">
        <f>600*25</f>
        <v>15000</v>
      </c>
      <c r="K865" s="33">
        <v>115</v>
      </c>
      <c r="L865" s="5">
        <f t="shared" si="93"/>
        <v>7.6666666666666662E-3</v>
      </c>
      <c r="M865" s="26">
        <f t="shared" si="94"/>
        <v>224.34384</v>
      </c>
    </row>
    <row r="866" spans="1:13" x14ac:dyDescent="0.25">
      <c r="A866" s="16" t="str">
        <f t="shared" si="91"/>
        <v>May</v>
      </c>
      <c r="B866" s="31">
        <v>43962</v>
      </c>
      <c r="C866" s="32" t="s">
        <v>24</v>
      </c>
      <c r="D866" s="9" t="str">
        <f t="shared" si="92"/>
        <v>43962 - 3S</v>
      </c>
      <c r="E866" s="32" t="s">
        <v>9</v>
      </c>
      <c r="F866" s="2">
        <v>8000038</v>
      </c>
      <c r="G866" s="4" t="str">
        <f>IFERROR(VLOOKUP(F866,Lists!$C:$D,2,0), "N/A")</f>
        <v>TURTLES MILK CHOC PEC BITE SZ</v>
      </c>
      <c r="H866" s="26">
        <f>IFERROR(VLOOKUP(F866,Lists!$C:$F,4,0),0)</f>
        <v>1.96</v>
      </c>
      <c r="I866" s="7">
        <f t="shared" si="90"/>
        <v>1484.84</v>
      </c>
      <c r="J866" s="6">
        <v>1287.8399999999999</v>
      </c>
      <c r="K866" s="33">
        <v>197</v>
      </c>
      <c r="L866" s="5">
        <f t="shared" si="93"/>
        <v>0.15296931295813146</v>
      </c>
      <c r="M866" s="26">
        <f t="shared" si="94"/>
        <v>386.12</v>
      </c>
    </row>
    <row r="867" spans="1:13" x14ac:dyDescent="0.25">
      <c r="A867" s="16" t="str">
        <f t="shared" si="91"/>
        <v>May</v>
      </c>
      <c r="B867" s="31">
        <v>43962</v>
      </c>
      <c r="C867" s="32" t="s">
        <v>24</v>
      </c>
      <c r="D867" s="9" t="str">
        <f t="shared" si="92"/>
        <v>43962 - 3S</v>
      </c>
      <c r="E867" s="32" t="s">
        <v>10</v>
      </c>
      <c r="F867" s="2">
        <v>8000055</v>
      </c>
      <c r="G867" s="4" t="str">
        <f>IFERROR(VLOOKUP(F867,Lists!$C:$D,2,0), "N/A")</f>
        <v>916.BF FLIPZ 25 LB BULK MILK CHOC</v>
      </c>
      <c r="H867" s="26">
        <f>IFERROR(VLOOKUP(F867,Lists!$C:$F,4,0),0)</f>
        <v>1.9508160000000001</v>
      </c>
      <c r="I867" s="7">
        <f t="shared" si="90"/>
        <v>231</v>
      </c>
      <c r="J867" s="6">
        <f>0</f>
        <v>0</v>
      </c>
      <c r="K867" s="33">
        <v>231</v>
      </c>
      <c r="L867" s="5">
        <f t="shared" si="93"/>
        <v>1</v>
      </c>
      <c r="M867" s="26">
        <f t="shared" si="94"/>
        <v>450.63849600000003</v>
      </c>
    </row>
    <row r="868" spans="1:13" x14ac:dyDescent="0.25">
      <c r="A868" s="16" t="str">
        <f t="shared" si="91"/>
        <v>May</v>
      </c>
      <c r="B868" s="31">
        <v>43962</v>
      </c>
      <c r="C868" s="32" t="s">
        <v>25</v>
      </c>
      <c r="D868" s="9" t="str">
        <f t="shared" si="92"/>
        <v>43962 - 1S</v>
      </c>
      <c r="E868" s="32" t="s">
        <v>9</v>
      </c>
      <c r="F868" s="2">
        <v>8000038</v>
      </c>
      <c r="G868" s="4" t="str">
        <f>IFERROR(VLOOKUP(F868,Lists!$C:$D,2,0), "N/A")</f>
        <v>TURTLES MILK CHOC PEC BITE SZ</v>
      </c>
      <c r="H868" s="26">
        <f>IFERROR(VLOOKUP(F868,Lists!$C:$F,4,0),0)</f>
        <v>1.96</v>
      </c>
      <c r="I868" s="7">
        <f t="shared" si="90"/>
        <v>3651.84</v>
      </c>
      <c r="J868" s="6">
        <v>2727.84</v>
      </c>
      <c r="K868" s="33">
        <v>924</v>
      </c>
      <c r="L868" s="5">
        <f t="shared" si="93"/>
        <v>0.33872954425479501</v>
      </c>
      <c r="M868" s="26">
        <f t="shared" si="94"/>
        <v>1811.04</v>
      </c>
    </row>
    <row r="869" spans="1:13" x14ac:dyDescent="0.25">
      <c r="A869" s="16" t="str">
        <f t="shared" si="91"/>
        <v>May</v>
      </c>
      <c r="B869" s="31">
        <v>43962</v>
      </c>
      <c r="C869" s="32" t="s">
        <v>25</v>
      </c>
      <c r="D869" s="9" t="str">
        <f t="shared" si="92"/>
        <v>43962 - 1S</v>
      </c>
      <c r="E869" s="32" t="s">
        <v>10</v>
      </c>
      <c r="F869" s="2">
        <v>8000055</v>
      </c>
      <c r="G869" s="4" t="str">
        <f>IFERROR(VLOOKUP(F869,Lists!$C:$D,2,0), "N/A")</f>
        <v>916.BF FLIPZ 25 LB BULK MILK CHOC</v>
      </c>
      <c r="H869" s="26">
        <f>IFERROR(VLOOKUP(F869,Lists!$C:$F,4,0),0)</f>
        <v>1.9508160000000001</v>
      </c>
      <c r="I869" s="7">
        <f t="shared" si="90"/>
        <v>2147</v>
      </c>
      <c r="J869" s="6">
        <f>80*25</f>
        <v>2000</v>
      </c>
      <c r="K869" s="33">
        <v>147</v>
      </c>
      <c r="L869" s="5">
        <f t="shared" si="93"/>
        <v>7.3499999999999996E-2</v>
      </c>
      <c r="M869" s="26">
        <f t="shared" si="94"/>
        <v>286.76995199999999</v>
      </c>
    </row>
    <row r="870" spans="1:13" x14ac:dyDescent="0.25">
      <c r="A870" s="16" t="str">
        <f t="shared" si="91"/>
        <v>May</v>
      </c>
      <c r="B870" s="31">
        <v>43962</v>
      </c>
      <c r="C870" s="32" t="s">
        <v>25</v>
      </c>
      <c r="D870" s="9" t="str">
        <f t="shared" si="92"/>
        <v>43962 - 1S</v>
      </c>
      <c r="E870" s="32" t="s">
        <v>13</v>
      </c>
      <c r="F870" s="2">
        <v>8000055</v>
      </c>
      <c r="G870" s="4" t="str">
        <f>IFERROR(VLOOKUP(F870,Lists!$C:$D,2,0), "N/A")</f>
        <v>916.BF FLIPZ 25 LB BULK MILK CHOC</v>
      </c>
      <c r="H870" s="26">
        <f>IFERROR(VLOOKUP(F870,Lists!$C:$F,4,0),0)</f>
        <v>1.9508160000000001</v>
      </c>
      <c r="I870" s="7">
        <f t="shared" si="90"/>
        <v>1011</v>
      </c>
      <c r="J870" s="6">
        <f>40*25</f>
        <v>1000</v>
      </c>
      <c r="K870" s="33">
        <v>11</v>
      </c>
      <c r="L870" s="5">
        <f t="shared" si="93"/>
        <v>1.0999999999999999E-2</v>
      </c>
      <c r="M870" s="26">
        <f t="shared" si="94"/>
        <v>21.458976</v>
      </c>
    </row>
    <row r="871" spans="1:13" x14ac:dyDescent="0.25">
      <c r="A871" s="16" t="str">
        <f t="shared" si="91"/>
        <v>May</v>
      </c>
      <c r="B871" s="31">
        <v>43962</v>
      </c>
      <c r="C871" s="32" t="s">
        <v>26</v>
      </c>
      <c r="D871" s="9" t="str">
        <f t="shared" si="92"/>
        <v>43962 - 2S</v>
      </c>
      <c r="E871" s="32" t="s">
        <v>9</v>
      </c>
      <c r="F871" s="2">
        <v>8000038</v>
      </c>
      <c r="G871" s="4" t="str">
        <f>IFERROR(VLOOKUP(F871,Lists!$C:$D,2,0), "N/A")</f>
        <v>TURTLES MILK CHOC PEC BITE SZ</v>
      </c>
      <c r="H871" s="26">
        <f>IFERROR(VLOOKUP(F871,Lists!$C:$F,4,0),0)</f>
        <v>1.96</v>
      </c>
      <c r="I871" s="7">
        <f t="shared" si="90"/>
        <v>2676.52</v>
      </c>
      <c r="J871" s="6">
        <v>2423.52</v>
      </c>
      <c r="K871" s="33">
        <v>253</v>
      </c>
      <c r="L871" s="5">
        <f t="shared" si="93"/>
        <v>0.10439360929557008</v>
      </c>
      <c r="M871" s="26">
        <f t="shared" si="94"/>
        <v>495.88</v>
      </c>
    </row>
    <row r="872" spans="1:13" x14ac:dyDescent="0.25">
      <c r="A872" s="16" t="str">
        <f t="shared" si="91"/>
        <v>May</v>
      </c>
      <c r="B872" s="31">
        <v>43962</v>
      </c>
      <c r="C872" s="32" t="s">
        <v>26</v>
      </c>
      <c r="D872" s="9" t="str">
        <f t="shared" si="92"/>
        <v>43962 - 2S</v>
      </c>
      <c r="E872" s="32" t="s">
        <v>10</v>
      </c>
      <c r="F872" s="2">
        <v>8000055</v>
      </c>
      <c r="G872" s="4" t="str">
        <f>IFERROR(VLOOKUP(F872,Lists!$C:$D,2,0), "N/A")</f>
        <v>916.BF FLIPZ 25 LB BULK MILK CHOC</v>
      </c>
      <c r="H872" s="26">
        <f>IFERROR(VLOOKUP(F872,Lists!$C:$F,4,0),0)</f>
        <v>1.9508160000000001</v>
      </c>
      <c r="I872" s="7">
        <f t="shared" si="90"/>
        <v>1256</v>
      </c>
      <c r="J872" s="6">
        <f>40*25</f>
        <v>1000</v>
      </c>
      <c r="K872" s="33">
        <v>256</v>
      </c>
      <c r="L872" s="5">
        <f t="shared" si="93"/>
        <v>0.25600000000000001</v>
      </c>
      <c r="M872" s="26">
        <f t="shared" si="94"/>
        <v>499.40889600000003</v>
      </c>
    </row>
    <row r="873" spans="1:13" x14ac:dyDescent="0.25">
      <c r="A873" s="16" t="str">
        <f t="shared" si="91"/>
        <v>May</v>
      </c>
      <c r="B873" s="31">
        <v>43962</v>
      </c>
      <c r="C873" s="32" t="s">
        <v>26</v>
      </c>
      <c r="D873" s="9" t="str">
        <f t="shared" si="92"/>
        <v>43962 - 2S</v>
      </c>
      <c r="E873" s="32" t="s">
        <v>11</v>
      </c>
      <c r="F873" s="2">
        <v>8000034</v>
      </c>
      <c r="G873" s="4" t="str">
        <f>IFERROR(VLOOKUP(F873,Lists!$C:$D,2,0), "N/A")</f>
        <v>KS MILK CHOC MACADAMIA</v>
      </c>
      <c r="H873" s="26">
        <f>IFERROR(VLOOKUP(F873,Lists!$C:$F,4,0),0)</f>
        <v>3.8943099999999999</v>
      </c>
      <c r="I873" s="7">
        <f t="shared" si="90"/>
        <v>4084</v>
      </c>
      <c r="J873" s="6">
        <v>4000</v>
      </c>
      <c r="K873" s="33">
        <v>84</v>
      </c>
      <c r="L873" s="5">
        <f t="shared" si="93"/>
        <v>2.1000000000000001E-2</v>
      </c>
      <c r="M873" s="26">
        <f t="shared" si="94"/>
        <v>327.12203999999997</v>
      </c>
    </row>
    <row r="874" spans="1:13" x14ac:dyDescent="0.25">
      <c r="A874" s="16" t="str">
        <f t="shared" si="91"/>
        <v>May</v>
      </c>
      <c r="B874" s="31">
        <v>43962</v>
      </c>
      <c r="C874" s="32" t="s">
        <v>26</v>
      </c>
      <c r="D874" s="9" t="str">
        <f t="shared" si="92"/>
        <v>43962 - 2S</v>
      </c>
      <c r="E874" s="32" t="s">
        <v>13</v>
      </c>
      <c r="F874" s="2">
        <v>8000055</v>
      </c>
      <c r="G874" s="4" t="str">
        <f>IFERROR(VLOOKUP(F874,Lists!$C:$D,2,0), "N/A")</f>
        <v>916.BF FLIPZ 25 LB BULK MILK CHOC</v>
      </c>
      <c r="H874" s="26">
        <f>IFERROR(VLOOKUP(F874,Lists!$C:$F,4,0),0)</f>
        <v>1.9508160000000001</v>
      </c>
      <c r="I874" s="7">
        <f t="shared" si="90"/>
        <v>2003</v>
      </c>
      <c r="J874" s="6">
        <f>80*25</f>
        <v>2000</v>
      </c>
      <c r="K874" s="33">
        <v>3</v>
      </c>
      <c r="L874" s="5">
        <f t="shared" si="93"/>
        <v>1.5E-3</v>
      </c>
      <c r="M874" s="26">
        <f t="shared" si="94"/>
        <v>5.8524480000000008</v>
      </c>
    </row>
    <row r="875" spans="1:13" x14ac:dyDescent="0.25">
      <c r="A875" s="16" t="str">
        <f t="shared" si="91"/>
        <v>May</v>
      </c>
      <c r="B875" s="31">
        <v>43962</v>
      </c>
      <c r="C875" s="32" t="s">
        <v>26</v>
      </c>
      <c r="D875" s="9" t="str">
        <f t="shared" si="92"/>
        <v>43962 - 2S</v>
      </c>
      <c r="E875" s="32" t="s">
        <v>15</v>
      </c>
      <c r="G875" s="4" t="str">
        <f>IFERROR(VLOOKUP(F875,Lists!$C:$D,2,0), "N/A")</f>
        <v>N/A</v>
      </c>
      <c r="H875" s="26">
        <f>IFERROR(VLOOKUP(F875,Lists!$C:$F,4,0),0)</f>
        <v>0</v>
      </c>
      <c r="I875" s="7">
        <f t="shared" si="90"/>
        <v>23</v>
      </c>
      <c r="K875" s="33">
        <v>23</v>
      </c>
      <c r="L875" s="5">
        <f t="shared" si="93"/>
        <v>1</v>
      </c>
      <c r="M875" s="26">
        <f t="shared" si="94"/>
        <v>0</v>
      </c>
    </row>
    <row r="876" spans="1:13" x14ac:dyDescent="0.25">
      <c r="A876" s="16" t="str">
        <f t="shared" si="91"/>
        <v>May</v>
      </c>
      <c r="B876" s="31">
        <v>43963</v>
      </c>
      <c r="C876" s="32" t="s">
        <v>24</v>
      </c>
      <c r="D876" s="9" t="str">
        <f t="shared" si="92"/>
        <v>43963 - 3S</v>
      </c>
      <c r="E876" s="32" t="s">
        <v>9</v>
      </c>
      <c r="F876" s="2">
        <v>8000038</v>
      </c>
      <c r="G876" s="4" t="str">
        <f>IFERROR(VLOOKUP(F876,Lists!$C:$D,2,0), "N/A")</f>
        <v>TURTLES MILK CHOC PEC BITE SZ</v>
      </c>
      <c r="H876" s="26">
        <f>IFERROR(VLOOKUP(F876,Lists!$C:$F,4,0),0)</f>
        <v>1.96</v>
      </c>
      <c r="I876" s="7">
        <f t="shared" si="90"/>
        <v>3943.84</v>
      </c>
      <c r="J876" s="6">
        <v>3447.84</v>
      </c>
      <c r="K876" s="33">
        <v>496</v>
      </c>
      <c r="L876" s="5">
        <f t="shared" si="93"/>
        <v>0.14385818367441644</v>
      </c>
      <c r="M876" s="26">
        <f t="shared" si="94"/>
        <v>972.16</v>
      </c>
    </row>
    <row r="877" spans="1:13" x14ac:dyDescent="0.25">
      <c r="A877" s="16" t="str">
        <f t="shared" si="91"/>
        <v>May</v>
      </c>
      <c r="B877" s="31">
        <v>43963</v>
      </c>
      <c r="C877" s="32" t="s">
        <v>24</v>
      </c>
      <c r="D877" s="9" t="str">
        <f t="shared" si="92"/>
        <v>43963 - 3S</v>
      </c>
      <c r="E877" s="32" t="s">
        <v>10</v>
      </c>
      <c r="F877" s="2">
        <v>8000055</v>
      </c>
      <c r="G877" s="4" t="str">
        <f>IFERROR(VLOOKUP(F877,Lists!$C:$D,2,0), "N/A")</f>
        <v>916.BF FLIPZ 25 LB BULK MILK CHOC</v>
      </c>
      <c r="H877" s="26">
        <f>IFERROR(VLOOKUP(F877,Lists!$C:$F,4,0),0)</f>
        <v>1.9508160000000001</v>
      </c>
      <c r="I877" s="7">
        <f t="shared" ref="I877:I940" si="95">J877+K877</f>
        <v>1004</v>
      </c>
      <c r="J877" s="6">
        <f>40*25</f>
        <v>1000</v>
      </c>
      <c r="K877" s="33">
        <v>4</v>
      </c>
      <c r="L877" s="5">
        <f t="shared" si="93"/>
        <v>4.0000000000000001E-3</v>
      </c>
      <c r="M877" s="26">
        <f t="shared" si="94"/>
        <v>7.8032640000000004</v>
      </c>
    </row>
    <row r="878" spans="1:13" x14ac:dyDescent="0.25">
      <c r="A878" s="16" t="str">
        <f t="shared" si="91"/>
        <v>May</v>
      </c>
      <c r="B878" s="31">
        <v>43963</v>
      </c>
      <c r="C878" s="32" t="s">
        <v>24</v>
      </c>
      <c r="D878" s="9" t="str">
        <f t="shared" si="92"/>
        <v>43963 - 3S</v>
      </c>
      <c r="E878" s="32" t="s">
        <v>11</v>
      </c>
      <c r="F878" s="2">
        <v>8000034</v>
      </c>
      <c r="G878" s="4" t="str">
        <f>IFERROR(VLOOKUP(F878,Lists!$C:$D,2,0), "N/A")</f>
        <v>KS MILK CHOC MACADAMIA</v>
      </c>
      <c r="H878" s="26">
        <f>IFERROR(VLOOKUP(F878,Lists!$C:$F,4,0),0)</f>
        <v>3.8943099999999999</v>
      </c>
      <c r="I878" s="7">
        <f t="shared" si="95"/>
        <v>5700</v>
      </c>
      <c r="J878" s="6">
        <v>5600</v>
      </c>
      <c r="K878" s="33">
        <v>100</v>
      </c>
      <c r="L878" s="5">
        <f t="shared" si="93"/>
        <v>1.7857142857142856E-2</v>
      </c>
      <c r="M878" s="26">
        <f t="shared" si="94"/>
        <v>389.43099999999998</v>
      </c>
    </row>
    <row r="879" spans="1:13" x14ac:dyDescent="0.25">
      <c r="A879" s="16" t="str">
        <f t="shared" si="91"/>
        <v>May</v>
      </c>
      <c r="B879" s="31">
        <v>43963</v>
      </c>
      <c r="C879" s="32" t="s">
        <v>25</v>
      </c>
      <c r="D879" s="9" t="str">
        <f t="shared" si="92"/>
        <v>43963 - 1S</v>
      </c>
      <c r="E879" s="32" t="s">
        <v>9</v>
      </c>
      <c r="F879" s="2">
        <v>8000038</v>
      </c>
      <c r="G879" s="4" t="str">
        <f>IFERROR(VLOOKUP(F879,Lists!$C:$D,2,0), "N/A")</f>
        <v>TURTLES MILK CHOC PEC BITE SZ</v>
      </c>
      <c r="H879" s="26">
        <f>IFERROR(VLOOKUP(F879,Lists!$C:$F,4,0),0)</f>
        <v>1.96</v>
      </c>
      <c r="I879" s="7">
        <f t="shared" si="95"/>
        <v>5444.84</v>
      </c>
      <c r="J879" s="6">
        <v>4887.84</v>
      </c>
      <c r="K879" s="33">
        <v>557</v>
      </c>
      <c r="L879" s="5">
        <f t="shared" si="93"/>
        <v>0.1139562669809159</v>
      </c>
      <c r="M879" s="26">
        <f t="shared" si="94"/>
        <v>1091.72</v>
      </c>
    </row>
    <row r="880" spans="1:13" x14ac:dyDescent="0.25">
      <c r="A880" s="16" t="str">
        <f t="shared" si="91"/>
        <v>May</v>
      </c>
      <c r="B880" s="31">
        <v>43963</v>
      </c>
      <c r="C880" s="32" t="s">
        <v>25</v>
      </c>
      <c r="D880" s="9" t="str">
        <f t="shared" si="92"/>
        <v>43963 - 1S</v>
      </c>
      <c r="E880" s="32" t="s">
        <v>10</v>
      </c>
      <c r="F880" s="2">
        <v>8000055</v>
      </c>
      <c r="G880" s="4" t="str">
        <f>IFERROR(VLOOKUP(F880,Lists!$C:$D,2,0), "N/A")</f>
        <v>916.BF FLIPZ 25 LB BULK MILK CHOC</v>
      </c>
      <c r="H880" s="26">
        <f>IFERROR(VLOOKUP(F880,Lists!$C:$F,4,0),0)</f>
        <v>1.9508160000000001</v>
      </c>
      <c r="I880" s="7">
        <f t="shared" si="95"/>
        <v>2066</v>
      </c>
      <c r="J880" s="6">
        <f>80*25</f>
        <v>2000</v>
      </c>
      <c r="K880" s="33">
        <v>66</v>
      </c>
      <c r="L880" s="5">
        <f t="shared" si="93"/>
        <v>3.3000000000000002E-2</v>
      </c>
      <c r="M880" s="26">
        <f t="shared" si="94"/>
        <v>128.75385600000001</v>
      </c>
    </row>
    <row r="881" spans="1:13" x14ac:dyDescent="0.25">
      <c r="A881" s="16" t="str">
        <f t="shared" si="91"/>
        <v>May</v>
      </c>
      <c r="B881" s="31">
        <v>43963</v>
      </c>
      <c r="C881" s="32" t="s">
        <v>25</v>
      </c>
      <c r="D881" s="9" t="str">
        <f t="shared" si="92"/>
        <v>43963 - 1S</v>
      </c>
      <c r="E881" s="32" t="s">
        <v>11</v>
      </c>
      <c r="F881" s="2">
        <v>8000034</v>
      </c>
      <c r="G881" s="4" t="str">
        <f>IFERROR(VLOOKUP(F881,Lists!$C:$D,2,0), "N/A")</f>
        <v>KS MILK CHOC MACADAMIA</v>
      </c>
      <c r="H881" s="26">
        <f>IFERROR(VLOOKUP(F881,Lists!$C:$F,4,0),0)</f>
        <v>3.8943099999999999</v>
      </c>
      <c r="I881" s="7">
        <f t="shared" si="95"/>
        <v>8120</v>
      </c>
      <c r="J881" s="6">
        <v>8000</v>
      </c>
      <c r="K881" s="33">
        <v>120</v>
      </c>
      <c r="L881" s="5">
        <f t="shared" si="93"/>
        <v>1.4999999999999999E-2</v>
      </c>
      <c r="M881" s="26">
        <f t="shared" si="94"/>
        <v>467.31720000000001</v>
      </c>
    </row>
    <row r="882" spans="1:13" x14ac:dyDescent="0.25">
      <c r="A882" s="16" t="str">
        <f t="shared" ref="A882:A945" si="96">TEXT(B882,"mmmm")</f>
        <v>May</v>
      </c>
      <c r="B882" s="31">
        <v>43963</v>
      </c>
      <c r="C882" s="32" t="s">
        <v>25</v>
      </c>
      <c r="D882" s="9" t="str">
        <f t="shared" si="92"/>
        <v>43963 - 1S</v>
      </c>
      <c r="E882" s="32" t="s">
        <v>12</v>
      </c>
      <c r="F882" s="2">
        <v>8000031</v>
      </c>
      <c r="G882" s="4" t="str">
        <f>IFERROR(VLOOKUP(F882,Lists!$C:$D,2,0), "N/A")</f>
        <v>WIP.DCP FLIPZ  DARK CHOC PRETZEL</v>
      </c>
      <c r="H882" s="26">
        <f>IFERROR(VLOOKUP(F882,Lists!$C:$F,4,0),0)</f>
        <v>1.4516300000000002</v>
      </c>
      <c r="I882" s="7">
        <f t="shared" si="95"/>
        <v>8013</v>
      </c>
      <c r="J882" s="6">
        <f>320*25</f>
        <v>8000</v>
      </c>
      <c r="K882" s="33">
        <v>13</v>
      </c>
      <c r="L882" s="5">
        <f t="shared" si="93"/>
        <v>1.6249999999999999E-3</v>
      </c>
      <c r="M882" s="26">
        <f t="shared" si="94"/>
        <v>18.871190000000002</v>
      </c>
    </row>
    <row r="883" spans="1:13" x14ac:dyDescent="0.25">
      <c r="A883" s="16" t="str">
        <f t="shared" si="96"/>
        <v>May</v>
      </c>
      <c r="B883" s="31">
        <v>43963</v>
      </c>
      <c r="C883" s="32" t="s">
        <v>26</v>
      </c>
      <c r="D883" s="9" t="str">
        <f t="shared" si="92"/>
        <v>43963 - 2S</v>
      </c>
      <c r="E883" s="32" t="s">
        <v>9</v>
      </c>
      <c r="F883" s="2">
        <v>8000038</v>
      </c>
      <c r="G883" s="4" t="str">
        <f>IFERROR(VLOOKUP(F883,Lists!$C:$D,2,0), "N/A")</f>
        <v>TURTLES MILK CHOC PEC BITE SZ</v>
      </c>
      <c r="H883" s="26">
        <f>IFERROR(VLOOKUP(F883,Lists!$C:$F,4,0),0)</f>
        <v>1.96</v>
      </c>
      <c r="I883" s="7">
        <f t="shared" si="95"/>
        <v>3299.84</v>
      </c>
      <c r="J883" s="6">
        <v>2727.84</v>
      </c>
      <c r="K883" s="33">
        <v>572</v>
      </c>
      <c r="L883" s="5">
        <f t="shared" si="93"/>
        <v>0.20968971787201593</v>
      </c>
      <c r="M883" s="26">
        <f t="shared" si="94"/>
        <v>1121.1199999999999</v>
      </c>
    </row>
    <row r="884" spans="1:13" x14ac:dyDescent="0.25">
      <c r="A884" s="16" t="str">
        <f t="shared" si="96"/>
        <v>May</v>
      </c>
      <c r="B884" s="31">
        <v>43963</v>
      </c>
      <c r="C884" s="32" t="s">
        <v>26</v>
      </c>
      <c r="D884" s="9" t="str">
        <f t="shared" si="92"/>
        <v>43963 - 2S</v>
      </c>
      <c r="E884" s="32" t="s">
        <v>10</v>
      </c>
      <c r="F884" s="2">
        <v>8000055</v>
      </c>
      <c r="G884" s="4" t="str">
        <f>IFERROR(VLOOKUP(F884,Lists!$C:$D,2,0), "N/A")</f>
        <v>916.BF FLIPZ 25 LB BULK MILK CHOC</v>
      </c>
      <c r="H884" s="26">
        <f>IFERROR(VLOOKUP(F884,Lists!$C:$F,4,0),0)</f>
        <v>1.9508160000000001</v>
      </c>
      <c r="I884" s="7">
        <f t="shared" si="95"/>
        <v>2050</v>
      </c>
      <c r="J884" s="6">
        <f>80*25</f>
        <v>2000</v>
      </c>
      <c r="K884" s="33">
        <v>50</v>
      </c>
      <c r="L884" s="5">
        <f t="shared" si="93"/>
        <v>2.5000000000000001E-2</v>
      </c>
      <c r="M884" s="26">
        <f t="shared" si="94"/>
        <v>97.540800000000004</v>
      </c>
    </row>
    <row r="885" spans="1:13" x14ac:dyDescent="0.25">
      <c r="A885" s="16" t="str">
        <f t="shared" si="96"/>
        <v>May</v>
      </c>
      <c r="B885" s="31">
        <v>43963</v>
      </c>
      <c r="C885" s="32" t="s">
        <v>26</v>
      </c>
      <c r="D885" s="9" t="str">
        <f t="shared" si="92"/>
        <v>43963 - 2S</v>
      </c>
      <c r="E885" s="32" t="s">
        <v>11</v>
      </c>
      <c r="F885" s="2">
        <v>8000034</v>
      </c>
      <c r="G885" s="4" t="str">
        <f>IFERROR(VLOOKUP(F885,Lists!$C:$D,2,0), "N/A")</f>
        <v>KS MILK CHOC MACADAMIA</v>
      </c>
      <c r="H885" s="26">
        <f>IFERROR(VLOOKUP(F885,Lists!$C:$F,4,0),0)</f>
        <v>3.8943099999999999</v>
      </c>
      <c r="I885" s="7">
        <f t="shared" si="95"/>
        <v>5800</v>
      </c>
      <c r="J885" s="6">
        <v>5600</v>
      </c>
      <c r="K885" s="33">
        <v>200</v>
      </c>
      <c r="L885" s="5">
        <f t="shared" si="93"/>
        <v>3.5714285714285712E-2</v>
      </c>
      <c r="M885" s="26">
        <f t="shared" si="94"/>
        <v>778.86199999999997</v>
      </c>
    </row>
    <row r="886" spans="1:13" x14ac:dyDescent="0.25">
      <c r="A886" s="16" t="str">
        <f t="shared" si="96"/>
        <v>May</v>
      </c>
      <c r="B886" s="31">
        <v>43963</v>
      </c>
      <c r="C886" s="32" t="s">
        <v>26</v>
      </c>
      <c r="D886" s="9" t="str">
        <f t="shared" si="92"/>
        <v>43963 - 2S</v>
      </c>
      <c r="E886" s="32" t="s">
        <v>15</v>
      </c>
      <c r="G886" s="4" t="str">
        <f>IFERROR(VLOOKUP(F886,Lists!$C:$D,2,0), "N/A")</f>
        <v>N/A</v>
      </c>
      <c r="H886" s="26">
        <f>IFERROR(VLOOKUP(F886,Lists!$C:$F,4,0),0)</f>
        <v>0</v>
      </c>
      <c r="I886" s="7">
        <f t="shared" si="95"/>
        <v>10</v>
      </c>
      <c r="K886" s="33">
        <v>10</v>
      </c>
      <c r="L886" s="5">
        <f t="shared" si="93"/>
        <v>1</v>
      </c>
      <c r="M886" s="26">
        <f t="shared" si="94"/>
        <v>0</v>
      </c>
    </row>
    <row r="887" spans="1:13" x14ac:dyDescent="0.25">
      <c r="A887" s="16" t="str">
        <f t="shared" si="96"/>
        <v>May</v>
      </c>
      <c r="B887" s="31">
        <v>43964</v>
      </c>
      <c r="C887" s="32" t="s">
        <v>24</v>
      </c>
      <c r="D887" s="9" t="str">
        <f t="shared" si="92"/>
        <v>43964 - 3S</v>
      </c>
      <c r="E887" s="32" t="s">
        <v>9</v>
      </c>
      <c r="F887" s="2">
        <v>8000038</v>
      </c>
      <c r="G887" s="4" t="str">
        <f>IFERROR(VLOOKUP(F887,Lists!$C:$D,2,0), "N/A")</f>
        <v>TURTLES MILK CHOC PEC BITE SZ</v>
      </c>
      <c r="H887" s="26">
        <f>IFERROR(VLOOKUP(F887,Lists!$C:$F,4,0),0)</f>
        <v>1.96</v>
      </c>
      <c r="I887" s="7">
        <f t="shared" si="95"/>
        <v>2529</v>
      </c>
      <c r="J887" s="6">
        <v>2160</v>
      </c>
      <c r="K887" s="33">
        <v>369</v>
      </c>
      <c r="L887" s="5">
        <f t="shared" si="93"/>
        <v>0.17083333333333334</v>
      </c>
      <c r="M887" s="26">
        <f t="shared" si="94"/>
        <v>723.24</v>
      </c>
    </row>
    <row r="888" spans="1:13" x14ac:dyDescent="0.25">
      <c r="A888" s="16" t="str">
        <f t="shared" si="96"/>
        <v>May</v>
      </c>
      <c r="B888" s="31">
        <v>43964</v>
      </c>
      <c r="C888" s="32" t="s">
        <v>24</v>
      </c>
      <c r="D888" s="9" t="str">
        <f t="shared" si="92"/>
        <v>43964 - 3S</v>
      </c>
      <c r="E888" s="32" t="s">
        <v>10</v>
      </c>
      <c r="F888" s="2">
        <v>8000055</v>
      </c>
      <c r="G888" s="4" t="str">
        <f>IFERROR(VLOOKUP(F888,Lists!$C:$D,2,0), "N/A")</f>
        <v>916.BF FLIPZ 25 LB BULK MILK CHOC</v>
      </c>
      <c r="H888" s="26">
        <f>IFERROR(VLOOKUP(F888,Lists!$C:$F,4,0),0)</f>
        <v>1.9508160000000001</v>
      </c>
      <c r="I888" s="7">
        <f t="shared" si="95"/>
        <v>2046</v>
      </c>
      <c r="J888" s="6">
        <f>80*25</f>
        <v>2000</v>
      </c>
      <c r="K888" s="33">
        <v>46</v>
      </c>
      <c r="L888" s="5">
        <f t="shared" si="93"/>
        <v>2.3E-2</v>
      </c>
      <c r="M888" s="26">
        <f t="shared" si="94"/>
        <v>89.737536000000006</v>
      </c>
    </row>
    <row r="889" spans="1:13" x14ac:dyDescent="0.25">
      <c r="A889" s="16" t="str">
        <f t="shared" si="96"/>
        <v>May</v>
      </c>
      <c r="B889" s="31">
        <v>43964</v>
      </c>
      <c r="C889" s="32" t="s">
        <v>24</v>
      </c>
      <c r="D889" s="9" t="str">
        <f t="shared" si="92"/>
        <v>43964 - 3S</v>
      </c>
      <c r="E889" s="32" t="s">
        <v>11</v>
      </c>
      <c r="F889" s="2">
        <v>8000034</v>
      </c>
      <c r="G889" s="4" t="str">
        <f>IFERROR(VLOOKUP(F889,Lists!$C:$D,2,0), "N/A")</f>
        <v>KS MILK CHOC MACADAMIA</v>
      </c>
      <c r="H889" s="26">
        <f>IFERROR(VLOOKUP(F889,Lists!$C:$F,4,0),0)</f>
        <v>3.8943099999999999</v>
      </c>
      <c r="I889" s="7">
        <f t="shared" si="95"/>
        <v>7287</v>
      </c>
      <c r="J889" s="6">
        <v>7200</v>
      </c>
      <c r="K889" s="33">
        <v>87</v>
      </c>
      <c r="L889" s="5">
        <f t="shared" si="93"/>
        <v>1.2083333333333333E-2</v>
      </c>
      <c r="M889" s="26">
        <f t="shared" si="94"/>
        <v>338.80496999999997</v>
      </c>
    </row>
    <row r="890" spans="1:13" x14ac:dyDescent="0.25">
      <c r="A890" s="16" t="str">
        <f t="shared" si="96"/>
        <v>May</v>
      </c>
      <c r="B890" s="31">
        <v>43964</v>
      </c>
      <c r="C890" s="32" t="s">
        <v>25</v>
      </c>
      <c r="D890" s="9" t="str">
        <f t="shared" si="92"/>
        <v>43964 - 1S</v>
      </c>
      <c r="E890" s="32" t="s">
        <v>9</v>
      </c>
      <c r="F890" s="2">
        <v>8000038</v>
      </c>
      <c r="G890" s="4" t="str">
        <f>IFERROR(VLOOKUP(F890,Lists!$C:$D,2,0), "N/A")</f>
        <v>TURTLES MILK CHOC PEC BITE SZ</v>
      </c>
      <c r="H890" s="26">
        <f>IFERROR(VLOOKUP(F890,Lists!$C:$F,4,0),0)</f>
        <v>1.96</v>
      </c>
      <c r="I890" s="7">
        <f t="shared" si="95"/>
        <v>3474.68</v>
      </c>
      <c r="J890" s="6">
        <v>3295.68</v>
      </c>
      <c r="K890" s="33">
        <v>179</v>
      </c>
      <c r="L890" s="5">
        <f t="shared" si="93"/>
        <v>5.4313525585008259E-2</v>
      </c>
      <c r="M890" s="26">
        <f t="shared" si="94"/>
        <v>350.84</v>
      </c>
    </row>
    <row r="891" spans="1:13" x14ac:dyDescent="0.25">
      <c r="A891" s="16" t="str">
        <f t="shared" si="96"/>
        <v>May</v>
      </c>
      <c r="B891" s="31">
        <v>43964</v>
      </c>
      <c r="C891" s="32" t="s">
        <v>25</v>
      </c>
      <c r="D891" s="9" t="str">
        <f t="shared" si="92"/>
        <v>43964 - 1S</v>
      </c>
      <c r="E891" s="32" t="s">
        <v>10</v>
      </c>
      <c r="F891" s="2">
        <v>8000055</v>
      </c>
      <c r="G891" s="4" t="str">
        <f>IFERROR(VLOOKUP(F891,Lists!$C:$D,2,0), "N/A")</f>
        <v>916.BF FLIPZ 25 LB BULK MILK CHOC</v>
      </c>
      <c r="H891" s="26">
        <f>IFERROR(VLOOKUP(F891,Lists!$C:$F,4,0),0)</f>
        <v>1.9508160000000001</v>
      </c>
      <c r="I891" s="7">
        <f t="shared" si="95"/>
        <v>38</v>
      </c>
      <c r="J891" s="6">
        <v>0</v>
      </c>
      <c r="K891" s="33">
        <v>38</v>
      </c>
      <c r="L891" s="5">
        <f t="shared" si="93"/>
        <v>1</v>
      </c>
      <c r="M891" s="26">
        <f t="shared" si="94"/>
        <v>74.131008000000008</v>
      </c>
    </row>
    <row r="892" spans="1:13" x14ac:dyDescent="0.25">
      <c r="A892" s="16" t="str">
        <f t="shared" si="96"/>
        <v>May</v>
      </c>
      <c r="B892" s="31">
        <v>43964</v>
      </c>
      <c r="C892" s="32" t="s">
        <v>25</v>
      </c>
      <c r="D892" s="9" t="str">
        <f t="shared" si="92"/>
        <v>43964 - 1S</v>
      </c>
      <c r="E892" s="32" t="s">
        <v>11</v>
      </c>
      <c r="F892" s="2">
        <v>8000034</v>
      </c>
      <c r="G892" s="4" t="str">
        <f>IFERROR(VLOOKUP(F892,Lists!$C:$D,2,0), "N/A")</f>
        <v>KS MILK CHOC MACADAMIA</v>
      </c>
      <c r="H892" s="26">
        <f>IFERROR(VLOOKUP(F892,Lists!$C:$F,4,0),0)</f>
        <v>3.8943099999999999</v>
      </c>
      <c r="I892" s="7">
        <f t="shared" si="95"/>
        <v>8106</v>
      </c>
      <c r="J892" s="6">
        <v>8000</v>
      </c>
      <c r="K892" s="33">
        <v>106</v>
      </c>
      <c r="L892" s="5">
        <f t="shared" si="93"/>
        <v>1.325E-2</v>
      </c>
      <c r="M892" s="26">
        <f t="shared" si="94"/>
        <v>412.79685999999998</v>
      </c>
    </row>
    <row r="893" spans="1:13" x14ac:dyDescent="0.25">
      <c r="A893" s="16" t="str">
        <f t="shared" si="96"/>
        <v>May</v>
      </c>
      <c r="B893" s="31">
        <v>43964</v>
      </c>
      <c r="C893" s="32" t="s">
        <v>26</v>
      </c>
      <c r="D893" s="9" t="str">
        <f t="shared" si="92"/>
        <v>43964 - 2S</v>
      </c>
      <c r="E893" s="32" t="s">
        <v>9</v>
      </c>
      <c r="F893" s="2">
        <v>8000038</v>
      </c>
      <c r="G893" s="4" t="str">
        <f>IFERROR(VLOOKUP(F893,Lists!$C:$D,2,0), "N/A")</f>
        <v>TURTLES MILK CHOC PEC BITE SZ</v>
      </c>
      <c r="H893" s="26">
        <f>IFERROR(VLOOKUP(F893,Lists!$C:$F,4,0),0)</f>
        <v>1.96</v>
      </c>
      <c r="I893" s="7">
        <f t="shared" si="95"/>
        <v>4103.68</v>
      </c>
      <c r="J893" s="6">
        <v>4015.68</v>
      </c>
      <c r="K893" s="33">
        <v>88</v>
      </c>
      <c r="L893" s="5">
        <f t="shared" si="93"/>
        <v>2.1914096740776157E-2</v>
      </c>
      <c r="M893" s="26">
        <f t="shared" si="94"/>
        <v>172.48</v>
      </c>
    </row>
    <row r="894" spans="1:13" x14ac:dyDescent="0.25">
      <c r="A894" s="16" t="str">
        <f t="shared" si="96"/>
        <v>May</v>
      </c>
      <c r="B894" s="31">
        <v>43964</v>
      </c>
      <c r="C894" s="32" t="s">
        <v>26</v>
      </c>
      <c r="D894" s="9" t="str">
        <f t="shared" si="92"/>
        <v>43964 - 2S</v>
      </c>
      <c r="E894" s="32" t="s">
        <v>11</v>
      </c>
      <c r="F894" s="2">
        <v>8000034</v>
      </c>
      <c r="G894" s="4" t="str">
        <f>IFERROR(VLOOKUP(F894,Lists!$C:$D,2,0), "N/A")</f>
        <v>KS MILK CHOC MACADAMIA</v>
      </c>
      <c r="H894" s="26">
        <f>IFERROR(VLOOKUP(F894,Lists!$C:$F,4,0),0)</f>
        <v>3.8943099999999999</v>
      </c>
      <c r="I894" s="7">
        <f t="shared" si="95"/>
        <v>5903</v>
      </c>
      <c r="J894" s="6">
        <v>5600</v>
      </c>
      <c r="K894" s="33">
        <v>303</v>
      </c>
      <c r="L894" s="5">
        <f t="shared" si="93"/>
        <v>5.4107142857142861E-2</v>
      </c>
      <c r="M894" s="26">
        <f t="shared" si="94"/>
        <v>1179.9759300000001</v>
      </c>
    </row>
    <row r="895" spans="1:13" x14ac:dyDescent="0.25">
      <c r="A895" s="16" t="str">
        <f t="shared" si="96"/>
        <v>May</v>
      </c>
      <c r="B895" s="31">
        <v>43964</v>
      </c>
      <c r="C895" s="32" t="s">
        <v>26</v>
      </c>
      <c r="D895" s="9" t="str">
        <f t="shared" si="92"/>
        <v>43964 - 2S</v>
      </c>
      <c r="E895" s="32" t="s">
        <v>12</v>
      </c>
      <c r="F895" s="2">
        <v>8000031</v>
      </c>
      <c r="G895" s="4" t="str">
        <f>IFERROR(VLOOKUP(F895,Lists!$C:$D,2,0), "N/A")</f>
        <v>WIP.DCP FLIPZ  DARK CHOC PRETZEL</v>
      </c>
      <c r="H895" s="26">
        <f>IFERROR(VLOOKUP(F895,Lists!$C:$F,4,0),0)</f>
        <v>1.4516300000000002</v>
      </c>
      <c r="I895" s="7">
        <f t="shared" si="95"/>
        <v>10011</v>
      </c>
      <c r="J895" s="6">
        <f>400*25</f>
        <v>10000</v>
      </c>
      <c r="K895" s="33">
        <v>11</v>
      </c>
      <c r="L895" s="5">
        <f t="shared" si="93"/>
        <v>1.1000000000000001E-3</v>
      </c>
      <c r="M895" s="26">
        <f t="shared" si="94"/>
        <v>15.967930000000003</v>
      </c>
    </row>
    <row r="896" spans="1:13" x14ac:dyDescent="0.25">
      <c r="A896" s="16" t="str">
        <f t="shared" si="96"/>
        <v>May</v>
      </c>
      <c r="B896" s="31">
        <v>43965</v>
      </c>
      <c r="C896" s="32" t="s">
        <v>24</v>
      </c>
      <c r="D896" s="9" t="str">
        <f t="shared" si="92"/>
        <v>43965 - 3S</v>
      </c>
      <c r="E896" s="32" t="s">
        <v>9</v>
      </c>
      <c r="F896" s="2">
        <v>8000038</v>
      </c>
      <c r="G896" s="4" t="str">
        <f>IFERROR(VLOOKUP(F896,Lists!$C:$D,2,0), "N/A")</f>
        <v>TURTLES MILK CHOC PEC BITE SZ</v>
      </c>
      <c r="H896" s="26">
        <f>IFERROR(VLOOKUP(F896,Lists!$C:$F,4,0),0)</f>
        <v>1.96</v>
      </c>
      <c r="I896" s="7">
        <f t="shared" si="95"/>
        <v>4858.5200000000004</v>
      </c>
      <c r="J896" s="6">
        <v>4583.5200000000004</v>
      </c>
      <c r="K896" s="33">
        <v>275</v>
      </c>
      <c r="L896" s="5">
        <f t="shared" si="93"/>
        <v>5.9997556463154952E-2</v>
      </c>
      <c r="M896" s="26">
        <f t="shared" si="94"/>
        <v>539</v>
      </c>
    </row>
    <row r="897" spans="1:13" x14ac:dyDescent="0.25">
      <c r="A897" s="16" t="str">
        <f t="shared" si="96"/>
        <v>May</v>
      </c>
      <c r="B897" s="31">
        <v>43965</v>
      </c>
      <c r="C897" s="32" t="s">
        <v>24</v>
      </c>
      <c r="D897" s="9" t="str">
        <f t="shared" si="92"/>
        <v>43965 - 3S</v>
      </c>
      <c r="E897" s="32" t="s">
        <v>10</v>
      </c>
      <c r="F897" s="2">
        <v>8000055</v>
      </c>
      <c r="G897" s="4" t="str">
        <f>IFERROR(VLOOKUP(F897,Lists!$C:$D,2,0), "N/A")</f>
        <v>916.BF FLIPZ 25 LB BULK MILK CHOC</v>
      </c>
      <c r="H897" s="26">
        <f>IFERROR(VLOOKUP(F897,Lists!$C:$F,4,0),0)</f>
        <v>1.9508160000000001</v>
      </c>
      <c r="I897" s="7">
        <f t="shared" si="95"/>
        <v>5043</v>
      </c>
      <c r="J897" s="6">
        <f>200*25</f>
        <v>5000</v>
      </c>
      <c r="K897" s="33">
        <v>43</v>
      </c>
      <c r="L897" s="5">
        <f t="shared" si="93"/>
        <v>8.6E-3</v>
      </c>
      <c r="M897" s="26">
        <f t="shared" si="94"/>
        <v>83.88508800000001</v>
      </c>
    </row>
    <row r="898" spans="1:13" x14ac:dyDescent="0.25">
      <c r="A898" s="16" t="str">
        <f t="shared" si="96"/>
        <v>May</v>
      </c>
      <c r="B898" s="31">
        <v>43965</v>
      </c>
      <c r="C898" s="32" t="s">
        <v>24</v>
      </c>
      <c r="D898" s="9" t="str">
        <f t="shared" si="92"/>
        <v>43965 - 3S</v>
      </c>
      <c r="E898" s="32" t="s">
        <v>11</v>
      </c>
      <c r="F898" s="2">
        <v>8000034</v>
      </c>
      <c r="G898" s="4" t="str">
        <f>IFERROR(VLOOKUP(F898,Lists!$C:$D,2,0), "N/A")</f>
        <v>KS MILK CHOC MACADAMIA</v>
      </c>
      <c r="H898" s="26">
        <f>IFERROR(VLOOKUP(F898,Lists!$C:$F,4,0),0)</f>
        <v>3.8943099999999999</v>
      </c>
      <c r="I898" s="7">
        <f t="shared" si="95"/>
        <v>7223</v>
      </c>
      <c r="J898" s="6">
        <v>7200</v>
      </c>
      <c r="K898" s="33">
        <v>23</v>
      </c>
      <c r="L898" s="5">
        <f t="shared" si="93"/>
        <v>3.1944444444444446E-3</v>
      </c>
      <c r="M898" s="26">
        <f t="shared" si="94"/>
        <v>89.569130000000001</v>
      </c>
    </row>
    <row r="899" spans="1:13" x14ac:dyDescent="0.25">
      <c r="A899" s="16" t="str">
        <f t="shared" si="96"/>
        <v>May</v>
      </c>
      <c r="B899" s="31">
        <v>43965</v>
      </c>
      <c r="C899" s="32" t="s">
        <v>25</v>
      </c>
      <c r="D899" s="9" t="str">
        <f t="shared" si="92"/>
        <v>43965 - 1S</v>
      </c>
      <c r="E899" s="32" t="s">
        <v>9</v>
      </c>
      <c r="F899" s="2">
        <v>8000038</v>
      </c>
      <c r="G899" s="4" t="str">
        <f>IFERROR(VLOOKUP(F899,Lists!$C:$D,2,0), "N/A")</f>
        <v>TURTLES MILK CHOC PEC BITE SZ</v>
      </c>
      <c r="H899" s="26">
        <f>IFERROR(VLOOKUP(F899,Lists!$C:$F,4,0),0)</f>
        <v>1.96</v>
      </c>
      <c r="I899" s="7">
        <f t="shared" si="95"/>
        <v>5836.52</v>
      </c>
      <c r="J899" s="6">
        <v>5303.52</v>
      </c>
      <c r="K899" s="33">
        <v>533</v>
      </c>
      <c r="L899" s="5">
        <f t="shared" si="93"/>
        <v>0.10049929103689624</v>
      </c>
      <c r="M899" s="26">
        <f t="shared" si="94"/>
        <v>1044.68</v>
      </c>
    </row>
    <row r="900" spans="1:13" x14ac:dyDescent="0.25">
      <c r="A900" s="16" t="str">
        <f t="shared" si="96"/>
        <v>May</v>
      </c>
      <c r="B900" s="31">
        <v>43965</v>
      </c>
      <c r="C900" s="32" t="s">
        <v>25</v>
      </c>
      <c r="D900" s="9" t="str">
        <f t="shared" si="92"/>
        <v>43965 - 1S</v>
      </c>
      <c r="E900" s="32" t="s">
        <v>10</v>
      </c>
      <c r="F900" s="2">
        <v>8000055</v>
      </c>
      <c r="G900" s="4" t="str">
        <f>IFERROR(VLOOKUP(F900,Lists!$C:$D,2,0), "N/A")</f>
        <v>916.BF FLIPZ 25 LB BULK MILK CHOC</v>
      </c>
      <c r="H900" s="26">
        <f>IFERROR(VLOOKUP(F900,Lists!$C:$F,4,0),0)</f>
        <v>1.9508160000000001</v>
      </c>
      <c r="I900" s="7">
        <f t="shared" si="95"/>
        <v>3024</v>
      </c>
      <c r="J900" s="6">
        <f>120*25</f>
        <v>3000</v>
      </c>
      <c r="K900" s="33">
        <v>24</v>
      </c>
      <c r="L900" s="5">
        <f t="shared" si="93"/>
        <v>8.0000000000000002E-3</v>
      </c>
      <c r="M900" s="26">
        <f t="shared" si="94"/>
        <v>46.819584000000006</v>
      </c>
    </row>
    <row r="901" spans="1:13" x14ac:dyDescent="0.25">
      <c r="A901" s="16" t="str">
        <f t="shared" si="96"/>
        <v>May</v>
      </c>
      <c r="B901" s="31">
        <v>43965</v>
      </c>
      <c r="C901" s="32" t="s">
        <v>25</v>
      </c>
      <c r="D901" s="9" t="str">
        <f t="shared" si="92"/>
        <v>43965 - 1S</v>
      </c>
      <c r="E901" s="32" t="s">
        <v>11</v>
      </c>
      <c r="F901" s="2">
        <v>8000034</v>
      </c>
      <c r="G901" s="4" t="str">
        <f>IFERROR(VLOOKUP(F901,Lists!$C:$D,2,0), "N/A")</f>
        <v>KS MILK CHOC MACADAMIA</v>
      </c>
      <c r="H901" s="26">
        <f>IFERROR(VLOOKUP(F901,Lists!$C:$F,4,0),0)</f>
        <v>3.8943099999999999</v>
      </c>
      <c r="I901" s="7">
        <f t="shared" si="95"/>
        <v>7302</v>
      </c>
      <c r="J901" s="6">
        <v>7200</v>
      </c>
      <c r="K901" s="33">
        <v>102</v>
      </c>
      <c r="L901" s="5">
        <f t="shared" si="93"/>
        <v>1.4166666666666666E-2</v>
      </c>
      <c r="M901" s="26">
        <f t="shared" si="94"/>
        <v>397.21962000000002</v>
      </c>
    </row>
    <row r="902" spans="1:13" x14ac:dyDescent="0.25">
      <c r="A902" s="16" t="str">
        <f t="shared" si="96"/>
        <v>May</v>
      </c>
      <c r="B902" s="31">
        <v>43965</v>
      </c>
      <c r="C902" s="32" t="s">
        <v>25</v>
      </c>
      <c r="D902" s="9" t="str">
        <f t="shared" si="92"/>
        <v>43965 - 1S</v>
      </c>
      <c r="E902" s="32" t="s">
        <v>12</v>
      </c>
      <c r="F902" s="2">
        <v>8000031</v>
      </c>
      <c r="G902" s="4" t="str">
        <f>IFERROR(VLOOKUP(F902,Lists!$C:$D,2,0), "N/A")</f>
        <v>WIP.DCP FLIPZ  DARK CHOC PRETZEL</v>
      </c>
      <c r="H902" s="26">
        <f>IFERROR(VLOOKUP(F902,Lists!$C:$F,4,0),0)</f>
        <v>1.4516300000000002</v>
      </c>
      <c r="I902" s="7">
        <f t="shared" si="95"/>
        <v>3007</v>
      </c>
      <c r="J902" s="6">
        <f>120*25</f>
        <v>3000</v>
      </c>
      <c r="K902" s="33">
        <v>7</v>
      </c>
      <c r="L902" s="5">
        <f t="shared" si="93"/>
        <v>2.3333333333333335E-3</v>
      </c>
      <c r="M902" s="26">
        <f t="shared" si="94"/>
        <v>10.161410000000002</v>
      </c>
    </row>
    <row r="903" spans="1:13" x14ac:dyDescent="0.25">
      <c r="A903" s="16" t="str">
        <f t="shared" si="96"/>
        <v>May</v>
      </c>
      <c r="B903" s="31">
        <v>43965</v>
      </c>
      <c r="C903" s="32" t="s">
        <v>26</v>
      </c>
      <c r="D903" s="9" t="str">
        <f t="shared" si="92"/>
        <v>43965 - 2S</v>
      </c>
      <c r="E903" s="32" t="s">
        <v>9</v>
      </c>
      <c r="F903" s="2">
        <v>8000038</v>
      </c>
      <c r="G903" s="4" t="str">
        <f>IFERROR(VLOOKUP(F903,Lists!$C:$D,2,0), "N/A")</f>
        <v>TURTLES MILK CHOC PEC BITE SZ</v>
      </c>
      <c r="H903" s="26">
        <f>IFERROR(VLOOKUP(F903,Lists!$C:$F,4,0),0)</f>
        <v>1.96</v>
      </c>
      <c r="I903" s="7">
        <f t="shared" si="95"/>
        <v>4414.68</v>
      </c>
      <c r="J903" s="6">
        <v>4015.68</v>
      </c>
      <c r="K903" s="33">
        <v>399</v>
      </c>
      <c r="L903" s="5">
        <f t="shared" si="93"/>
        <v>9.9360506813291893E-2</v>
      </c>
      <c r="M903" s="26">
        <f t="shared" si="94"/>
        <v>782.04</v>
      </c>
    </row>
    <row r="904" spans="1:13" x14ac:dyDescent="0.25">
      <c r="A904" s="16" t="str">
        <f t="shared" si="96"/>
        <v>May</v>
      </c>
      <c r="B904" s="31">
        <v>43965</v>
      </c>
      <c r="C904" s="32" t="s">
        <v>26</v>
      </c>
      <c r="D904" s="9" t="str">
        <f t="shared" ref="D904:D967" si="97">CONCATENATE(B904," - ",C904)</f>
        <v>43965 - 2S</v>
      </c>
      <c r="E904" s="32" t="s">
        <v>11</v>
      </c>
      <c r="F904" s="2">
        <v>8000034</v>
      </c>
      <c r="G904" s="4" t="str">
        <f>IFERROR(VLOOKUP(F904,Lists!$C:$D,2,0), "N/A")</f>
        <v>KS MILK CHOC MACADAMIA</v>
      </c>
      <c r="H904" s="26">
        <f>IFERROR(VLOOKUP(F904,Lists!$C:$F,4,0),0)</f>
        <v>3.8943099999999999</v>
      </c>
      <c r="I904" s="7">
        <f t="shared" si="95"/>
        <v>4263</v>
      </c>
      <c r="J904" s="6">
        <v>4000</v>
      </c>
      <c r="K904" s="33">
        <v>263</v>
      </c>
      <c r="L904" s="5">
        <f t="shared" ref="L904:L967" si="98">IFERROR((K904/J904),1)</f>
        <v>6.5750000000000003E-2</v>
      </c>
      <c r="M904" s="26">
        <f t="shared" ref="M904:M967" si="99">K904*H904</f>
        <v>1024.20353</v>
      </c>
    </row>
    <row r="905" spans="1:13" x14ac:dyDescent="0.25">
      <c r="A905" s="16" t="str">
        <f t="shared" si="96"/>
        <v>May</v>
      </c>
      <c r="B905" s="31">
        <v>43965</v>
      </c>
      <c r="C905" s="32" t="s">
        <v>26</v>
      </c>
      <c r="D905" s="9" t="str">
        <f t="shared" si="97"/>
        <v>43965 - 2S</v>
      </c>
      <c r="E905" s="32" t="s">
        <v>12</v>
      </c>
      <c r="F905" s="2">
        <v>8000031</v>
      </c>
      <c r="G905" s="4" t="str">
        <f>IFERROR(VLOOKUP(F905,Lists!$C:$D,2,0), "N/A")</f>
        <v>WIP.DCP FLIPZ  DARK CHOC PRETZEL</v>
      </c>
      <c r="H905" s="26">
        <f>IFERROR(VLOOKUP(F905,Lists!$C:$F,4,0),0)</f>
        <v>1.4516300000000002</v>
      </c>
      <c r="I905" s="7">
        <f t="shared" si="95"/>
        <v>8007</v>
      </c>
      <c r="J905" s="6">
        <f>320*25</f>
        <v>8000</v>
      </c>
      <c r="K905" s="33">
        <v>7</v>
      </c>
      <c r="L905" s="5">
        <f t="shared" si="98"/>
        <v>8.7500000000000002E-4</v>
      </c>
      <c r="M905" s="26">
        <f t="shared" si="99"/>
        <v>10.161410000000002</v>
      </c>
    </row>
    <row r="906" spans="1:13" x14ac:dyDescent="0.25">
      <c r="A906" s="16" t="str">
        <f t="shared" si="96"/>
        <v>May</v>
      </c>
      <c r="B906" s="31">
        <v>43966</v>
      </c>
      <c r="C906" s="32" t="s">
        <v>24</v>
      </c>
      <c r="D906" s="9" t="str">
        <f t="shared" si="97"/>
        <v>43966 - 3S</v>
      </c>
      <c r="E906" s="32" t="s">
        <v>9</v>
      </c>
      <c r="F906" s="2">
        <v>8000038</v>
      </c>
      <c r="G906" s="4" t="str">
        <f>IFERROR(VLOOKUP(F906,Lists!$C:$D,2,0), "N/A")</f>
        <v>TURTLES MILK CHOC PEC BITE SZ</v>
      </c>
      <c r="H906" s="26">
        <f>IFERROR(VLOOKUP(F906,Lists!$C:$F,4,0),0)</f>
        <v>1.96</v>
      </c>
      <c r="I906" s="7">
        <f t="shared" si="95"/>
        <v>4282.5200000000004</v>
      </c>
      <c r="J906" s="6">
        <v>3863.52</v>
      </c>
      <c r="K906" s="33">
        <v>419</v>
      </c>
      <c r="L906" s="5">
        <f t="shared" si="98"/>
        <v>0.10845032509214395</v>
      </c>
      <c r="M906" s="26">
        <f t="shared" si="99"/>
        <v>821.24</v>
      </c>
    </row>
    <row r="907" spans="1:13" x14ac:dyDescent="0.25">
      <c r="A907" s="16" t="str">
        <f t="shared" si="96"/>
        <v>May</v>
      </c>
      <c r="B907" s="31">
        <v>43966</v>
      </c>
      <c r="C907" s="32" t="s">
        <v>25</v>
      </c>
      <c r="D907" s="9" t="str">
        <f t="shared" si="97"/>
        <v>43966 - 1S</v>
      </c>
      <c r="E907" s="32" t="s">
        <v>9</v>
      </c>
      <c r="F907" s="2">
        <v>8000038</v>
      </c>
      <c r="G907" s="4" t="str">
        <f>IFERROR(VLOOKUP(F907,Lists!$C:$D,2,0), "N/A")</f>
        <v>TURTLES MILK CHOC PEC BITE SZ</v>
      </c>
      <c r="H907" s="26">
        <f>IFERROR(VLOOKUP(F907,Lists!$C:$F,4,0),0)</f>
        <v>1.96</v>
      </c>
      <c r="I907" s="7">
        <f t="shared" si="95"/>
        <v>4694.68</v>
      </c>
      <c r="J907" s="6">
        <v>4015.68</v>
      </c>
      <c r="K907" s="33">
        <v>679</v>
      </c>
      <c r="L907" s="5">
        <f t="shared" si="98"/>
        <v>0.16908717826121605</v>
      </c>
      <c r="M907" s="26">
        <f t="shared" si="99"/>
        <v>1330.84</v>
      </c>
    </row>
    <row r="908" spans="1:13" x14ac:dyDescent="0.25">
      <c r="A908" s="16" t="str">
        <f t="shared" si="96"/>
        <v>May</v>
      </c>
      <c r="B908" s="31">
        <v>43966</v>
      </c>
      <c r="C908" s="32" t="s">
        <v>25</v>
      </c>
      <c r="D908" s="9" t="str">
        <f t="shared" si="97"/>
        <v>43966 - 1S</v>
      </c>
      <c r="E908" s="32" t="s">
        <v>13</v>
      </c>
      <c r="F908" s="2">
        <v>8000055</v>
      </c>
      <c r="G908" s="4" t="str">
        <f>IFERROR(VLOOKUP(F908,Lists!$C:$D,2,0), "N/A")</f>
        <v>916.BF FLIPZ 25 LB BULK MILK CHOC</v>
      </c>
      <c r="H908" s="26">
        <f>IFERROR(VLOOKUP(F908,Lists!$C:$F,4,0),0)</f>
        <v>1.9508160000000001</v>
      </c>
      <c r="I908" s="7">
        <f t="shared" si="95"/>
        <v>1022</v>
      </c>
      <c r="J908" s="6">
        <f>40*25</f>
        <v>1000</v>
      </c>
      <c r="K908" s="33">
        <v>22</v>
      </c>
      <c r="L908" s="5">
        <f t="shared" si="98"/>
        <v>2.1999999999999999E-2</v>
      </c>
      <c r="M908" s="26">
        <f t="shared" si="99"/>
        <v>42.917952</v>
      </c>
    </row>
    <row r="909" spans="1:13" x14ac:dyDescent="0.25">
      <c r="A909" s="16" t="str">
        <f t="shared" si="96"/>
        <v>May</v>
      </c>
      <c r="B909" s="31">
        <v>43966</v>
      </c>
      <c r="C909" s="32" t="s">
        <v>25</v>
      </c>
      <c r="D909" s="9" t="str">
        <f t="shared" si="97"/>
        <v>43966 - 1S</v>
      </c>
      <c r="E909" s="32" t="s">
        <v>12</v>
      </c>
      <c r="F909" s="2">
        <v>8000031</v>
      </c>
      <c r="G909" s="4" t="str">
        <f>IFERROR(VLOOKUP(F909,Lists!$C:$D,2,0), "N/A")</f>
        <v>WIP.DCP FLIPZ  DARK CHOC PRETZEL</v>
      </c>
      <c r="H909" s="26">
        <f>IFERROR(VLOOKUP(F909,Lists!$C:$F,4,0),0)</f>
        <v>1.4516300000000002</v>
      </c>
      <c r="I909" s="7">
        <f t="shared" si="95"/>
        <v>3520</v>
      </c>
      <c r="J909" s="6">
        <f>136*25</f>
        <v>3400</v>
      </c>
      <c r="K909" s="33">
        <v>120</v>
      </c>
      <c r="L909" s="5">
        <f t="shared" si="98"/>
        <v>3.5294117647058823E-2</v>
      </c>
      <c r="M909" s="26">
        <f t="shared" si="99"/>
        <v>174.19560000000001</v>
      </c>
    </row>
    <row r="910" spans="1:13" x14ac:dyDescent="0.25">
      <c r="A910" s="16" t="str">
        <f t="shared" si="96"/>
        <v>May</v>
      </c>
      <c r="B910" s="31">
        <v>43966</v>
      </c>
      <c r="C910" s="32" t="s">
        <v>25</v>
      </c>
      <c r="D910" s="9" t="str">
        <f t="shared" si="97"/>
        <v>43966 - 1S</v>
      </c>
      <c r="E910" s="32" t="s">
        <v>12</v>
      </c>
      <c r="F910" s="2">
        <v>8000055</v>
      </c>
      <c r="G910" s="4" t="str">
        <f>IFERROR(VLOOKUP(F910,Lists!$C:$D,2,0), "N/A")</f>
        <v>916.BF FLIPZ 25 LB BULK MILK CHOC</v>
      </c>
      <c r="H910" s="26">
        <f>IFERROR(VLOOKUP(F910,Lists!$C:$F,4,0),0)</f>
        <v>1.9508160000000001</v>
      </c>
      <c r="I910" s="7">
        <f t="shared" si="95"/>
        <v>2002</v>
      </c>
      <c r="J910" s="6">
        <f>80*25</f>
        <v>2000</v>
      </c>
      <c r="K910" s="33">
        <v>2</v>
      </c>
      <c r="L910" s="5">
        <f t="shared" si="98"/>
        <v>1E-3</v>
      </c>
      <c r="M910" s="26">
        <f t="shared" si="99"/>
        <v>3.9016320000000002</v>
      </c>
    </row>
    <row r="911" spans="1:13" x14ac:dyDescent="0.25">
      <c r="A911" s="16" t="str">
        <f t="shared" si="96"/>
        <v>May</v>
      </c>
      <c r="B911" s="31">
        <v>43966</v>
      </c>
      <c r="C911" s="32" t="s">
        <v>26</v>
      </c>
      <c r="D911" s="9" t="str">
        <f t="shared" si="97"/>
        <v>43966 - 2S</v>
      </c>
      <c r="E911" s="32" t="s">
        <v>10</v>
      </c>
      <c r="F911" s="2">
        <v>8000055</v>
      </c>
      <c r="G911" s="4" t="str">
        <f>IFERROR(VLOOKUP(F911,Lists!$C:$D,2,0), "N/A")</f>
        <v>916.BF FLIPZ 25 LB BULK MILK CHOC</v>
      </c>
      <c r="H911" s="26">
        <f>IFERROR(VLOOKUP(F911,Lists!$C:$F,4,0),0)</f>
        <v>1.9508160000000001</v>
      </c>
      <c r="I911" s="7">
        <f t="shared" si="95"/>
        <v>5120</v>
      </c>
      <c r="J911" s="6">
        <f>200*25</f>
        <v>5000</v>
      </c>
      <c r="K911" s="33">
        <v>120</v>
      </c>
      <c r="L911" s="5">
        <f t="shared" si="98"/>
        <v>2.4E-2</v>
      </c>
      <c r="M911" s="26">
        <f t="shared" si="99"/>
        <v>234.09792000000002</v>
      </c>
    </row>
    <row r="912" spans="1:13" x14ac:dyDescent="0.25">
      <c r="A912" s="16" t="str">
        <f t="shared" si="96"/>
        <v>May</v>
      </c>
      <c r="B912" s="31">
        <v>43966</v>
      </c>
      <c r="C912" s="32" t="s">
        <v>26</v>
      </c>
      <c r="D912" s="9" t="str">
        <f t="shared" si="97"/>
        <v>43966 - 2S</v>
      </c>
      <c r="E912" s="32" t="s">
        <v>12</v>
      </c>
      <c r="F912" s="2">
        <v>8000055</v>
      </c>
      <c r="G912" s="4" t="str">
        <f>IFERROR(VLOOKUP(F912,Lists!$C:$D,2,0), "N/A")</f>
        <v>916.BF FLIPZ 25 LB BULK MILK CHOC</v>
      </c>
      <c r="H912" s="26">
        <f>IFERROR(VLOOKUP(F912,Lists!$C:$F,4,0),0)</f>
        <v>1.9508160000000001</v>
      </c>
      <c r="I912" s="7">
        <f t="shared" si="95"/>
        <v>8003</v>
      </c>
      <c r="J912" s="6">
        <f>320*25</f>
        <v>8000</v>
      </c>
      <c r="K912" s="33">
        <v>3</v>
      </c>
      <c r="L912" s="5">
        <f t="shared" si="98"/>
        <v>3.7500000000000001E-4</v>
      </c>
      <c r="M912" s="26">
        <f t="shared" si="99"/>
        <v>5.8524480000000008</v>
      </c>
    </row>
    <row r="913" spans="1:13" x14ac:dyDescent="0.25">
      <c r="A913" s="16" t="str">
        <f t="shared" si="96"/>
        <v>May</v>
      </c>
      <c r="B913" s="31">
        <v>43967</v>
      </c>
      <c r="C913" s="32" t="s">
        <v>26</v>
      </c>
      <c r="D913" s="9" t="str">
        <f t="shared" si="97"/>
        <v>43967 - 2S</v>
      </c>
      <c r="E913" s="32" t="s">
        <v>10</v>
      </c>
      <c r="F913" s="2">
        <v>8000055</v>
      </c>
      <c r="G913" s="4" t="str">
        <f>IFERROR(VLOOKUP(F913,Lists!$C:$D,2,0), "N/A")</f>
        <v>916.BF FLIPZ 25 LB BULK MILK CHOC</v>
      </c>
      <c r="H913" s="26">
        <f>IFERROR(VLOOKUP(F913,Lists!$C:$F,4,0),0)</f>
        <v>1.9508160000000001</v>
      </c>
      <c r="I913" s="7">
        <f t="shared" si="95"/>
        <v>8038</v>
      </c>
      <c r="J913" s="6">
        <f>320*25</f>
        <v>8000</v>
      </c>
      <c r="K913" s="33">
        <v>38</v>
      </c>
      <c r="L913" s="5">
        <f t="shared" si="98"/>
        <v>4.7499999999999999E-3</v>
      </c>
      <c r="M913" s="26">
        <f t="shared" si="99"/>
        <v>74.131008000000008</v>
      </c>
    </row>
    <row r="914" spans="1:13" x14ac:dyDescent="0.25">
      <c r="A914" s="16" t="str">
        <f t="shared" si="96"/>
        <v>May</v>
      </c>
      <c r="B914" s="31">
        <v>43967</v>
      </c>
      <c r="C914" s="32" t="s">
        <v>26</v>
      </c>
      <c r="D914" s="9" t="str">
        <f t="shared" si="97"/>
        <v>43967 - 2S</v>
      </c>
      <c r="E914" s="32" t="s">
        <v>12</v>
      </c>
      <c r="F914" s="2">
        <v>8000055</v>
      </c>
      <c r="G914" s="4" t="str">
        <f>IFERROR(VLOOKUP(F914,Lists!$C:$D,2,0), "N/A")</f>
        <v>916.BF FLIPZ 25 LB BULK MILK CHOC</v>
      </c>
      <c r="H914" s="26">
        <f>IFERROR(VLOOKUP(F914,Lists!$C:$F,4,0),0)</f>
        <v>1.9508160000000001</v>
      </c>
      <c r="I914" s="7">
        <f t="shared" si="95"/>
        <v>9041</v>
      </c>
      <c r="J914" s="6">
        <f>360*25</f>
        <v>9000</v>
      </c>
      <c r="K914" s="33">
        <v>41</v>
      </c>
      <c r="L914" s="5">
        <f t="shared" si="98"/>
        <v>4.5555555555555557E-3</v>
      </c>
      <c r="M914" s="26">
        <f t="shared" si="99"/>
        <v>79.983456000000004</v>
      </c>
    </row>
    <row r="915" spans="1:13" x14ac:dyDescent="0.25">
      <c r="A915" s="16" t="str">
        <f t="shared" si="96"/>
        <v>May</v>
      </c>
      <c r="B915" s="31">
        <v>43968</v>
      </c>
      <c r="C915" s="32" t="s">
        <v>25</v>
      </c>
      <c r="D915" s="9" t="str">
        <f t="shared" si="97"/>
        <v>43968 - 1S</v>
      </c>
      <c r="E915" s="32" t="s">
        <v>12</v>
      </c>
      <c r="F915" s="2">
        <v>8000055</v>
      </c>
      <c r="G915" s="4" t="str">
        <f>IFERROR(VLOOKUP(F915,Lists!$C:$D,2,0), "N/A")</f>
        <v>916.BF FLIPZ 25 LB BULK MILK CHOC</v>
      </c>
      <c r="H915" s="26">
        <f>IFERROR(VLOOKUP(F915,Lists!$C:$F,4,0),0)</f>
        <v>1.9508160000000001</v>
      </c>
      <c r="I915" s="7">
        <f t="shared" si="95"/>
        <v>8018</v>
      </c>
      <c r="J915" s="6">
        <f>320*25</f>
        <v>8000</v>
      </c>
      <c r="K915" s="33">
        <v>18</v>
      </c>
      <c r="L915" s="5">
        <f t="shared" si="98"/>
        <v>2.2499999999999998E-3</v>
      </c>
      <c r="M915" s="26">
        <f t="shared" si="99"/>
        <v>35.114688000000001</v>
      </c>
    </row>
    <row r="916" spans="1:13" x14ac:dyDescent="0.25">
      <c r="A916" s="16" t="str">
        <f t="shared" si="96"/>
        <v>May</v>
      </c>
      <c r="B916" s="31">
        <v>43969</v>
      </c>
      <c r="C916" s="32" t="s">
        <v>24</v>
      </c>
      <c r="D916" s="9" t="str">
        <f t="shared" si="97"/>
        <v>43969 - 3S</v>
      </c>
      <c r="E916" s="32" t="s">
        <v>9</v>
      </c>
      <c r="F916" s="2">
        <v>8000039</v>
      </c>
      <c r="G916" s="4" t="str">
        <f>IFERROR(VLOOKUP(F916,Lists!$C:$D,2,0), "N/A")</f>
        <v>TURTLES MILK CHOC ORIG MINI</v>
      </c>
      <c r="H916" s="26">
        <f>IFERROR(VLOOKUP(F916,Lists!$C:$F,4,0),0)</f>
        <v>2.08013</v>
      </c>
      <c r="I916" s="7">
        <f t="shared" si="95"/>
        <v>3972</v>
      </c>
      <c r="J916" s="6">
        <v>3840</v>
      </c>
      <c r="K916" s="33">
        <v>132</v>
      </c>
      <c r="L916" s="5">
        <f t="shared" si="98"/>
        <v>3.4375000000000003E-2</v>
      </c>
      <c r="M916" s="26">
        <f t="shared" si="99"/>
        <v>274.57715999999999</v>
      </c>
    </row>
    <row r="917" spans="1:13" x14ac:dyDescent="0.25">
      <c r="A917" s="16" t="str">
        <f t="shared" si="96"/>
        <v>May</v>
      </c>
      <c r="B917" s="31">
        <v>43969</v>
      </c>
      <c r="C917" s="32" t="s">
        <v>24</v>
      </c>
      <c r="D917" s="9" t="str">
        <f t="shared" si="97"/>
        <v>43969 - 3S</v>
      </c>
      <c r="E917" s="32" t="s">
        <v>10</v>
      </c>
      <c r="F917" s="2">
        <v>8000055</v>
      </c>
      <c r="G917" s="4" t="str">
        <f>IFERROR(VLOOKUP(F917,Lists!$C:$D,2,0), "N/A")</f>
        <v>916.BF FLIPZ 25 LB BULK MILK CHOC</v>
      </c>
      <c r="H917" s="26">
        <f>IFERROR(VLOOKUP(F917,Lists!$C:$F,4,0),0)</f>
        <v>1.9508160000000001</v>
      </c>
      <c r="I917" s="7">
        <f t="shared" si="95"/>
        <v>8230</v>
      </c>
      <c r="J917" s="6">
        <v>8000</v>
      </c>
      <c r="K917" s="33">
        <v>230</v>
      </c>
      <c r="L917" s="5">
        <f t="shared" si="98"/>
        <v>2.8750000000000001E-2</v>
      </c>
      <c r="M917" s="26">
        <f t="shared" si="99"/>
        <v>448.68768</v>
      </c>
    </row>
    <row r="918" spans="1:13" x14ac:dyDescent="0.25">
      <c r="A918" s="16" t="str">
        <f t="shared" si="96"/>
        <v>May</v>
      </c>
      <c r="B918" s="31">
        <v>43969</v>
      </c>
      <c r="C918" s="32" t="s">
        <v>25</v>
      </c>
      <c r="D918" s="9" t="str">
        <f t="shared" si="97"/>
        <v>43969 - 1S</v>
      </c>
      <c r="E918" s="32" t="s">
        <v>9</v>
      </c>
      <c r="F918" s="2">
        <v>8000039</v>
      </c>
      <c r="G918" s="4" t="str">
        <f>IFERROR(VLOOKUP(F918,Lists!$C:$D,2,0), "N/A")</f>
        <v>TURTLES MILK CHOC ORIG MINI</v>
      </c>
      <c r="H918" s="26">
        <f>IFERROR(VLOOKUP(F918,Lists!$C:$F,4,0),0)</f>
        <v>2.08013</v>
      </c>
      <c r="I918" s="7">
        <f t="shared" si="95"/>
        <v>406</v>
      </c>
      <c r="J918" s="6">
        <v>300</v>
      </c>
      <c r="K918" s="33">
        <v>106</v>
      </c>
      <c r="L918" s="5">
        <f t="shared" si="98"/>
        <v>0.35333333333333333</v>
      </c>
      <c r="M918" s="26">
        <f t="shared" si="99"/>
        <v>220.49378000000002</v>
      </c>
    </row>
    <row r="919" spans="1:13" x14ac:dyDescent="0.25">
      <c r="A919" s="16" t="str">
        <f t="shared" si="96"/>
        <v>May</v>
      </c>
      <c r="B919" s="31">
        <v>43969</v>
      </c>
      <c r="C919" s="32" t="s">
        <v>25</v>
      </c>
      <c r="D919" s="9" t="str">
        <f t="shared" si="97"/>
        <v>43969 - 1S</v>
      </c>
      <c r="E919" s="32" t="s">
        <v>11</v>
      </c>
      <c r="F919" s="2">
        <v>8000034</v>
      </c>
      <c r="G919" s="4" t="str">
        <f>IFERROR(VLOOKUP(F919,Lists!$C:$D,2,0), "N/A")</f>
        <v>KS MILK CHOC MACADAMIA</v>
      </c>
      <c r="H919" s="26">
        <f>IFERROR(VLOOKUP(F919,Lists!$C:$F,4,0),0)</f>
        <v>3.8943099999999999</v>
      </c>
      <c r="I919" s="7">
        <f t="shared" si="95"/>
        <v>4845</v>
      </c>
      <c r="J919" s="6">
        <v>4800</v>
      </c>
      <c r="K919" s="33">
        <v>45</v>
      </c>
      <c r="L919" s="5">
        <f t="shared" si="98"/>
        <v>9.3749999999999997E-3</v>
      </c>
      <c r="M919" s="26">
        <f t="shared" si="99"/>
        <v>175.24394999999998</v>
      </c>
    </row>
    <row r="920" spans="1:13" x14ac:dyDescent="0.25">
      <c r="A920" s="16" t="str">
        <f t="shared" si="96"/>
        <v>May</v>
      </c>
      <c r="B920" s="31">
        <v>43969</v>
      </c>
      <c r="C920" s="32" t="s">
        <v>25</v>
      </c>
      <c r="D920" s="9" t="str">
        <f t="shared" si="97"/>
        <v>43969 - 1S</v>
      </c>
      <c r="E920" s="32" t="s">
        <v>12</v>
      </c>
      <c r="F920" s="2">
        <v>8000055</v>
      </c>
      <c r="G920" s="4" t="str">
        <f>IFERROR(VLOOKUP(F920,Lists!$C:$D,2,0), "N/A")</f>
        <v>916.BF FLIPZ 25 LB BULK MILK CHOC</v>
      </c>
      <c r="H920" s="26">
        <f>IFERROR(VLOOKUP(F920,Lists!$C:$F,4,0),0)</f>
        <v>1.9508160000000001</v>
      </c>
      <c r="I920" s="7">
        <f t="shared" si="95"/>
        <v>7015</v>
      </c>
      <c r="J920" s="6">
        <f>280*25</f>
        <v>7000</v>
      </c>
      <c r="K920" s="33">
        <v>15</v>
      </c>
      <c r="L920" s="5">
        <f t="shared" si="98"/>
        <v>2.142857142857143E-3</v>
      </c>
      <c r="M920" s="26">
        <f t="shared" si="99"/>
        <v>29.262240000000002</v>
      </c>
    </row>
    <row r="921" spans="1:13" x14ac:dyDescent="0.25">
      <c r="A921" s="16" t="str">
        <f t="shared" si="96"/>
        <v>May</v>
      </c>
      <c r="B921" s="31">
        <v>43969</v>
      </c>
      <c r="C921" s="32" t="s">
        <v>25</v>
      </c>
      <c r="D921" s="9" t="str">
        <f t="shared" si="97"/>
        <v>43969 - 1S</v>
      </c>
      <c r="E921" s="32" t="s">
        <v>15</v>
      </c>
      <c r="G921" s="4" t="str">
        <f>IFERROR(VLOOKUP(F921,Lists!$C:$D,2,0), "N/A")</f>
        <v>N/A</v>
      </c>
      <c r="H921" s="26">
        <f>IFERROR(VLOOKUP(F921,Lists!$C:$F,4,0),0)</f>
        <v>0</v>
      </c>
      <c r="I921" s="7">
        <f t="shared" si="95"/>
        <v>5</v>
      </c>
      <c r="K921" s="33">
        <v>5</v>
      </c>
      <c r="L921" s="5">
        <f t="shared" si="98"/>
        <v>1</v>
      </c>
      <c r="M921" s="26">
        <f t="shared" si="99"/>
        <v>0</v>
      </c>
    </row>
    <row r="922" spans="1:13" x14ac:dyDescent="0.25">
      <c r="A922" s="16" t="str">
        <f t="shared" si="96"/>
        <v>May</v>
      </c>
      <c r="B922" s="31">
        <v>43969</v>
      </c>
      <c r="C922" s="32" t="s">
        <v>26</v>
      </c>
      <c r="D922" s="9" t="str">
        <f t="shared" si="97"/>
        <v>43969 - 2S</v>
      </c>
      <c r="E922" s="32" t="s">
        <v>9</v>
      </c>
      <c r="F922" s="2">
        <v>8000038</v>
      </c>
      <c r="G922" s="4" t="str">
        <f>IFERROR(VLOOKUP(F922,Lists!$C:$D,2,0), "N/A")</f>
        <v>TURTLES MILK CHOC PEC BITE SZ</v>
      </c>
      <c r="H922" s="26">
        <f>IFERROR(VLOOKUP(F922,Lists!$C:$F,4,0),0)</f>
        <v>1.96</v>
      </c>
      <c r="I922" s="7">
        <f t="shared" si="95"/>
        <v>1009.84</v>
      </c>
      <c r="J922" s="6">
        <v>567.84</v>
      </c>
      <c r="K922" s="33">
        <v>442</v>
      </c>
      <c r="L922" s="5">
        <f t="shared" si="98"/>
        <v>0.7783882783882784</v>
      </c>
      <c r="M922" s="26">
        <f t="shared" si="99"/>
        <v>866.31999999999994</v>
      </c>
    </row>
    <row r="923" spans="1:13" x14ac:dyDescent="0.25">
      <c r="A923" s="16" t="str">
        <f t="shared" si="96"/>
        <v>May</v>
      </c>
      <c r="B923" s="31">
        <v>43969</v>
      </c>
      <c r="C923" s="32" t="s">
        <v>26</v>
      </c>
      <c r="D923" s="9" t="str">
        <f t="shared" si="97"/>
        <v>43969 - 2S</v>
      </c>
      <c r="E923" s="32" t="s">
        <v>11</v>
      </c>
      <c r="F923" s="2">
        <v>8000034</v>
      </c>
      <c r="G923" s="4" t="str">
        <f>IFERROR(VLOOKUP(F923,Lists!$C:$D,2,0), "N/A")</f>
        <v>KS MILK CHOC MACADAMIA</v>
      </c>
      <c r="H923" s="26">
        <f>IFERROR(VLOOKUP(F923,Lists!$C:$F,4,0),0)</f>
        <v>3.8943099999999999</v>
      </c>
      <c r="I923" s="7">
        <f t="shared" si="95"/>
        <v>4857</v>
      </c>
      <c r="J923" s="6">
        <v>4800</v>
      </c>
      <c r="K923" s="33">
        <v>57</v>
      </c>
      <c r="L923" s="5">
        <f t="shared" si="98"/>
        <v>1.1875E-2</v>
      </c>
      <c r="M923" s="26">
        <f t="shared" si="99"/>
        <v>221.97567000000001</v>
      </c>
    </row>
    <row r="924" spans="1:13" x14ac:dyDescent="0.25">
      <c r="A924" s="16" t="str">
        <f t="shared" si="96"/>
        <v>May</v>
      </c>
      <c r="B924" s="31">
        <v>43969</v>
      </c>
      <c r="C924" s="32" t="s">
        <v>26</v>
      </c>
      <c r="D924" s="9" t="str">
        <f t="shared" si="97"/>
        <v>43969 - 2S</v>
      </c>
      <c r="E924" s="32" t="s">
        <v>12</v>
      </c>
      <c r="F924" s="2">
        <v>8000055</v>
      </c>
      <c r="G924" s="4" t="str">
        <f>IFERROR(VLOOKUP(F924,Lists!$C:$D,2,0), "N/A")</f>
        <v>916.BF FLIPZ 25 LB BULK MILK CHOC</v>
      </c>
      <c r="H924" s="26">
        <f>IFERROR(VLOOKUP(F924,Lists!$C:$F,4,0),0)</f>
        <v>1.9508160000000001</v>
      </c>
      <c r="I924" s="7">
        <f t="shared" si="95"/>
        <v>7033</v>
      </c>
      <c r="J924" s="6">
        <f>280*25</f>
        <v>7000</v>
      </c>
      <c r="K924" s="33">
        <v>33</v>
      </c>
      <c r="L924" s="5">
        <f t="shared" si="98"/>
        <v>4.7142857142857143E-3</v>
      </c>
      <c r="M924" s="26">
        <f t="shared" si="99"/>
        <v>64.376928000000007</v>
      </c>
    </row>
    <row r="925" spans="1:13" x14ac:dyDescent="0.25">
      <c r="A925" s="16" t="str">
        <f t="shared" si="96"/>
        <v>May</v>
      </c>
      <c r="B925" s="31">
        <v>43970</v>
      </c>
      <c r="C925" s="32" t="s">
        <v>24</v>
      </c>
      <c r="D925" s="9" t="str">
        <f t="shared" si="97"/>
        <v>43970 - 3S</v>
      </c>
      <c r="E925" s="32" t="s">
        <v>9</v>
      </c>
      <c r="F925" s="2">
        <v>8000038</v>
      </c>
      <c r="G925" s="4" t="str">
        <f>IFERROR(VLOOKUP(F925,Lists!$C:$D,2,0), "N/A")</f>
        <v>TURTLES MILK CHOC PEC BITE SZ</v>
      </c>
      <c r="H925" s="26">
        <f>IFERROR(VLOOKUP(F925,Lists!$C:$F,4,0),0)</f>
        <v>1.96</v>
      </c>
      <c r="I925" s="7">
        <f t="shared" si="95"/>
        <v>3311.2</v>
      </c>
      <c r="J925" s="6">
        <v>2839.2</v>
      </c>
      <c r="K925" s="33">
        <v>472</v>
      </c>
      <c r="L925" s="5">
        <f t="shared" si="98"/>
        <v>0.16624401239785858</v>
      </c>
      <c r="M925" s="26">
        <f t="shared" si="99"/>
        <v>925.12</v>
      </c>
    </row>
    <row r="926" spans="1:13" x14ac:dyDescent="0.25">
      <c r="A926" s="16" t="str">
        <f t="shared" si="96"/>
        <v>May</v>
      </c>
      <c r="B926" s="31">
        <v>43970</v>
      </c>
      <c r="C926" s="32" t="s">
        <v>24</v>
      </c>
      <c r="D926" s="9" t="str">
        <f t="shared" si="97"/>
        <v>43970 - 3S</v>
      </c>
      <c r="E926" s="32" t="s">
        <v>11</v>
      </c>
      <c r="F926" s="2">
        <v>8000034</v>
      </c>
      <c r="G926" s="4" t="str">
        <f>IFERROR(VLOOKUP(F926,Lists!$C:$D,2,0), "N/A")</f>
        <v>KS MILK CHOC MACADAMIA</v>
      </c>
      <c r="H926" s="26">
        <f>IFERROR(VLOOKUP(F926,Lists!$C:$F,4,0),0)</f>
        <v>3.8943099999999999</v>
      </c>
      <c r="I926" s="7">
        <f t="shared" si="95"/>
        <v>4854</v>
      </c>
      <c r="J926" s="6">
        <v>4800</v>
      </c>
      <c r="K926" s="33">
        <v>54</v>
      </c>
      <c r="L926" s="5">
        <f t="shared" si="98"/>
        <v>1.125E-2</v>
      </c>
      <c r="M926" s="26">
        <f t="shared" si="99"/>
        <v>210.29274000000001</v>
      </c>
    </row>
    <row r="927" spans="1:13" x14ac:dyDescent="0.25">
      <c r="A927" s="16" t="str">
        <f t="shared" si="96"/>
        <v>May</v>
      </c>
      <c r="B927" s="31">
        <v>43970</v>
      </c>
      <c r="C927" s="32" t="s">
        <v>24</v>
      </c>
      <c r="D927" s="9" t="str">
        <f t="shared" si="97"/>
        <v>43970 - 3S</v>
      </c>
      <c r="E927" s="32" t="s">
        <v>15</v>
      </c>
      <c r="G927" s="4" t="str">
        <f>IFERROR(VLOOKUP(F927,Lists!$C:$D,2,0), "N/A")</f>
        <v>N/A</v>
      </c>
      <c r="H927" s="26">
        <f>IFERROR(VLOOKUP(F927,Lists!$C:$F,4,0),0)</f>
        <v>0</v>
      </c>
      <c r="I927" s="7">
        <f t="shared" si="95"/>
        <v>20</v>
      </c>
      <c r="K927" s="33">
        <v>20</v>
      </c>
      <c r="L927" s="5">
        <f t="shared" si="98"/>
        <v>1</v>
      </c>
      <c r="M927" s="26">
        <f t="shared" si="99"/>
        <v>0</v>
      </c>
    </row>
    <row r="928" spans="1:13" x14ac:dyDescent="0.25">
      <c r="A928" s="16" t="str">
        <f t="shared" si="96"/>
        <v>May</v>
      </c>
      <c r="B928" s="31">
        <v>43970</v>
      </c>
      <c r="C928" s="32" t="s">
        <v>25</v>
      </c>
      <c r="D928" s="9" t="str">
        <f t="shared" si="97"/>
        <v>43970 - 1S</v>
      </c>
      <c r="E928" s="32" t="s">
        <v>9</v>
      </c>
      <c r="F928" s="2">
        <v>8000038</v>
      </c>
      <c r="G928" s="4" t="str">
        <f>IFERROR(VLOOKUP(F928,Lists!$C:$D,2,0), "N/A")</f>
        <v>TURTLES MILK CHOC PEC BITE SZ</v>
      </c>
      <c r="H928" s="26">
        <f>IFERROR(VLOOKUP(F928,Lists!$C:$F,4,0),0)</f>
        <v>1.96</v>
      </c>
      <c r="I928" s="7">
        <f t="shared" si="95"/>
        <v>1962.52</v>
      </c>
      <c r="J928" s="6">
        <v>1703.52</v>
      </c>
      <c r="K928" s="33">
        <v>259</v>
      </c>
      <c r="L928" s="5">
        <f t="shared" si="98"/>
        <v>0.15203813280736359</v>
      </c>
      <c r="M928" s="26">
        <f t="shared" si="99"/>
        <v>507.64</v>
      </c>
    </row>
    <row r="929" spans="1:13" x14ac:dyDescent="0.25">
      <c r="A929" s="16" t="str">
        <f t="shared" si="96"/>
        <v>May</v>
      </c>
      <c r="B929" s="31">
        <v>43970</v>
      </c>
      <c r="C929" s="32" t="s">
        <v>25</v>
      </c>
      <c r="D929" s="9" t="str">
        <f t="shared" si="97"/>
        <v>43970 - 1S</v>
      </c>
      <c r="E929" s="32" t="s">
        <v>11</v>
      </c>
      <c r="F929" s="2">
        <v>8000034</v>
      </c>
      <c r="G929" s="4" t="str">
        <f>IFERROR(VLOOKUP(F929,Lists!$C:$D,2,0), "N/A")</f>
        <v>KS MILK CHOC MACADAMIA</v>
      </c>
      <c r="H929" s="26">
        <f>IFERROR(VLOOKUP(F929,Lists!$C:$F,4,0),0)</f>
        <v>3.8943099999999999</v>
      </c>
      <c r="I929" s="7">
        <f t="shared" si="95"/>
        <v>4906</v>
      </c>
      <c r="J929" s="6">
        <v>4800</v>
      </c>
      <c r="K929" s="33">
        <v>106</v>
      </c>
      <c r="L929" s="5">
        <f t="shared" si="98"/>
        <v>2.2083333333333333E-2</v>
      </c>
      <c r="M929" s="26">
        <f t="shared" si="99"/>
        <v>412.79685999999998</v>
      </c>
    </row>
    <row r="930" spans="1:13" x14ac:dyDescent="0.25">
      <c r="A930" s="16" t="str">
        <f t="shared" si="96"/>
        <v>May</v>
      </c>
      <c r="B930" s="31">
        <v>43970</v>
      </c>
      <c r="C930" s="32" t="s">
        <v>25</v>
      </c>
      <c r="D930" s="9" t="str">
        <f t="shared" si="97"/>
        <v>43970 - 1S</v>
      </c>
      <c r="E930" s="32" t="s">
        <v>12</v>
      </c>
      <c r="F930" s="2">
        <v>8000055</v>
      </c>
      <c r="G930" s="4" t="str">
        <f>IFERROR(VLOOKUP(F930,Lists!$C:$D,2,0), "N/A")</f>
        <v>916.BF FLIPZ 25 LB BULK MILK CHOC</v>
      </c>
      <c r="H930" s="26">
        <f>IFERROR(VLOOKUP(F930,Lists!$C:$F,4,0),0)</f>
        <v>1.9508160000000001</v>
      </c>
      <c r="I930" s="7">
        <f t="shared" si="95"/>
        <v>7024</v>
      </c>
      <c r="J930" s="6">
        <f>280*25</f>
        <v>7000</v>
      </c>
      <c r="K930" s="33">
        <v>24</v>
      </c>
      <c r="L930" s="5">
        <f t="shared" si="98"/>
        <v>3.4285714285714284E-3</v>
      </c>
      <c r="M930" s="26">
        <f t="shared" si="99"/>
        <v>46.819584000000006</v>
      </c>
    </row>
    <row r="931" spans="1:13" x14ac:dyDescent="0.25">
      <c r="A931" s="16" t="str">
        <f t="shared" si="96"/>
        <v>May</v>
      </c>
      <c r="B931" s="31">
        <v>43970</v>
      </c>
      <c r="C931" s="32" t="s">
        <v>26</v>
      </c>
      <c r="D931" s="9" t="str">
        <f t="shared" si="97"/>
        <v>43970 - 2S</v>
      </c>
      <c r="E931" s="32" t="s">
        <v>9</v>
      </c>
      <c r="F931" s="2">
        <v>8000038</v>
      </c>
      <c r="G931" s="4" t="str">
        <f>IFERROR(VLOOKUP(F931,Lists!$C:$D,2,0), "N/A")</f>
        <v>TURTLES MILK CHOC PEC BITE SZ</v>
      </c>
      <c r="H931" s="26">
        <f>IFERROR(VLOOKUP(F931,Lists!$C:$F,4,0),0)</f>
        <v>1.96</v>
      </c>
      <c r="I931" s="7">
        <f t="shared" si="95"/>
        <v>1965.52</v>
      </c>
      <c r="J931" s="6">
        <v>1703.52</v>
      </c>
      <c r="K931" s="33">
        <v>262</v>
      </c>
      <c r="L931" s="5">
        <f t="shared" si="98"/>
        <v>0.15379919226073072</v>
      </c>
      <c r="M931" s="26">
        <f t="shared" si="99"/>
        <v>513.52</v>
      </c>
    </row>
    <row r="932" spans="1:13" x14ac:dyDescent="0.25">
      <c r="A932" s="16" t="str">
        <f t="shared" si="96"/>
        <v>May</v>
      </c>
      <c r="B932" s="31">
        <v>43970</v>
      </c>
      <c r="C932" s="32" t="s">
        <v>26</v>
      </c>
      <c r="D932" s="9" t="str">
        <f t="shared" si="97"/>
        <v>43970 - 2S</v>
      </c>
      <c r="E932" s="32" t="s">
        <v>11</v>
      </c>
      <c r="F932" s="2">
        <v>8000034</v>
      </c>
      <c r="G932" s="4" t="str">
        <f>IFERROR(VLOOKUP(F932,Lists!$C:$D,2,0), "N/A")</f>
        <v>KS MILK CHOC MACADAMIA</v>
      </c>
      <c r="H932" s="26">
        <f>IFERROR(VLOOKUP(F932,Lists!$C:$F,4,0),0)</f>
        <v>3.8943099999999999</v>
      </c>
      <c r="I932" s="7">
        <f t="shared" si="95"/>
        <v>5743</v>
      </c>
      <c r="J932" s="6">
        <v>5600</v>
      </c>
      <c r="K932" s="33">
        <v>143</v>
      </c>
      <c r="L932" s="5">
        <f t="shared" si="98"/>
        <v>2.5535714285714287E-2</v>
      </c>
      <c r="M932" s="26">
        <f t="shared" si="99"/>
        <v>556.88633000000004</v>
      </c>
    </row>
    <row r="933" spans="1:13" x14ac:dyDescent="0.25">
      <c r="A933" s="16" t="str">
        <f t="shared" si="96"/>
        <v>May</v>
      </c>
      <c r="B933" s="31">
        <v>43971</v>
      </c>
      <c r="C933" s="32" t="s">
        <v>24</v>
      </c>
      <c r="D933" s="9" t="str">
        <f t="shared" si="97"/>
        <v>43971 - 3S</v>
      </c>
      <c r="E933" s="32" t="s">
        <v>9</v>
      </c>
      <c r="F933" s="2">
        <v>8000038</v>
      </c>
      <c r="G933" s="4" t="str">
        <f>IFERROR(VLOOKUP(F933,Lists!$C:$D,2,0), "N/A")</f>
        <v>TURTLES MILK CHOC PEC BITE SZ</v>
      </c>
      <c r="H933" s="26">
        <f>IFERROR(VLOOKUP(F933,Lists!$C:$F,4,0),0)</f>
        <v>1.96</v>
      </c>
      <c r="I933" s="7">
        <f t="shared" si="95"/>
        <v>2577.36</v>
      </c>
      <c r="J933" s="6">
        <v>2271.36</v>
      </c>
      <c r="K933" s="33">
        <v>306</v>
      </c>
      <c r="L933" s="5">
        <f t="shared" si="98"/>
        <v>0.13472104818258665</v>
      </c>
      <c r="M933" s="26">
        <f t="shared" si="99"/>
        <v>599.76</v>
      </c>
    </row>
    <row r="934" spans="1:13" x14ac:dyDescent="0.25">
      <c r="A934" s="16" t="str">
        <f t="shared" si="96"/>
        <v>May</v>
      </c>
      <c r="B934" s="31">
        <v>43971</v>
      </c>
      <c r="C934" s="32" t="s">
        <v>24</v>
      </c>
      <c r="D934" s="9" t="str">
        <f t="shared" si="97"/>
        <v>43971 - 3S</v>
      </c>
      <c r="E934" s="32" t="s">
        <v>11</v>
      </c>
      <c r="F934" s="2">
        <v>8000034</v>
      </c>
      <c r="G934" s="4" t="str">
        <f>IFERROR(VLOOKUP(F934,Lists!$C:$D,2,0), "N/A")</f>
        <v>KS MILK CHOC MACADAMIA</v>
      </c>
      <c r="H934" s="26">
        <f>IFERROR(VLOOKUP(F934,Lists!$C:$F,4,0),0)</f>
        <v>3.8943099999999999</v>
      </c>
      <c r="I934" s="7">
        <f t="shared" si="95"/>
        <v>5688</v>
      </c>
      <c r="J934" s="6">
        <v>5600</v>
      </c>
      <c r="K934" s="33">
        <v>88</v>
      </c>
      <c r="L934" s="5">
        <f t="shared" si="98"/>
        <v>1.5714285714285715E-2</v>
      </c>
      <c r="M934" s="26">
        <f t="shared" si="99"/>
        <v>342.69927999999999</v>
      </c>
    </row>
    <row r="935" spans="1:13" x14ac:dyDescent="0.25">
      <c r="A935" s="16" t="str">
        <f t="shared" si="96"/>
        <v>May</v>
      </c>
      <c r="B935" s="31">
        <v>43971</v>
      </c>
      <c r="C935" s="32" t="s">
        <v>24</v>
      </c>
      <c r="D935" s="9" t="str">
        <f t="shared" si="97"/>
        <v>43971 - 3S</v>
      </c>
      <c r="E935" s="32" t="s">
        <v>15</v>
      </c>
      <c r="G935" s="4" t="str">
        <f>IFERROR(VLOOKUP(F935,Lists!$C:$D,2,0), "N/A")</f>
        <v>N/A</v>
      </c>
      <c r="H935" s="26">
        <f>IFERROR(VLOOKUP(F935,Lists!$C:$F,4,0),0)</f>
        <v>0</v>
      </c>
      <c r="I935" s="7">
        <f t="shared" si="95"/>
        <v>25</v>
      </c>
      <c r="K935" s="33">
        <v>25</v>
      </c>
      <c r="L935" s="5">
        <f t="shared" si="98"/>
        <v>1</v>
      </c>
      <c r="M935" s="26">
        <f t="shared" si="99"/>
        <v>0</v>
      </c>
    </row>
    <row r="936" spans="1:13" x14ac:dyDescent="0.25">
      <c r="A936" s="16" t="str">
        <f t="shared" si="96"/>
        <v>May</v>
      </c>
      <c r="B936" s="31">
        <v>43971</v>
      </c>
      <c r="C936" s="32" t="s">
        <v>25</v>
      </c>
      <c r="D936" s="9" t="str">
        <f t="shared" si="97"/>
        <v>43971 - 1S</v>
      </c>
      <c r="E936" s="32" t="s">
        <v>9</v>
      </c>
      <c r="F936" s="2">
        <v>8000038</v>
      </c>
      <c r="G936" s="4" t="str">
        <f>IFERROR(VLOOKUP(F936,Lists!$C:$D,2,0), "N/A")</f>
        <v>TURTLES MILK CHOC PEC BITE SZ</v>
      </c>
      <c r="H936" s="26">
        <f>IFERROR(VLOOKUP(F936,Lists!$C:$F,4,0),0)</f>
        <v>1.96</v>
      </c>
      <c r="I936" s="7">
        <f t="shared" si="95"/>
        <v>1973.52</v>
      </c>
      <c r="J936" s="6">
        <v>1703.52</v>
      </c>
      <c r="K936" s="33">
        <v>270</v>
      </c>
      <c r="L936" s="5">
        <f t="shared" si="98"/>
        <v>0.15849535080304311</v>
      </c>
      <c r="M936" s="26">
        <f t="shared" si="99"/>
        <v>529.20000000000005</v>
      </c>
    </row>
    <row r="937" spans="1:13" x14ac:dyDescent="0.25">
      <c r="A937" s="16" t="str">
        <f t="shared" si="96"/>
        <v>May</v>
      </c>
      <c r="B937" s="31">
        <v>43971</v>
      </c>
      <c r="C937" s="32" t="s">
        <v>25</v>
      </c>
      <c r="D937" s="9" t="str">
        <f t="shared" si="97"/>
        <v>43971 - 1S</v>
      </c>
      <c r="E937" s="32" t="s">
        <v>11</v>
      </c>
      <c r="F937" s="2">
        <v>8000034</v>
      </c>
      <c r="G937" s="4" t="str">
        <f>IFERROR(VLOOKUP(F937,Lists!$C:$D,2,0), "N/A")</f>
        <v>KS MILK CHOC MACADAMIA</v>
      </c>
      <c r="H937" s="26">
        <f>IFERROR(VLOOKUP(F937,Lists!$C:$F,4,0),0)</f>
        <v>3.8943099999999999</v>
      </c>
      <c r="I937" s="7">
        <f t="shared" si="95"/>
        <v>6407</v>
      </c>
      <c r="J937" s="6">
        <v>6400</v>
      </c>
      <c r="K937" s="33">
        <v>7</v>
      </c>
      <c r="L937" s="5">
        <f t="shared" si="98"/>
        <v>1.0937500000000001E-3</v>
      </c>
      <c r="M937" s="26">
        <f t="shared" si="99"/>
        <v>27.260169999999999</v>
      </c>
    </row>
    <row r="938" spans="1:13" x14ac:dyDescent="0.25">
      <c r="A938" s="16" t="str">
        <f t="shared" si="96"/>
        <v>May</v>
      </c>
      <c r="B938" s="31">
        <v>43971</v>
      </c>
      <c r="C938" s="32" t="s">
        <v>25</v>
      </c>
      <c r="D938" s="9" t="str">
        <f t="shared" si="97"/>
        <v>43971 - 1S</v>
      </c>
      <c r="E938" s="32" t="s">
        <v>12</v>
      </c>
      <c r="F938" s="2">
        <v>8000055</v>
      </c>
      <c r="G938" s="4" t="str">
        <f>IFERROR(VLOOKUP(F938,Lists!$C:$D,2,0), "N/A")</f>
        <v>916.BF FLIPZ 25 LB BULK MILK CHOC</v>
      </c>
      <c r="H938" s="26">
        <f>IFERROR(VLOOKUP(F938,Lists!$C:$F,4,0),0)</f>
        <v>1.9508160000000001</v>
      </c>
      <c r="I938" s="7">
        <f t="shared" si="95"/>
        <v>8037</v>
      </c>
      <c r="J938" s="6">
        <f>320*25</f>
        <v>8000</v>
      </c>
      <c r="K938" s="33">
        <v>37</v>
      </c>
      <c r="L938" s="5">
        <f t="shared" si="98"/>
        <v>4.6249999999999998E-3</v>
      </c>
      <c r="M938" s="26">
        <f t="shared" si="99"/>
        <v>72.180192000000005</v>
      </c>
    </row>
    <row r="939" spans="1:13" x14ac:dyDescent="0.25">
      <c r="A939" s="16" t="str">
        <f t="shared" si="96"/>
        <v>May</v>
      </c>
      <c r="B939" s="31">
        <v>43971</v>
      </c>
      <c r="C939" s="32" t="s">
        <v>26</v>
      </c>
      <c r="D939" s="9" t="str">
        <f t="shared" si="97"/>
        <v>43971 - 2S</v>
      </c>
      <c r="E939" s="32" t="s">
        <v>9</v>
      </c>
      <c r="F939" s="2">
        <v>8000039</v>
      </c>
      <c r="G939" s="4" t="str">
        <f>IFERROR(VLOOKUP(F939,Lists!$C:$D,2,0), "N/A")</f>
        <v>TURTLES MILK CHOC ORIG MINI</v>
      </c>
      <c r="H939" s="26">
        <f>IFERROR(VLOOKUP(F939,Lists!$C:$F,4,0),0)</f>
        <v>2.08013</v>
      </c>
      <c r="I939" s="7">
        <f t="shared" si="95"/>
        <v>6840</v>
      </c>
      <c r="J939" s="6">
        <f>224*30</f>
        <v>6720</v>
      </c>
      <c r="K939" s="33">
        <v>120</v>
      </c>
      <c r="L939" s="5">
        <f t="shared" si="98"/>
        <v>1.7857142857142856E-2</v>
      </c>
      <c r="M939" s="26">
        <f t="shared" si="99"/>
        <v>249.6156</v>
      </c>
    </row>
    <row r="940" spans="1:13" x14ac:dyDescent="0.25">
      <c r="A940" s="16" t="str">
        <f t="shared" si="96"/>
        <v>May</v>
      </c>
      <c r="B940" s="31">
        <v>43971</v>
      </c>
      <c r="C940" s="32" t="s">
        <v>26</v>
      </c>
      <c r="D940" s="9" t="str">
        <f t="shared" si="97"/>
        <v>43971 - 2S</v>
      </c>
      <c r="E940" s="32" t="s">
        <v>10</v>
      </c>
      <c r="F940" s="2">
        <v>8000055</v>
      </c>
      <c r="G940" s="4" t="str">
        <f>IFERROR(VLOOKUP(F940,Lists!$C:$D,2,0), "N/A")</f>
        <v>916.BF FLIPZ 25 LB BULK MILK CHOC</v>
      </c>
      <c r="H940" s="26">
        <f>IFERROR(VLOOKUP(F940,Lists!$C:$F,4,0),0)</f>
        <v>1.9508160000000001</v>
      </c>
      <c r="I940" s="7">
        <f t="shared" si="95"/>
        <v>1029</v>
      </c>
      <c r="J940" s="6">
        <f>40*25</f>
        <v>1000</v>
      </c>
      <c r="K940" s="33">
        <v>29</v>
      </c>
      <c r="L940" s="5">
        <f t="shared" si="98"/>
        <v>2.9000000000000001E-2</v>
      </c>
      <c r="M940" s="26">
        <f t="shared" si="99"/>
        <v>56.573664000000001</v>
      </c>
    </row>
    <row r="941" spans="1:13" x14ac:dyDescent="0.25">
      <c r="A941" s="16" t="str">
        <f t="shared" si="96"/>
        <v>May</v>
      </c>
      <c r="B941" s="31">
        <v>43971</v>
      </c>
      <c r="C941" s="32" t="s">
        <v>26</v>
      </c>
      <c r="D941" s="9" t="str">
        <f t="shared" si="97"/>
        <v>43971 - 2S</v>
      </c>
      <c r="E941" s="32" t="s">
        <v>11</v>
      </c>
      <c r="F941" s="2">
        <v>8000034</v>
      </c>
      <c r="G941" s="4" t="str">
        <f>IFERROR(VLOOKUP(F941,Lists!$C:$D,2,0), "N/A")</f>
        <v>KS MILK CHOC MACADAMIA</v>
      </c>
      <c r="H941" s="26">
        <f>IFERROR(VLOOKUP(F941,Lists!$C:$F,4,0),0)</f>
        <v>3.8943099999999999</v>
      </c>
      <c r="I941" s="7">
        <f t="shared" ref="I941:I1004" si="100">J941+K941</f>
        <v>4810</v>
      </c>
      <c r="J941" s="6">
        <v>4800</v>
      </c>
      <c r="K941" s="33">
        <v>10</v>
      </c>
      <c r="L941" s="5">
        <f t="shared" si="98"/>
        <v>2.0833333333333333E-3</v>
      </c>
      <c r="M941" s="26">
        <f t="shared" si="99"/>
        <v>38.943100000000001</v>
      </c>
    </row>
    <row r="942" spans="1:13" x14ac:dyDescent="0.25">
      <c r="A942" s="16" t="str">
        <f t="shared" si="96"/>
        <v>May</v>
      </c>
      <c r="B942" s="31">
        <v>43972</v>
      </c>
      <c r="C942" s="32" t="s">
        <v>24</v>
      </c>
      <c r="D942" s="9" t="str">
        <f t="shared" si="97"/>
        <v>43972 - 3S</v>
      </c>
      <c r="E942" s="32" t="s">
        <v>9</v>
      </c>
      <c r="F942" s="2">
        <v>8000039</v>
      </c>
      <c r="G942" s="4" t="str">
        <f>IFERROR(VLOOKUP(F942,Lists!$C:$D,2,0), "N/A")</f>
        <v>TURTLES MILK CHOC ORIG MINI</v>
      </c>
      <c r="H942" s="26">
        <f>IFERROR(VLOOKUP(F942,Lists!$C:$F,4,0),0)</f>
        <v>2.08013</v>
      </c>
      <c r="I942" s="7">
        <f t="shared" si="100"/>
        <v>8803</v>
      </c>
      <c r="J942" s="6">
        <v>8640</v>
      </c>
      <c r="K942" s="33">
        <v>163</v>
      </c>
      <c r="L942" s="5">
        <f t="shared" si="98"/>
        <v>1.8865740740740742E-2</v>
      </c>
      <c r="M942" s="26">
        <f t="shared" si="99"/>
        <v>339.06119000000001</v>
      </c>
    </row>
    <row r="943" spans="1:13" x14ac:dyDescent="0.25">
      <c r="A943" s="16" t="str">
        <f t="shared" si="96"/>
        <v>May</v>
      </c>
      <c r="B943" s="31">
        <v>43972</v>
      </c>
      <c r="C943" s="32" t="s">
        <v>24</v>
      </c>
      <c r="D943" s="9" t="str">
        <f t="shared" si="97"/>
        <v>43972 - 3S</v>
      </c>
      <c r="E943" s="32" t="s">
        <v>11</v>
      </c>
      <c r="F943" s="2">
        <v>8000034</v>
      </c>
      <c r="G943" s="4" t="str">
        <f>IFERROR(VLOOKUP(F943,Lists!$C:$D,2,0), "N/A")</f>
        <v>KS MILK CHOC MACADAMIA</v>
      </c>
      <c r="H943" s="26">
        <f>IFERROR(VLOOKUP(F943,Lists!$C:$F,4,0),0)</f>
        <v>3.8943099999999999</v>
      </c>
      <c r="I943" s="7">
        <f t="shared" si="100"/>
        <v>5675</v>
      </c>
      <c r="J943" s="6">
        <v>5600</v>
      </c>
      <c r="K943" s="33">
        <v>75</v>
      </c>
      <c r="L943" s="5">
        <f t="shared" si="98"/>
        <v>1.3392857142857142E-2</v>
      </c>
      <c r="M943" s="26">
        <f t="shared" si="99"/>
        <v>292.07324999999997</v>
      </c>
    </row>
    <row r="944" spans="1:13" x14ac:dyDescent="0.25">
      <c r="A944" s="16" t="str">
        <f t="shared" si="96"/>
        <v>May</v>
      </c>
      <c r="B944" s="31">
        <v>43972</v>
      </c>
      <c r="C944" s="32" t="s">
        <v>25</v>
      </c>
      <c r="D944" s="9" t="str">
        <f t="shared" si="97"/>
        <v>43972 - 1S</v>
      </c>
      <c r="E944" s="32" t="s">
        <v>10</v>
      </c>
      <c r="F944" s="2">
        <v>8000055</v>
      </c>
      <c r="G944" s="4" t="str">
        <f>IFERROR(VLOOKUP(F944,Lists!$C:$D,2,0), "N/A")</f>
        <v>916.BF FLIPZ 25 LB BULK MILK CHOC</v>
      </c>
      <c r="H944" s="26">
        <f>IFERROR(VLOOKUP(F944,Lists!$C:$F,4,0),0)</f>
        <v>1.9508160000000001</v>
      </c>
      <c r="I944" s="7">
        <f t="shared" si="100"/>
        <v>4069</v>
      </c>
      <c r="J944" s="6">
        <f>160*25</f>
        <v>4000</v>
      </c>
      <c r="K944" s="33">
        <v>69</v>
      </c>
      <c r="L944" s="5">
        <f t="shared" si="98"/>
        <v>1.7250000000000001E-2</v>
      </c>
      <c r="M944" s="26">
        <f t="shared" si="99"/>
        <v>134.60630399999999</v>
      </c>
    </row>
    <row r="945" spans="1:13" x14ac:dyDescent="0.25">
      <c r="A945" s="16" t="str">
        <f t="shared" si="96"/>
        <v>May</v>
      </c>
      <c r="B945" s="31">
        <v>43972</v>
      </c>
      <c r="C945" s="32" t="s">
        <v>25</v>
      </c>
      <c r="D945" s="9" t="str">
        <f t="shared" si="97"/>
        <v>43972 - 1S</v>
      </c>
      <c r="E945" s="32" t="s">
        <v>11</v>
      </c>
      <c r="F945" s="2">
        <v>8000034</v>
      </c>
      <c r="G945" s="4" t="str">
        <f>IFERROR(VLOOKUP(F945,Lists!$C:$D,2,0), "N/A")</f>
        <v>KS MILK CHOC MACADAMIA</v>
      </c>
      <c r="H945" s="26">
        <f>IFERROR(VLOOKUP(F945,Lists!$C:$F,4,0),0)</f>
        <v>3.8943099999999999</v>
      </c>
      <c r="I945" s="7">
        <f t="shared" si="100"/>
        <v>6553</v>
      </c>
      <c r="J945" s="6">
        <v>6400</v>
      </c>
      <c r="K945" s="33">
        <v>153</v>
      </c>
      <c r="L945" s="5">
        <f t="shared" si="98"/>
        <v>2.390625E-2</v>
      </c>
      <c r="M945" s="26">
        <f t="shared" si="99"/>
        <v>595.82943</v>
      </c>
    </row>
    <row r="946" spans="1:13" x14ac:dyDescent="0.25">
      <c r="A946" s="16" t="str">
        <f t="shared" ref="A946:A1009" si="101">TEXT(B946,"mmmm")</f>
        <v>May</v>
      </c>
      <c r="B946" s="31">
        <v>43972</v>
      </c>
      <c r="C946" s="32" t="s">
        <v>25</v>
      </c>
      <c r="D946" s="9" t="str">
        <f t="shared" si="97"/>
        <v>43972 - 1S</v>
      </c>
      <c r="E946" s="32" t="s">
        <v>12</v>
      </c>
      <c r="F946" s="2">
        <v>8000055</v>
      </c>
      <c r="G946" s="4" t="str">
        <f>IFERROR(VLOOKUP(F946,Lists!$C:$D,2,0), "N/A")</f>
        <v>916.BF FLIPZ 25 LB BULK MILK CHOC</v>
      </c>
      <c r="H946" s="26">
        <f>IFERROR(VLOOKUP(F946,Lists!$C:$F,4,0),0)</f>
        <v>1.9508160000000001</v>
      </c>
      <c r="I946" s="7">
        <f t="shared" si="100"/>
        <v>7025</v>
      </c>
      <c r="J946" s="6">
        <f>280*25</f>
        <v>7000</v>
      </c>
      <c r="K946" s="33">
        <v>25</v>
      </c>
      <c r="L946" s="5">
        <f t="shared" si="98"/>
        <v>3.5714285714285713E-3</v>
      </c>
      <c r="M946" s="26">
        <f t="shared" si="99"/>
        <v>48.770400000000002</v>
      </c>
    </row>
    <row r="947" spans="1:13" x14ac:dyDescent="0.25">
      <c r="A947" s="16" t="str">
        <f t="shared" si="101"/>
        <v>May</v>
      </c>
      <c r="B947" s="31">
        <v>43972</v>
      </c>
      <c r="C947" s="32" t="s">
        <v>25</v>
      </c>
      <c r="D947" s="9" t="str">
        <f t="shared" si="97"/>
        <v>43972 - 1S</v>
      </c>
      <c r="E947" s="32" t="s">
        <v>15</v>
      </c>
      <c r="G947" s="4" t="str">
        <f>IFERROR(VLOOKUP(F947,Lists!$C:$D,2,0), "N/A")</f>
        <v>N/A</v>
      </c>
      <c r="H947" s="26">
        <f>IFERROR(VLOOKUP(F947,Lists!$C:$F,4,0),0)</f>
        <v>0</v>
      </c>
      <c r="I947" s="7">
        <f t="shared" si="100"/>
        <v>55</v>
      </c>
      <c r="K947" s="33">
        <v>55</v>
      </c>
      <c r="L947" s="5">
        <f t="shared" si="98"/>
        <v>1</v>
      </c>
      <c r="M947" s="26">
        <f t="shared" si="99"/>
        <v>0</v>
      </c>
    </row>
    <row r="948" spans="1:13" x14ac:dyDescent="0.25">
      <c r="A948" s="16" t="str">
        <f t="shared" si="101"/>
        <v>May</v>
      </c>
      <c r="B948" s="31">
        <v>43972</v>
      </c>
      <c r="C948" s="32" t="s">
        <v>26</v>
      </c>
      <c r="D948" s="9" t="str">
        <f t="shared" si="97"/>
        <v>43972 - 2S</v>
      </c>
      <c r="E948" s="32" t="s">
        <v>9</v>
      </c>
      <c r="F948" s="2">
        <v>8000039</v>
      </c>
      <c r="G948" s="4" t="str">
        <f>IFERROR(VLOOKUP(F948,Lists!$C:$D,2,0), "N/A")</f>
        <v>TURTLES MILK CHOC ORIG MINI</v>
      </c>
      <c r="H948" s="26">
        <f>IFERROR(VLOOKUP(F948,Lists!$C:$F,4,0),0)</f>
        <v>2.08013</v>
      </c>
      <c r="I948" s="7">
        <f t="shared" si="100"/>
        <v>6834</v>
      </c>
      <c r="J948" s="6">
        <v>6720</v>
      </c>
      <c r="K948" s="33">
        <v>114</v>
      </c>
      <c r="L948" s="5">
        <f t="shared" si="98"/>
        <v>1.6964285714285713E-2</v>
      </c>
      <c r="M948" s="26">
        <f t="shared" si="99"/>
        <v>237.13481999999999</v>
      </c>
    </row>
    <row r="949" spans="1:13" x14ac:dyDescent="0.25">
      <c r="A949" s="16" t="str">
        <f t="shared" si="101"/>
        <v>May</v>
      </c>
      <c r="B949" s="31">
        <v>43972</v>
      </c>
      <c r="C949" s="32" t="s">
        <v>26</v>
      </c>
      <c r="D949" s="9" t="str">
        <f t="shared" si="97"/>
        <v>43972 - 2S</v>
      </c>
      <c r="E949" s="32" t="s">
        <v>11</v>
      </c>
      <c r="F949" s="2">
        <v>8000034</v>
      </c>
      <c r="G949" s="4" t="str">
        <f>IFERROR(VLOOKUP(F949,Lists!$C:$D,2,0), "N/A")</f>
        <v>KS MILK CHOC MACADAMIA</v>
      </c>
      <c r="H949" s="26">
        <f>IFERROR(VLOOKUP(F949,Lists!$C:$F,4,0),0)</f>
        <v>3.8943099999999999</v>
      </c>
      <c r="I949" s="7">
        <f t="shared" si="100"/>
        <v>5113</v>
      </c>
      <c r="J949" s="6">
        <v>4800</v>
      </c>
      <c r="K949" s="33">
        <v>313</v>
      </c>
      <c r="L949" s="5">
        <f t="shared" si="98"/>
        <v>6.5208333333333326E-2</v>
      </c>
      <c r="M949" s="26">
        <f t="shared" si="99"/>
        <v>1218.91903</v>
      </c>
    </row>
    <row r="950" spans="1:13" x14ac:dyDescent="0.25">
      <c r="A950" s="16" t="str">
        <f t="shared" si="101"/>
        <v>May</v>
      </c>
      <c r="B950" s="31">
        <v>43973</v>
      </c>
      <c r="C950" s="32" t="s">
        <v>24</v>
      </c>
      <c r="D950" s="9" t="str">
        <f t="shared" si="97"/>
        <v>43973 - 3S</v>
      </c>
      <c r="E950" s="32" t="s">
        <v>9</v>
      </c>
      <c r="F950" s="2">
        <v>8000039</v>
      </c>
      <c r="G950" s="4" t="str">
        <f>IFERROR(VLOOKUP(F950,Lists!$C:$D,2,0), "N/A")</f>
        <v>TURTLES MILK CHOC ORIG MINI</v>
      </c>
      <c r="H950" s="26">
        <f>IFERROR(VLOOKUP(F950,Lists!$C:$F,4,0),0)</f>
        <v>2.08013</v>
      </c>
      <c r="I950" s="7">
        <f t="shared" si="100"/>
        <v>6945</v>
      </c>
      <c r="J950" s="6">
        <v>6720</v>
      </c>
      <c r="K950" s="33">
        <v>225</v>
      </c>
      <c r="L950" s="5">
        <f t="shared" si="98"/>
        <v>3.3482142857142856E-2</v>
      </c>
      <c r="M950" s="26">
        <f t="shared" si="99"/>
        <v>468.02924999999999</v>
      </c>
    </row>
    <row r="951" spans="1:13" x14ac:dyDescent="0.25">
      <c r="A951" s="16" t="str">
        <f t="shared" si="101"/>
        <v>May</v>
      </c>
      <c r="B951" s="31">
        <v>43973</v>
      </c>
      <c r="C951" s="32" t="s">
        <v>24</v>
      </c>
      <c r="D951" s="9" t="str">
        <f t="shared" si="97"/>
        <v>43973 - 3S</v>
      </c>
      <c r="E951" s="32" t="s">
        <v>10</v>
      </c>
      <c r="F951" s="2">
        <v>8000055</v>
      </c>
      <c r="G951" s="4" t="str">
        <f>IFERROR(VLOOKUP(F951,Lists!$C:$D,2,0), "N/A")</f>
        <v>916.BF FLIPZ 25 LB BULK MILK CHOC</v>
      </c>
      <c r="H951" s="26">
        <f>IFERROR(VLOOKUP(F951,Lists!$C:$F,4,0),0)</f>
        <v>1.9508160000000001</v>
      </c>
      <c r="I951" s="7">
        <f t="shared" si="100"/>
        <v>3049</v>
      </c>
      <c r="J951" s="6">
        <f>120*25</f>
        <v>3000</v>
      </c>
      <c r="K951" s="33">
        <v>49</v>
      </c>
      <c r="L951" s="5">
        <f t="shared" si="98"/>
        <v>1.6333333333333332E-2</v>
      </c>
      <c r="M951" s="26">
        <f t="shared" si="99"/>
        <v>95.589984000000001</v>
      </c>
    </row>
    <row r="952" spans="1:13" x14ac:dyDescent="0.25">
      <c r="A952" s="16" t="str">
        <f t="shared" si="101"/>
        <v>May</v>
      </c>
      <c r="B952" s="31">
        <v>43973</v>
      </c>
      <c r="C952" s="32" t="s">
        <v>25</v>
      </c>
      <c r="D952" s="9" t="str">
        <f t="shared" si="97"/>
        <v>43973 - 1S</v>
      </c>
      <c r="E952" s="32" t="s">
        <v>9</v>
      </c>
      <c r="F952" s="2">
        <v>8000039</v>
      </c>
      <c r="G952" s="4" t="str">
        <f>IFERROR(VLOOKUP(F952,Lists!$C:$D,2,0), "N/A")</f>
        <v>TURTLES MILK CHOC ORIG MINI</v>
      </c>
      <c r="H952" s="26">
        <f>IFERROR(VLOOKUP(F952,Lists!$C:$F,4,0),0)</f>
        <v>2.08013</v>
      </c>
      <c r="I952" s="7">
        <f t="shared" si="100"/>
        <v>8760</v>
      </c>
      <c r="J952" s="6">
        <v>8640</v>
      </c>
      <c r="K952" s="33">
        <v>120</v>
      </c>
      <c r="L952" s="5">
        <f t="shared" si="98"/>
        <v>1.3888888888888888E-2</v>
      </c>
      <c r="M952" s="26">
        <f t="shared" si="99"/>
        <v>249.6156</v>
      </c>
    </row>
    <row r="953" spans="1:13" x14ac:dyDescent="0.25">
      <c r="A953" s="16" t="str">
        <f t="shared" si="101"/>
        <v>May</v>
      </c>
      <c r="B953" s="31">
        <v>43973</v>
      </c>
      <c r="C953" s="32" t="s">
        <v>25</v>
      </c>
      <c r="D953" s="9" t="str">
        <f t="shared" si="97"/>
        <v>43973 - 1S</v>
      </c>
      <c r="E953" s="32" t="s">
        <v>12</v>
      </c>
      <c r="F953" s="2">
        <v>8000055</v>
      </c>
      <c r="G953" s="4" t="str">
        <f>IFERROR(VLOOKUP(F953,Lists!$C:$D,2,0), "N/A")</f>
        <v>916.BF FLIPZ 25 LB BULK MILK CHOC</v>
      </c>
      <c r="H953" s="26">
        <f>IFERROR(VLOOKUP(F953,Lists!$C:$F,4,0),0)</f>
        <v>1.9508160000000001</v>
      </c>
      <c r="I953" s="7">
        <f t="shared" si="100"/>
        <v>7059</v>
      </c>
      <c r="J953" s="6">
        <f>280*25</f>
        <v>7000</v>
      </c>
      <c r="K953" s="33">
        <v>59</v>
      </c>
      <c r="L953" s="5">
        <f t="shared" si="98"/>
        <v>8.4285714285714294E-3</v>
      </c>
      <c r="M953" s="26">
        <f t="shared" si="99"/>
        <v>115.098144</v>
      </c>
    </row>
    <row r="954" spans="1:13" x14ac:dyDescent="0.25">
      <c r="A954" s="16" t="str">
        <f t="shared" si="101"/>
        <v>May</v>
      </c>
      <c r="B954" s="31">
        <v>43973</v>
      </c>
      <c r="C954" s="32" t="s">
        <v>26</v>
      </c>
      <c r="D954" s="9" t="str">
        <f t="shared" si="97"/>
        <v>43973 - 2S</v>
      </c>
      <c r="E954" s="32" t="s">
        <v>12</v>
      </c>
      <c r="F954" s="2">
        <v>8000055</v>
      </c>
      <c r="G954" s="4" t="str">
        <f>IFERROR(VLOOKUP(F954,Lists!$C:$D,2,0), "N/A")</f>
        <v>916.BF FLIPZ 25 LB BULK MILK CHOC</v>
      </c>
      <c r="H954" s="26">
        <f>IFERROR(VLOOKUP(F954,Lists!$C:$F,4,0),0)</f>
        <v>1.9508160000000001</v>
      </c>
      <c r="I954" s="7">
        <f t="shared" si="100"/>
        <v>9047</v>
      </c>
      <c r="J954" s="6">
        <f>360*25</f>
        <v>9000</v>
      </c>
      <c r="K954" s="33">
        <v>47</v>
      </c>
      <c r="L954" s="5">
        <f t="shared" si="98"/>
        <v>5.2222222222222218E-3</v>
      </c>
      <c r="M954" s="26">
        <f t="shared" si="99"/>
        <v>91.688352000000009</v>
      </c>
    </row>
    <row r="955" spans="1:13" x14ac:dyDescent="0.25">
      <c r="A955" s="16" t="str">
        <f t="shared" si="101"/>
        <v>May</v>
      </c>
      <c r="B955" s="31">
        <v>43974</v>
      </c>
      <c r="C955" s="32" t="s">
        <v>25</v>
      </c>
      <c r="D955" s="9" t="str">
        <f t="shared" si="97"/>
        <v>43974 - 1S</v>
      </c>
      <c r="E955" s="32" t="s">
        <v>12</v>
      </c>
      <c r="F955" s="2">
        <v>8000055</v>
      </c>
      <c r="G955" s="4" t="str">
        <f>IFERROR(VLOOKUP(F955,Lists!$C:$D,2,0), "N/A")</f>
        <v>916.BF FLIPZ 25 LB BULK MILK CHOC</v>
      </c>
      <c r="H955" s="26">
        <f>IFERROR(VLOOKUP(F955,Lists!$C:$F,4,0),0)</f>
        <v>1.9508160000000001</v>
      </c>
      <c r="I955" s="7">
        <f t="shared" si="100"/>
        <v>9021</v>
      </c>
      <c r="J955" s="6">
        <f>360*25</f>
        <v>9000</v>
      </c>
      <c r="K955" s="33">
        <v>21</v>
      </c>
      <c r="L955" s="5">
        <f t="shared" si="98"/>
        <v>2.3333333333333335E-3</v>
      </c>
      <c r="M955" s="26">
        <f t="shared" si="99"/>
        <v>40.967136000000004</v>
      </c>
    </row>
    <row r="956" spans="1:13" x14ac:dyDescent="0.25">
      <c r="A956" s="16" t="str">
        <f t="shared" si="101"/>
        <v>May</v>
      </c>
      <c r="B956" s="31">
        <v>43974</v>
      </c>
      <c r="C956" s="32" t="s">
        <v>26</v>
      </c>
      <c r="D956" s="9" t="str">
        <f t="shared" si="97"/>
        <v>43974 - 2S</v>
      </c>
      <c r="E956" s="32" t="s">
        <v>12</v>
      </c>
      <c r="F956" s="2">
        <v>8000055</v>
      </c>
      <c r="G956" s="4" t="str">
        <f>IFERROR(VLOOKUP(F956,Lists!$C:$D,2,0), "N/A")</f>
        <v>916.BF FLIPZ 25 LB BULK MILK CHOC</v>
      </c>
      <c r="H956" s="26">
        <f>IFERROR(VLOOKUP(F956,Lists!$C:$F,4,0),0)</f>
        <v>1.9508160000000001</v>
      </c>
      <c r="I956" s="7">
        <f t="shared" si="100"/>
        <v>10023</v>
      </c>
      <c r="J956" s="6">
        <f>400*25</f>
        <v>10000</v>
      </c>
      <c r="K956" s="33">
        <v>23</v>
      </c>
      <c r="L956" s="5">
        <f t="shared" si="98"/>
        <v>2.3E-3</v>
      </c>
      <c r="M956" s="26">
        <f t="shared" si="99"/>
        <v>44.868768000000003</v>
      </c>
    </row>
    <row r="957" spans="1:13" x14ac:dyDescent="0.25">
      <c r="A957" s="16" t="str">
        <f t="shared" si="101"/>
        <v>May</v>
      </c>
      <c r="B957" s="31">
        <v>43974</v>
      </c>
      <c r="C957" s="32" t="s">
        <v>24</v>
      </c>
      <c r="D957" s="9" t="str">
        <f t="shared" si="97"/>
        <v>43974 - 3S</v>
      </c>
      <c r="E957" s="32" t="s">
        <v>15</v>
      </c>
      <c r="G957" s="4" t="str">
        <f>IFERROR(VLOOKUP(F957,Lists!$C:$D,2,0), "N/A")</f>
        <v>N/A</v>
      </c>
      <c r="H957" s="26">
        <f>IFERROR(VLOOKUP(F957,Lists!$C:$F,4,0),0)</f>
        <v>0</v>
      </c>
      <c r="I957" s="7">
        <f t="shared" si="100"/>
        <v>20</v>
      </c>
      <c r="K957" s="33">
        <v>20</v>
      </c>
      <c r="L957" s="5">
        <f t="shared" si="98"/>
        <v>1</v>
      </c>
      <c r="M957" s="26">
        <f t="shared" si="99"/>
        <v>0</v>
      </c>
    </row>
    <row r="958" spans="1:13" x14ac:dyDescent="0.25">
      <c r="A958" s="16" t="str">
        <f t="shared" si="101"/>
        <v>May</v>
      </c>
      <c r="B958" s="31">
        <v>43975</v>
      </c>
      <c r="C958" s="32" t="s">
        <v>25</v>
      </c>
      <c r="D958" s="9" t="str">
        <f t="shared" si="97"/>
        <v>43975 - 1S</v>
      </c>
      <c r="E958" s="32" t="s">
        <v>12</v>
      </c>
      <c r="F958" s="2">
        <v>8000055</v>
      </c>
      <c r="G958" s="4" t="str">
        <f>IFERROR(VLOOKUP(F958,Lists!$C:$D,2,0), "N/A")</f>
        <v>916.BF FLIPZ 25 LB BULK MILK CHOC</v>
      </c>
      <c r="H958" s="26">
        <f>IFERROR(VLOOKUP(F958,Lists!$C:$F,4,0),0)</f>
        <v>1.9508160000000001</v>
      </c>
      <c r="I958" s="7">
        <f t="shared" si="100"/>
        <v>9089</v>
      </c>
      <c r="J958" s="6">
        <f>360*25</f>
        <v>9000</v>
      </c>
      <c r="K958" s="33">
        <v>89</v>
      </c>
      <c r="L958" s="5">
        <f t="shared" si="98"/>
        <v>9.888888888888888E-3</v>
      </c>
      <c r="M958" s="26">
        <f t="shared" si="99"/>
        <v>173.622624</v>
      </c>
    </row>
    <row r="959" spans="1:13" x14ac:dyDescent="0.25">
      <c r="A959" s="16" t="str">
        <f t="shared" si="101"/>
        <v>May</v>
      </c>
      <c r="B959" s="31">
        <v>43975</v>
      </c>
      <c r="C959" s="32" t="s">
        <v>26</v>
      </c>
      <c r="D959" s="9" t="str">
        <f t="shared" si="97"/>
        <v>43975 - 2S</v>
      </c>
      <c r="E959" s="32" t="s">
        <v>12</v>
      </c>
      <c r="F959" s="2">
        <v>8000055</v>
      </c>
      <c r="G959" s="4" t="str">
        <f>IFERROR(VLOOKUP(F959,Lists!$C:$D,2,0), "N/A")</f>
        <v>916.BF FLIPZ 25 LB BULK MILK CHOC</v>
      </c>
      <c r="H959" s="26">
        <f>IFERROR(VLOOKUP(F959,Lists!$C:$F,4,0),0)</f>
        <v>1.9508160000000001</v>
      </c>
      <c r="I959" s="7">
        <f t="shared" si="100"/>
        <v>7025</v>
      </c>
      <c r="J959" s="6">
        <f>280*25</f>
        <v>7000</v>
      </c>
      <c r="K959" s="33">
        <v>25</v>
      </c>
      <c r="L959" s="5">
        <f t="shared" si="98"/>
        <v>3.5714285714285713E-3</v>
      </c>
      <c r="M959" s="26">
        <f t="shared" si="99"/>
        <v>48.770400000000002</v>
      </c>
    </row>
    <row r="960" spans="1:13" x14ac:dyDescent="0.25">
      <c r="A960" s="16" t="str">
        <f t="shared" si="101"/>
        <v>May</v>
      </c>
      <c r="B960" s="31">
        <v>43976</v>
      </c>
      <c r="C960" s="32" t="s">
        <v>24</v>
      </c>
      <c r="D960" s="9" t="str">
        <f t="shared" si="97"/>
        <v>43976 - 3S</v>
      </c>
      <c r="E960" s="32" t="s">
        <v>9</v>
      </c>
      <c r="F960" s="2">
        <v>8000035</v>
      </c>
      <c r="G960" s="4" t="str">
        <f>IFERROR(VLOOKUP(F960,Lists!$C:$D,2,0), "N/A")</f>
        <v>TURTLES MILK CHOC ORIGINAL</v>
      </c>
      <c r="H960" s="26">
        <f>IFERROR(VLOOKUP(F960,Lists!$C:$F,4,0),0)</f>
        <v>1.91178</v>
      </c>
      <c r="I960" s="7">
        <f t="shared" si="100"/>
        <v>2890.8</v>
      </c>
      <c r="J960" s="6">
        <v>2312.8000000000002</v>
      </c>
      <c r="K960" s="33">
        <v>578</v>
      </c>
      <c r="L960" s="5">
        <f t="shared" si="98"/>
        <v>0.24991352473192666</v>
      </c>
      <c r="M960" s="26">
        <f t="shared" si="99"/>
        <v>1105.00884</v>
      </c>
    </row>
    <row r="961" spans="1:13" x14ac:dyDescent="0.25">
      <c r="A961" s="16" t="str">
        <f t="shared" si="101"/>
        <v>May</v>
      </c>
      <c r="B961" s="31">
        <v>43976</v>
      </c>
      <c r="C961" s="32" t="s">
        <v>24</v>
      </c>
      <c r="D961" s="9" t="str">
        <f t="shared" si="97"/>
        <v>43976 - 3S</v>
      </c>
      <c r="E961" s="32" t="s">
        <v>13</v>
      </c>
      <c r="F961" s="2">
        <v>8000055</v>
      </c>
      <c r="G961" s="4" t="str">
        <f>IFERROR(VLOOKUP(F961,Lists!$C:$D,2,0), "N/A")</f>
        <v>916.BF FLIPZ 25 LB BULK MILK CHOC</v>
      </c>
      <c r="H961" s="26">
        <f>IFERROR(VLOOKUP(F961,Lists!$C:$F,4,0),0)</f>
        <v>1.9508160000000001</v>
      </c>
      <c r="I961" s="7">
        <f t="shared" si="100"/>
        <v>1010</v>
      </c>
      <c r="J961" s="6">
        <f>40*25</f>
        <v>1000</v>
      </c>
      <c r="K961" s="33">
        <v>10</v>
      </c>
      <c r="L961" s="5">
        <f t="shared" si="98"/>
        <v>0.01</v>
      </c>
      <c r="M961" s="26">
        <f t="shared" si="99"/>
        <v>19.50816</v>
      </c>
    </row>
    <row r="962" spans="1:13" x14ac:dyDescent="0.25">
      <c r="A962" s="16" t="str">
        <f t="shared" si="101"/>
        <v>May</v>
      </c>
      <c r="B962" s="31">
        <v>43976</v>
      </c>
      <c r="C962" s="32" t="s">
        <v>25</v>
      </c>
      <c r="D962" s="9" t="str">
        <f t="shared" si="97"/>
        <v>43976 - 1S</v>
      </c>
      <c r="E962" s="32" t="s">
        <v>9</v>
      </c>
      <c r="F962" s="2">
        <v>8000035</v>
      </c>
      <c r="G962" s="4" t="str">
        <f>IFERROR(VLOOKUP(F962,Lists!$C:$D,2,0), "N/A")</f>
        <v>TURTLES MILK CHOC ORIGINAL</v>
      </c>
      <c r="H962" s="26">
        <f>IFERROR(VLOOKUP(F962,Lists!$C:$F,4,0),0)</f>
        <v>1.91178</v>
      </c>
      <c r="I962" s="7">
        <f t="shared" si="100"/>
        <v>7474.73</v>
      </c>
      <c r="J962" s="6">
        <v>6910.73</v>
      </c>
      <c r="K962" s="33">
        <v>564</v>
      </c>
      <c r="L962" s="5">
        <f t="shared" si="98"/>
        <v>8.1612217522606154E-2</v>
      </c>
      <c r="M962" s="26">
        <f t="shared" si="99"/>
        <v>1078.2439200000001</v>
      </c>
    </row>
    <row r="963" spans="1:13" x14ac:dyDescent="0.25">
      <c r="A963" s="16" t="str">
        <f t="shared" si="101"/>
        <v>May</v>
      </c>
      <c r="B963" s="31">
        <v>43976</v>
      </c>
      <c r="C963" s="32" t="s">
        <v>26</v>
      </c>
      <c r="D963" s="9" t="str">
        <f t="shared" si="97"/>
        <v>43976 - 2S</v>
      </c>
      <c r="E963" s="32" t="s">
        <v>12</v>
      </c>
      <c r="F963" s="2">
        <v>8000055</v>
      </c>
      <c r="G963" s="4" t="str">
        <f>IFERROR(VLOOKUP(F963,Lists!$C:$D,2,0), "N/A")</f>
        <v>916.BF FLIPZ 25 LB BULK MILK CHOC</v>
      </c>
      <c r="H963" s="26">
        <f>IFERROR(VLOOKUP(F963,Lists!$C:$F,4,0),0)</f>
        <v>1.9508160000000001</v>
      </c>
      <c r="I963" s="7">
        <f t="shared" si="100"/>
        <v>12035</v>
      </c>
      <c r="J963" s="6">
        <f>(120+360)*25</f>
        <v>12000</v>
      </c>
      <c r="K963" s="33">
        <v>35</v>
      </c>
      <c r="L963" s="5">
        <f t="shared" si="98"/>
        <v>2.9166666666666668E-3</v>
      </c>
      <c r="M963" s="26">
        <f t="shared" si="99"/>
        <v>68.278559999999999</v>
      </c>
    </row>
    <row r="964" spans="1:13" x14ac:dyDescent="0.25">
      <c r="A964" s="16" t="str">
        <f t="shared" si="101"/>
        <v>May</v>
      </c>
      <c r="B964" s="31">
        <v>43976</v>
      </c>
      <c r="C964" s="32" t="s">
        <v>26</v>
      </c>
      <c r="D964" s="9" t="str">
        <f t="shared" si="97"/>
        <v>43976 - 2S</v>
      </c>
      <c r="E964" s="32" t="s">
        <v>9</v>
      </c>
      <c r="F964" s="2">
        <v>8000035</v>
      </c>
      <c r="G964" s="4" t="str">
        <f>IFERROR(VLOOKUP(F964,Lists!$C:$D,2,0), "N/A")</f>
        <v>TURTLES MILK CHOC ORIGINAL</v>
      </c>
      <c r="H964" s="26">
        <f>IFERROR(VLOOKUP(F964,Lists!$C:$F,4,0),0)</f>
        <v>1.91178</v>
      </c>
      <c r="I964" s="7">
        <f t="shared" si="100"/>
        <v>5953.9</v>
      </c>
      <c r="J964" s="6">
        <v>5451.9</v>
      </c>
      <c r="K964" s="33">
        <v>502</v>
      </c>
      <c r="L964" s="5">
        <f t="shared" si="98"/>
        <v>9.2077991159045483E-2</v>
      </c>
      <c r="M964" s="26">
        <f t="shared" si="99"/>
        <v>959.71356000000003</v>
      </c>
    </row>
    <row r="965" spans="1:13" x14ac:dyDescent="0.25">
      <c r="A965" s="16" t="str">
        <f t="shared" si="101"/>
        <v>May</v>
      </c>
      <c r="B965" s="31">
        <v>43977</v>
      </c>
      <c r="C965" s="32" t="s">
        <v>24</v>
      </c>
      <c r="D965" s="9" t="str">
        <f t="shared" si="97"/>
        <v>43977 - 3S</v>
      </c>
      <c r="E965" s="32" t="s">
        <v>9</v>
      </c>
      <c r="F965" s="2">
        <v>8000035</v>
      </c>
      <c r="G965" s="4" t="str">
        <f>IFERROR(VLOOKUP(F965,Lists!$C:$D,2,0), "N/A")</f>
        <v>TURTLES MILK CHOC ORIGINAL</v>
      </c>
      <c r="H965" s="26">
        <f>IFERROR(VLOOKUP(F965,Lists!$C:$F,4,0),0)</f>
        <v>1.91178</v>
      </c>
      <c r="I965" s="7">
        <f t="shared" si="100"/>
        <v>8941.23</v>
      </c>
      <c r="J965" s="6">
        <v>8624.23</v>
      </c>
      <c r="K965" s="33">
        <v>317</v>
      </c>
      <c r="L965" s="5">
        <f t="shared" si="98"/>
        <v>3.6756904674388323E-2</v>
      </c>
      <c r="M965" s="26">
        <f t="shared" si="99"/>
        <v>606.03426000000002</v>
      </c>
    </row>
    <row r="966" spans="1:13" x14ac:dyDescent="0.25">
      <c r="A966" s="16" t="str">
        <f t="shared" si="101"/>
        <v>May</v>
      </c>
      <c r="B966" s="31">
        <v>43977</v>
      </c>
      <c r="C966" s="32" t="s">
        <v>24</v>
      </c>
      <c r="D966" s="9" t="str">
        <f t="shared" si="97"/>
        <v>43977 - 3S</v>
      </c>
      <c r="E966" s="32" t="s">
        <v>13</v>
      </c>
      <c r="F966" s="2">
        <v>8000055</v>
      </c>
      <c r="G966" s="4" t="str">
        <f>IFERROR(VLOOKUP(F966,Lists!$C:$D,2,0), "N/A")</f>
        <v>916.BF FLIPZ 25 LB BULK MILK CHOC</v>
      </c>
      <c r="H966" s="26">
        <f>IFERROR(VLOOKUP(F966,Lists!$C:$F,4,0),0)</f>
        <v>1.9508160000000001</v>
      </c>
      <c r="I966" s="7">
        <f t="shared" si="100"/>
        <v>2042</v>
      </c>
      <c r="J966" s="6">
        <f>80*25</f>
        <v>2000</v>
      </c>
      <c r="K966" s="33">
        <v>42</v>
      </c>
      <c r="L966" s="5">
        <f t="shared" si="98"/>
        <v>2.1000000000000001E-2</v>
      </c>
      <c r="M966" s="26">
        <f t="shared" si="99"/>
        <v>81.934272000000007</v>
      </c>
    </row>
    <row r="967" spans="1:13" x14ac:dyDescent="0.25">
      <c r="A967" s="16" t="str">
        <f t="shared" si="101"/>
        <v>May</v>
      </c>
      <c r="B967" s="31">
        <v>43977</v>
      </c>
      <c r="C967" s="32" t="s">
        <v>25</v>
      </c>
      <c r="D967" s="9" t="str">
        <f t="shared" si="97"/>
        <v>43977 - 1S</v>
      </c>
      <c r="E967" s="32" t="s">
        <v>9</v>
      </c>
      <c r="F967" s="2">
        <v>8000035</v>
      </c>
      <c r="G967" s="4" t="str">
        <f>IFERROR(VLOOKUP(F967,Lists!$C:$D,2,0), "N/A")</f>
        <v>TURTLES MILK CHOC ORIGINAL</v>
      </c>
      <c r="H967" s="26">
        <f>IFERROR(VLOOKUP(F967,Lists!$C:$F,4,0),0)</f>
        <v>1.91178</v>
      </c>
      <c r="I967" s="7">
        <f t="shared" si="100"/>
        <v>7504.65</v>
      </c>
      <c r="J967" s="6">
        <v>6708.65</v>
      </c>
      <c r="K967" s="33">
        <v>796</v>
      </c>
      <c r="L967" s="5">
        <f t="shared" si="98"/>
        <v>0.11865278409217951</v>
      </c>
      <c r="M967" s="26">
        <f t="shared" si="99"/>
        <v>1521.7768800000001</v>
      </c>
    </row>
    <row r="968" spans="1:13" x14ac:dyDescent="0.25">
      <c r="A968" s="16" t="str">
        <f t="shared" si="101"/>
        <v>May</v>
      </c>
      <c r="B968" s="31">
        <v>43977</v>
      </c>
      <c r="C968" s="32" t="s">
        <v>25</v>
      </c>
      <c r="D968" s="9" t="str">
        <f t="shared" ref="D968:D1032" si="102">CONCATENATE(B968," - ",C968)</f>
        <v>43977 - 1S</v>
      </c>
      <c r="E968" s="32" t="s">
        <v>12</v>
      </c>
      <c r="F968" s="2">
        <v>8000055</v>
      </c>
      <c r="G968" s="4" t="str">
        <f>IFERROR(VLOOKUP(F968,Lists!$C:$D,2,0), "N/A")</f>
        <v>916.BF FLIPZ 25 LB BULK MILK CHOC</v>
      </c>
      <c r="H968" s="26">
        <f>IFERROR(VLOOKUP(F968,Lists!$C:$F,4,0),0)</f>
        <v>1.9508160000000001</v>
      </c>
      <c r="I968" s="7">
        <f t="shared" si="100"/>
        <v>6041</v>
      </c>
      <c r="J968" s="6">
        <f>240*25</f>
        <v>6000</v>
      </c>
      <c r="K968" s="33">
        <v>41</v>
      </c>
      <c r="L968" s="5">
        <f t="shared" ref="L968:L1032" si="103">IFERROR((K968/J968),1)</f>
        <v>6.8333333333333336E-3</v>
      </c>
      <c r="M968" s="26">
        <f t="shared" ref="M968:M1032" si="104">K968*H968</f>
        <v>79.983456000000004</v>
      </c>
    </row>
    <row r="969" spans="1:13" x14ac:dyDescent="0.25">
      <c r="A969" s="16" t="str">
        <f t="shared" si="101"/>
        <v>May</v>
      </c>
      <c r="B969" s="31">
        <v>43977</v>
      </c>
      <c r="C969" s="32" t="s">
        <v>25</v>
      </c>
      <c r="D969" s="9" t="str">
        <f t="shared" si="102"/>
        <v>43977 - 1S</v>
      </c>
      <c r="E969" s="32" t="s">
        <v>13</v>
      </c>
      <c r="F969" s="2">
        <v>8000055</v>
      </c>
      <c r="G969" s="4" t="str">
        <f>IFERROR(VLOOKUP(F969,Lists!$C:$D,2,0), "N/A")</f>
        <v>916.BF FLIPZ 25 LB BULK MILK CHOC</v>
      </c>
      <c r="H969" s="26">
        <f>IFERROR(VLOOKUP(F969,Lists!$C:$F,4,0),0)</f>
        <v>1.9508160000000001</v>
      </c>
      <c r="I969" s="7">
        <f t="shared" si="100"/>
        <v>1031</v>
      </c>
      <c r="J969" s="6">
        <f>40*25</f>
        <v>1000</v>
      </c>
      <c r="K969" s="33">
        <v>31</v>
      </c>
      <c r="L969" s="5">
        <f t="shared" si="103"/>
        <v>3.1E-2</v>
      </c>
      <c r="M969" s="26">
        <f t="shared" si="104"/>
        <v>60.475296</v>
      </c>
    </row>
    <row r="970" spans="1:13" x14ac:dyDescent="0.25">
      <c r="A970" s="16" t="str">
        <f t="shared" si="101"/>
        <v>May</v>
      </c>
      <c r="B970" s="31">
        <v>43977</v>
      </c>
      <c r="C970" s="32" t="s">
        <v>26</v>
      </c>
      <c r="D970" s="9" t="str">
        <f t="shared" si="102"/>
        <v>43977 - 2S</v>
      </c>
      <c r="E970" s="32" t="s">
        <v>9</v>
      </c>
      <c r="F970" s="2">
        <v>8000035</v>
      </c>
      <c r="G970" s="4" t="str">
        <f>IFERROR(VLOOKUP(F970,Lists!$C:$D,2,0), "N/A")</f>
        <v>TURTLES MILK CHOC ORIGINAL</v>
      </c>
      <c r="H970" s="26">
        <f>IFERROR(VLOOKUP(F970,Lists!$C:$F,4,0),0)</f>
        <v>1.91178</v>
      </c>
      <c r="I970" s="7">
        <f t="shared" si="100"/>
        <v>10209.379999999999</v>
      </c>
      <c r="J970" s="6">
        <v>9619.3799999999992</v>
      </c>
      <c r="K970" s="33">
        <v>590</v>
      </c>
      <c r="L970" s="5">
        <f t="shared" si="103"/>
        <v>6.1334514282625291E-2</v>
      </c>
      <c r="M970" s="26">
        <f t="shared" si="104"/>
        <v>1127.9502</v>
      </c>
    </row>
    <row r="971" spans="1:13" x14ac:dyDescent="0.25">
      <c r="A971" s="16" t="str">
        <f t="shared" si="101"/>
        <v>May</v>
      </c>
      <c r="B971" s="31">
        <v>43977</v>
      </c>
      <c r="C971" s="32" t="s">
        <v>26</v>
      </c>
      <c r="D971" s="9" t="str">
        <f t="shared" si="102"/>
        <v>43977 - 2S</v>
      </c>
      <c r="E971" s="32" t="s">
        <v>13</v>
      </c>
      <c r="F971" s="2">
        <v>8000055</v>
      </c>
      <c r="G971" s="4" t="str">
        <f>IFERROR(VLOOKUP(F971,Lists!$C:$D,2,0), "N/A")</f>
        <v>916.BF FLIPZ 25 LB BULK MILK CHOC</v>
      </c>
      <c r="H971" s="26">
        <f>IFERROR(VLOOKUP(F971,Lists!$C:$F,4,0),0)</f>
        <v>1.9508160000000001</v>
      </c>
      <c r="I971" s="7">
        <f t="shared" si="100"/>
        <v>3007</v>
      </c>
      <c r="J971" s="6">
        <f>120*25</f>
        <v>3000</v>
      </c>
      <c r="K971" s="33">
        <v>7</v>
      </c>
      <c r="L971" s="5">
        <f t="shared" si="103"/>
        <v>2.3333333333333335E-3</v>
      </c>
      <c r="M971" s="26">
        <f t="shared" si="104"/>
        <v>13.655712000000001</v>
      </c>
    </row>
    <row r="972" spans="1:13" x14ac:dyDescent="0.25">
      <c r="A972" s="16" t="str">
        <f t="shared" si="101"/>
        <v>May</v>
      </c>
      <c r="B972" s="31">
        <v>43978</v>
      </c>
      <c r="C972" s="32" t="s">
        <v>24</v>
      </c>
      <c r="D972" s="9" t="str">
        <f t="shared" si="102"/>
        <v>43978 - 3S</v>
      </c>
      <c r="E972" s="32" t="s">
        <v>9</v>
      </c>
      <c r="F972" s="2">
        <v>8000035</v>
      </c>
      <c r="G972" s="4" t="str">
        <f>IFERROR(VLOOKUP(F972,Lists!$C:$D,2,0), "N/A")</f>
        <v>TURTLES MILK CHOC ORIGINAL</v>
      </c>
      <c r="H972" s="26">
        <f>IFERROR(VLOOKUP(F972,Lists!$C:$F,4,0),0)</f>
        <v>1.91178</v>
      </c>
      <c r="I972" s="7">
        <f t="shared" si="100"/>
        <v>3202.6</v>
      </c>
      <c r="J972" s="6">
        <v>2705.6</v>
      </c>
      <c r="K972" s="33">
        <v>497</v>
      </c>
      <c r="L972" s="5">
        <f t="shared" si="103"/>
        <v>0.18369308101714962</v>
      </c>
      <c r="M972" s="26">
        <f t="shared" si="104"/>
        <v>950.15466000000004</v>
      </c>
    </row>
    <row r="973" spans="1:13" x14ac:dyDescent="0.25">
      <c r="A973" s="16" t="str">
        <f t="shared" si="101"/>
        <v>May</v>
      </c>
      <c r="B973" s="31">
        <v>43978</v>
      </c>
      <c r="C973" s="32" t="s">
        <v>25</v>
      </c>
      <c r="D973" s="9" t="str">
        <f t="shared" si="102"/>
        <v>43978 - 1S</v>
      </c>
      <c r="E973" s="32" t="s">
        <v>12</v>
      </c>
      <c r="F973" s="2">
        <v>8000055</v>
      </c>
      <c r="G973" s="4" t="str">
        <f>IFERROR(VLOOKUP(F973,Lists!$C:$D,2,0), "N/A")</f>
        <v>916.BF FLIPZ 25 LB BULK MILK CHOC</v>
      </c>
      <c r="H973" s="26">
        <f>IFERROR(VLOOKUP(F973,Lists!$C:$F,4,0),0)</f>
        <v>1.9508160000000001</v>
      </c>
      <c r="I973" s="7">
        <f t="shared" si="100"/>
        <v>7014</v>
      </c>
      <c r="J973" s="6">
        <f>280*25</f>
        <v>7000</v>
      </c>
      <c r="K973" s="33">
        <v>14</v>
      </c>
      <c r="L973" s="5">
        <f t="shared" si="103"/>
        <v>2E-3</v>
      </c>
      <c r="M973" s="26">
        <f t="shared" si="104"/>
        <v>27.311424000000002</v>
      </c>
    </row>
    <row r="974" spans="1:13" x14ac:dyDescent="0.25">
      <c r="A974" s="16" t="str">
        <f t="shared" si="101"/>
        <v>May</v>
      </c>
      <c r="B974" s="31">
        <v>43978</v>
      </c>
      <c r="C974" s="32" t="s">
        <v>25</v>
      </c>
      <c r="D974" s="9" t="str">
        <f t="shared" si="102"/>
        <v>43978 - 1S</v>
      </c>
      <c r="E974" s="32" t="s">
        <v>9</v>
      </c>
      <c r="F974" s="2">
        <v>8000035</v>
      </c>
      <c r="G974" s="4" t="str">
        <f>IFERROR(VLOOKUP(F974,Lists!$C:$D,2,0), "N/A")</f>
        <v>TURTLES MILK CHOC ORIGINAL</v>
      </c>
      <c r="H974" s="26">
        <f>IFERROR(VLOOKUP(F974,Lists!$C:$F,4,0),0)</f>
        <v>1.91178</v>
      </c>
      <c r="I974" s="7">
        <f t="shared" si="100"/>
        <v>8180.83</v>
      </c>
      <c r="J974" s="6">
        <v>7649.83</v>
      </c>
      <c r="K974" s="33">
        <v>531</v>
      </c>
      <c r="L974" s="5">
        <f t="shared" si="103"/>
        <v>6.9413307223820664E-2</v>
      </c>
      <c r="M974" s="26">
        <f t="shared" si="104"/>
        <v>1015.15518</v>
      </c>
    </row>
    <row r="975" spans="1:13" x14ac:dyDescent="0.25">
      <c r="A975" s="16" t="str">
        <f t="shared" si="101"/>
        <v>May</v>
      </c>
      <c r="B975" s="31">
        <v>43978</v>
      </c>
      <c r="C975" s="32" t="s">
        <v>26</v>
      </c>
      <c r="D975" s="9" t="str">
        <f t="shared" si="102"/>
        <v>43978 - 2S</v>
      </c>
      <c r="E975" s="32" t="s">
        <v>12</v>
      </c>
      <c r="F975" s="2">
        <v>8000055</v>
      </c>
      <c r="G975" s="4" t="str">
        <f>IFERROR(VLOOKUP(F975,Lists!$C:$D,2,0), "N/A")</f>
        <v>916.BF FLIPZ 25 LB BULK MILK CHOC</v>
      </c>
      <c r="H975" s="26">
        <f>IFERROR(VLOOKUP(F975,Lists!$C:$F,4,0),0)</f>
        <v>1.9508160000000001</v>
      </c>
      <c r="I975" s="7">
        <f t="shared" si="100"/>
        <v>9019</v>
      </c>
      <c r="J975" s="6">
        <f>360*25</f>
        <v>9000</v>
      </c>
      <c r="K975" s="33">
        <v>19</v>
      </c>
      <c r="L975" s="5">
        <f t="shared" si="103"/>
        <v>2.1111111111111109E-3</v>
      </c>
      <c r="M975" s="26">
        <f t="shared" si="104"/>
        <v>37.065504000000004</v>
      </c>
    </row>
    <row r="976" spans="1:13" x14ac:dyDescent="0.25">
      <c r="A976" s="16" t="str">
        <f t="shared" si="101"/>
        <v>May</v>
      </c>
      <c r="B976" s="31">
        <v>43978</v>
      </c>
      <c r="C976" s="32" t="s">
        <v>26</v>
      </c>
      <c r="D976" s="9" t="str">
        <f t="shared" si="102"/>
        <v>43978 - 2S</v>
      </c>
      <c r="E976" s="32" t="s">
        <v>9</v>
      </c>
      <c r="F976" s="2">
        <v>8000035</v>
      </c>
      <c r="G976" s="4" t="str">
        <f>IFERROR(VLOOKUP(F976,Lists!$C:$D,2,0), "N/A")</f>
        <v>TURTLES MILK CHOC ORIGINAL</v>
      </c>
      <c r="H976" s="26">
        <f>IFERROR(VLOOKUP(F976,Lists!$C:$F,4,0),0)</f>
        <v>1.91178</v>
      </c>
      <c r="I976" s="7">
        <f t="shared" si="100"/>
        <v>7573</v>
      </c>
      <c r="J976" s="6">
        <v>6991</v>
      </c>
      <c r="K976" s="33">
        <v>582</v>
      </c>
      <c r="L976" s="5">
        <f t="shared" si="103"/>
        <v>8.3249892719210419E-2</v>
      </c>
      <c r="M976" s="26">
        <f t="shared" si="104"/>
        <v>1112.6559600000001</v>
      </c>
    </row>
    <row r="977" spans="1:13" x14ac:dyDescent="0.25">
      <c r="A977" s="16" t="str">
        <f t="shared" si="101"/>
        <v>May</v>
      </c>
      <c r="B977" s="31">
        <v>43979</v>
      </c>
      <c r="C977" s="32" t="s">
        <v>24</v>
      </c>
      <c r="D977" s="9" t="str">
        <f t="shared" si="102"/>
        <v>43979 - 3S</v>
      </c>
      <c r="E977" s="32" t="s">
        <v>10</v>
      </c>
      <c r="F977" s="2">
        <v>8000055</v>
      </c>
      <c r="G977" s="4" t="str">
        <f>IFERROR(VLOOKUP(F977,Lists!$C:$D,2,0), "N/A")</f>
        <v>916.BF FLIPZ 25 LB BULK MILK CHOC</v>
      </c>
      <c r="H977" s="26">
        <f>IFERROR(VLOOKUP(F977,Lists!$C:$F,4,0),0)</f>
        <v>1.9508160000000001</v>
      </c>
      <c r="I977" s="7">
        <f t="shared" si="100"/>
        <v>3070</v>
      </c>
      <c r="J977" s="6">
        <f>120*25</f>
        <v>3000</v>
      </c>
      <c r="K977" s="33">
        <v>70</v>
      </c>
      <c r="L977" s="5">
        <f t="shared" si="103"/>
        <v>2.3333333333333334E-2</v>
      </c>
      <c r="M977" s="26">
        <f t="shared" si="104"/>
        <v>136.55712</v>
      </c>
    </row>
    <row r="978" spans="1:13" x14ac:dyDescent="0.25">
      <c r="A978" s="16" t="str">
        <f t="shared" si="101"/>
        <v>May</v>
      </c>
      <c r="B978" s="31">
        <v>43979</v>
      </c>
      <c r="C978" s="32" t="s">
        <v>24</v>
      </c>
      <c r="D978" s="9" t="str">
        <f t="shared" si="102"/>
        <v>43979 - 3S</v>
      </c>
      <c r="E978" s="32" t="s">
        <v>9</v>
      </c>
      <c r="F978" s="2">
        <v>8000035</v>
      </c>
      <c r="G978" s="4" t="str">
        <f>IFERROR(VLOOKUP(F978,Lists!$C:$D,2,0), "N/A")</f>
        <v>TURTLES MILK CHOC ORIGINAL</v>
      </c>
      <c r="H978" s="26">
        <f>IFERROR(VLOOKUP(F978,Lists!$C:$F,4,0),0)</f>
        <v>1.91178</v>
      </c>
      <c r="I978" s="7">
        <f t="shared" si="100"/>
        <v>6641.03</v>
      </c>
      <c r="J978" s="6">
        <v>6137.03</v>
      </c>
      <c r="K978" s="33">
        <v>504</v>
      </c>
      <c r="L978" s="5">
        <f t="shared" si="103"/>
        <v>8.2124415230168349E-2</v>
      </c>
      <c r="M978" s="26">
        <f t="shared" si="104"/>
        <v>963.53712000000007</v>
      </c>
    </row>
    <row r="979" spans="1:13" x14ac:dyDescent="0.25">
      <c r="A979" s="16" t="str">
        <f t="shared" si="101"/>
        <v>May</v>
      </c>
      <c r="B979" s="31">
        <v>43979</v>
      </c>
      <c r="C979" s="32" t="s">
        <v>24</v>
      </c>
      <c r="D979" s="9" t="str">
        <f t="shared" si="102"/>
        <v>43979 - 3S</v>
      </c>
      <c r="E979" s="32" t="s">
        <v>13</v>
      </c>
      <c r="F979" s="2">
        <v>8000055</v>
      </c>
      <c r="G979" s="4" t="str">
        <f>IFERROR(VLOOKUP(F979,Lists!$C:$D,2,0), "N/A")</f>
        <v>916.BF FLIPZ 25 LB BULK MILK CHOC</v>
      </c>
      <c r="H979" s="26">
        <f>IFERROR(VLOOKUP(F979,Lists!$C:$F,4,0),0)</f>
        <v>1.9508160000000001</v>
      </c>
      <c r="I979" s="7">
        <f t="shared" si="100"/>
        <v>1027</v>
      </c>
      <c r="J979" s="6">
        <f>40*25</f>
        <v>1000</v>
      </c>
      <c r="K979" s="33">
        <v>27</v>
      </c>
      <c r="L979" s="5">
        <f t="shared" si="103"/>
        <v>2.7E-2</v>
      </c>
      <c r="M979" s="26">
        <f t="shared" si="104"/>
        <v>52.672032000000002</v>
      </c>
    </row>
    <row r="980" spans="1:13" x14ac:dyDescent="0.25">
      <c r="A980" s="16" t="s">
        <v>435</v>
      </c>
      <c r="B980" s="31">
        <v>43979</v>
      </c>
      <c r="C980" s="32" t="s">
        <v>25</v>
      </c>
      <c r="D980" s="9" t="str">
        <f t="shared" si="102"/>
        <v>43979 - 1S</v>
      </c>
      <c r="E980" s="32" t="s">
        <v>9</v>
      </c>
      <c r="F980" s="2">
        <v>8000035</v>
      </c>
      <c r="G980" s="4" t="str">
        <f>IFERROR(VLOOKUP(F980,Lists!$C:$D,2,0), "N/A")</f>
        <v>TURTLES MILK CHOC ORIGINAL</v>
      </c>
      <c r="H980" s="26">
        <f>IFERROR(VLOOKUP(F980,Lists!$C:$F,4,0),0)</f>
        <v>1.91178</v>
      </c>
      <c r="I980" s="7">
        <f t="shared" si="100"/>
        <v>9386.58</v>
      </c>
      <c r="J980" s="6">
        <v>8906.58</v>
      </c>
      <c r="K980" s="33">
        <v>480</v>
      </c>
      <c r="L980" s="5">
        <f t="shared" si="103"/>
        <v>5.3892739974266218E-2</v>
      </c>
      <c r="M980" s="26">
        <f t="shared" si="104"/>
        <v>917.65440000000001</v>
      </c>
    </row>
    <row r="981" spans="1:13" x14ac:dyDescent="0.25">
      <c r="A981" s="16" t="str">
        <f t="shared" si="101"/>
        <v>May</v>
      </c>
      <c r="B981" s="31">
        <v>43979</v>
      </c>
      <c r="C981" s="32" t="s">
        <v>25</v>
      </c>
      <c r="D981" s="9" t="str">
        <f t="shared" si="102"/>
        <v>43979 - 1S</v>
      </c>
      <c r="E981" s="32" t="s">
        <v>10</v>
      </c>
      <c r="F981" s="2">
        <v>8000055</v>
      </c>
      <c r="G981" s="4" t="str">
        <f>IFERROR(VLOOKUP(F981,Lists!$C:$D,2,0), "N/A")</f>
        <v>916.BF FLIPZ 25 LB BULK MILK CHOC</v>
      </c>
      <c r="H981" s="26">
        <f>IFERROR(VLOOKUP(F981,Lists!$C:$F,4,0),0)</f>
        <v>1.9508160000000001</v>
      </c>
      <c r="I981" s="7">
        <f t="shared" si="100"/>
        <v>2016</v>
      </c>
      <c r="J981" s="6">
        <f>80*25</f>
        <v>2000</v>
      </c>
      <c r="K981" s="33">
        <v>16</v>
      </c>
      <c r="L981" s="5">
        <f t="shared" si="103"/>
        <v>8.0000000000000002E-3</v>
      </c>
      <c r="M981" s="26">
        <f t="shared" si="104"/>
        <v>31.213056000000002</v>
      </c>
    </row>
    <row r="982" spans="1:13" x14ac:dyDescent="0.25">
      <c r="A982" s="16" t="str">
        <f t="shared" si="101"/>
        <v>May</v>
      </c>
      <c r="B982" s="31">
        <v>43979</v>
      </c>
      <c r="C982" s="32" t="s">
        <v>25</v>
      </c>
      <c r="D982" s="9" t="str">
        <f t="shared" si="102"/>
        <v>43979 - 1S</v>
      </c>
      <c r="E982" s="32" t="s">
        <v>12</v>
      </c>
      <c r="F982" s="2">
        <v>8000055</v>
      </c>
      <c r="G982" s="4" t="str">
        <f>IFERROR(VLOOKUP(F982,Lists!$C:$D,2,0), "N/A")</f>
        <v>916.BF FLIPZ 25 LB BULK MILK CHOC</v>
      </c>
      <c r="H982" s="26">
        <f>IFERROR(VLOOKUP(F982,Lists!$C:$F,4,0),0)</f>
        <v>1.9508160000000001</v>
      </c>
      <c r="I982" s="7">
        <f t="shared" si="100"/>
        <v>8042</v>
      </c>
      <c r="J982" s="6">
        <f>320*25</f>
        <v>8000</v>
      </c>
      <c r="K982" s="33">
        <v>42</v>
      </c>
      <c r="L982" s="5">
        <f t="shared" si="103"/>
        <v>5.2500000000000003E-3</v>
      </c>
      <c r="M982" s="26">
        <f t="shared" si="104"/>
        <v>81.934272000000007</v>
      </c>
    </row>
    <row r="983" spans="1:13" x14ac:dyDescent="0.25">
      <c r="A983" s="16" t="str">
        <f t="shared" si="101"/>
        <v>May</v>
      </c>
      <c r="B983" s="31">
        <v>43979</v>
      </c>
      <c r="C983" s="32" t="s">
        <v>25</v>
      </c>
      <c r="D983" s="9" t="str">
        <f t="shared" si="102"/>
        <v>43979 - 1S</v>
      </c>
      <c r="E983" s="32" t="s">
        <v>13</v>
      </c>
      <c r="F983" s="2">
        <v>8000055</v>
      </c>
      <c r="G983" s="4" t="str">
        <f>IFERROR(VLOOKUP(F983,Lists!$C:$D,2,0), "N/A")</f>
        <v>916.BF FLIPZ 25 LB BULK MILK CHOC</v>
      </c>
      <c r="H983" s="26">
        <f>IFERROR(VLOOKUP(F983,Lists!$C:$F,4,0),0)</f>
        <v>1.9508160000000001</v>
      </c>
      <c r="I983" s="7">
        <f t="shared" si="100"/>
        <v>1004</v>
      </c>
      <c r="J983" s="6">
        <f>40*25</f>
        <v>1000</v>
      </c>
      <c r="K983" s="33">
        <v>4</v>
      </c>
      <c r="L983" s="5">
        <f t="shared" si="103"/>
        <v>4.0000000000000001E-3</v>
      </c>
      <c r="M983" s="26">
        <f t="shared" si="104"/>
        <v>7.8032640000000004</v>
      </c>
    </row>
    <row r="984" spans="1:13" x14ac:dyDescent="0.25">
      <c r="A984" s="16" t="str">
        <f t="shared" si="101"/>
        <v>May</v>
      </c>
      <c r="B984" s="31">
        <v>43979</v>
      </c>
      <c r="C984" s="32" t="s">
        <v>25</v>
      </c>
      <c r="D984" s="9" t="str">
        <f t="shared" si="102"/>
        <v>43979 - 1S</v>
      </c>
      <c r="E984" s="32" t="s">
        <v>15</v>
      </c>
      <c r="G984" s="4" t="str">
        <f>IFERROR(VLOOKUP(F984,Lists!$C:$D,2,0), "N/A")</f>
        <v>N/A</v>
      </c>
      <c r="H984" s="26">
        <f>IFERROR(VLOOKUP(F984,Lists!$C:$F,4,0),0)</f>
        <v>0</v>
      </c>
      <c r="I984" s="7">
        <f t="shared" si="100"/>
        <v>25</v>
      </c>
      <c r="K984" s="33">
        <v>25</v>
      </c>
      <c r="L984" s="5">
        <f t="shared" si="103"/>
        <v>1</v>
      </c>
      <c r="M984" s="26">
        <f t="shared" si="104"/>
        <v>0</v>
      </c>
    </row>
    <row r="985" spans="1:13" x14ac:dyDescent="0.25">
      <c r="A985" s="16" t="str">
        <f t="shared" si="101"/>
        <v>May</v>
      </c>
      <c r="B985" s="31">
        <v>43979</v>
      </c>
      <c r="C985" s="32" t="s">
        <v>26</v>
      </c>
      <c r="D985" s="9" t="str">
        <f t="shared" si="102"/>
        <v>43979 - 2S</v>
      </c>
      <c r="E985" s="32" t="s">
        <v>9</v>
      </c>
      <c r="F985" s="2">
        <v>8000035</v>
      </c>
      <c r="G985" s="4" t="str">
        <f>IFERROR(VLOOKUP(F985,Lists!$C:$D,2,0), "N/A")</f>
        <v>TURTLES MILK CHOC ORIGINAL</v>
      </c>
      <c r="H985" s="26">
        <f>IFERROR(VLOOKUP(F985,Lists!$C:$F,4,0),0)</f>
        <v>1.91178</v>
      </c>
      <c r="I985" s="7">
        <f t="shared" si="100"/>
        <v>9914.18</v>
      </c>
      <c r="J985" s="6">
        <v>9532.18</v>
      </c>
      <c r="K985" s="33">
        <v>382</v>
      </c>
      <c r="L985" s="5">
        <f t="shared" si="103"/>
        <v>4.007477827737202E-2</v>
      </c>
      <c r="M985" s="26">
        <f t="shared" si="104"/>
        <v>730.29996000000006</v>
      </c>
    </row>
    <row r="986" spans="1:13" x14ac:dyDescent="0.25">
      <c r="A986" s="16" t="str">
        <f t="shared" si="101"/>
        <v>May</v>
      </c>
      <c r="B986" s="31">
        <v>43980</v>
      </c>
      <c r="C986" s="32" t="s">
        <v>24</v>
      </c>
      <c r="D986" s="9" t="str">
        <f t="shared" si="102"/>
        <v>43980 - 3S</v>
      </c>
      <c r="E986" s="32" t="s">
        <v>9</v>
      </c>
      <c r="F986" s="2">
        <v>8000035</v>
      </c>
      <c r="G986" s="4" t="str">
        <f>IFERROR(VLOOKUP(F986,Lists!$C:$D,2,0), "N/A")</f>
        <v>TURTLES MILK CHOC ORIGINAL</v>
      </c>
      <c r="H986" s="26">
        <f>IFERROR(VLOOKUP(F986,Lists!$C:$F,4,0),0)</f>
        <v>1.91178</v>
      </c>
      <c r="I986" s="7">
        <f t="shared" si="100"/>
        <v>7751.4</v>
      </c>
      <c r="J986" s="6">
        <v>7165.4</v>
      </c>
      <c r="K986" s="33">
        <v>586</v>
      </c>
      <c r="L986" s="5">
        <f t="shared" si="103"/>
        <v>8.1781896335166221E-2</v>
      </c>
      <c r="M986" s="26">
        <f t="shared" si="104"/>
        <v>1120.3030799999999</v>
      </c>
    </row>
    <row r="987" spans="1:13" x14ac:dyDescent="0.25">
      <c r="A987" s="16" t="str">
        <f t="shared" si="101"/>
        <v>May</v>
      </c>
      <c r="B987" s="31">
        <v>43980</v>
      </c>
      <c r="C987" s="32" t="s">
        <v>25</v>
      </c>
      <c r="D987" s="9" t="str">
        <f t="shared" si="102"/>
        <v>43980 - 1S</v>
      </c>
      <c r="E987" s="32" t="s">
        <v>409</v>
      </c>
      <c r="G987" s="4" t="str">
        <f>IFERROR(VLOOKUP(F987,Lists!$C:$D,2,0), "N/A")</f>
        <v>N/A</v>
      </c>
      <c r="H987" s="26">
        <f>IFERROR(VLOOKUP(F987,Lists!$C:$F,4,0),0)</f>
        <v>0</v>
      </c>
      <c r="I987" s="7">
        <f t="shared" si="100"/>
        <v>400</v>
      </c>
      <c r="K987" s="33">
        <v>400</v>
      </c>
      <c r="L987" s="5">
        <f t="shared" si="103"/>
        <v>1</v>
      </c>
      <c r="M987" s="26">
        <f t="shared" si="104"/>
        <v>0</v>
      </c>
    </row>
    <row r="988" spans="1:13" x14ac:dyDescent="0.25">
      <c r="A988" s="16" t="str">
        <f t="shared" si="101"/>
        <v>May</v>
      </c>
      <c r="B988" s="31">
        <v>43980</v>
      </c>
      <c r="C988" s="32" t="s">
        <v>25</v>
      </c>
      <c r="D988" s="9" t="str">
        <f t="shared" si="102"/>
        <v>43980 - 1S</v>
      </c>
      <c r="E988" s="32" t="s">
        <v>15</v>
      </c>
      <c r="G988" s="4" t="str">
        <f>IFERROR(VLOOKUP(F988,Lists!$C:$D,2,0), "N/A")</f>
        <v>N/A</v>
      </c>
      <c r="H988" s="26">
        <f>IFERROR(VLOOKUP(F988,Lists!$C:$F,4,0),0)</f>
        <v>0</v>
      </c>
      <c r="I988" s="7">
        <f t="shared" si="100"/>
        <v>30</v>
      </c>
      <c r="K988" s="33">
        <v>30</v>
      </c>
      <c r="L988" s="5">
        <f t="shared" si="103"/>
        <v>1</v>
      </c>
      <c r="M988" s="26">
        <f t="shared" si="104"/>
        <v>0</v>
      </c>
    </row>
    <row r="989" spans="1:13" x14ac:dyDescent="0.25">
      <c r="A989" s="16" t="str">
        <f t="shared" si="101"/>
        <v>May</v>
      </c>
      <c r="B989" s="31">
        <v>43980</v>
      </c>
      <c r="C989" s="32" t="s">
        <v>25</v>
      </c>
      <c r="D989" s="9" t="str">
        <f t="shared" si="102"/>
        <v>43980 - 1S</v>
      </c>
      <c r="E989" s="32" t="s">
        <v>409</v>
      </c>
      <c r="G989" s="4" t="str">
        <f>IFERROR(VLOOKUP(F989,Lists!$C:$D,2,0), "N/A")</f>
        <v>N/A</v>
      </c>
      <c r="H989" s="26">
        <f>IFERROR(VLOOKUP(F989,Lists!$C:$F,4,0),0)</f>
        <v>0</v>
      </c>
      <c r="I989" s="7">
        <f t="shared" si="100"/>
        <v>1044</v>
      </c>
      <c r="K989" s="33">
        <v>1044</v>
      </c>
      <c r="L989" s="5">
        <f t="shared" si="103"/>
        <v>1</v>
      </c>
      <c r="M989" s="26">
        <f t="shared" si="104"/>
        <v>0</v>
      </c>
    </row>
    <row r="990" spans="1:13" x14ac:dyDescent="0.25">
      <c r="A990" s="16" t="str">
        <f t="shared" si="101"/>
        <v>May</v>
      </c>
      <c r="B990" s="31">
        <v>43982</v>
      </c>
      <c r="C990" s="32" t="s">
        <v>26</v>
      </c>
      <c r="D990" s="9" t="str">
        <f t="shared" si="102"/>
        <v>43982 - 2S</v>
      </c>
      <c r="E990" s="32" t="s">
        <v>12</v>
      </c>
      <c r="F990" s="2">
        <v>8000022</v>
      </c>
      <c r="G990" s="4" t="str">
        <f>IFERROR(VLOOKUP(F990,Lists!$C:$D,2,0), "N/A")</f>
        <v>WIP.BCP FLIPZ BIRTHDAY CAKE PRETZEL</v>
      </c>
      <c r="H990" s="26">
        <f>IFERROR(VLOOKUP(F990,Lists!$C:$F,4,0),0)</f>
        <v>1.5820799999999999</v>
      </c>
      <c r="I990" s="7">
        <f t="shared" si="100"/>
        <v>5038</v>
      </c>
      <c r="J990" s="6">
        <f>200*25</f>
        <v>5000</v>
      </c>
      <c r="K990" s="33">
        <v>38</v>
      </c>
      <c r="L990" s="5">
        <f t="shared" si="103"/>
        <v>7.6E-3</v>
      </c>
      <c r="M990" s="26">
        <f t="shared" si="104"/>
        <v>60.119039999999998</v>
      </c>
    </row>
    <row r="991" spans="1:13" x14ac:dyDescent="0.25">
      <c r="A991" s="16" t="str">
        <f t="shared" si="101"/>
        <v>May</v>
      </c>
      <c r="B991" s="31">
        <v>43982</v>
      </c>
      <c r="C991" s="32" t="s">
        <v>25</v>
      </c>
      <c r="D991" s="9" t="str">
        <f t="shared" si="102"/>
        <v>43982 - 1S</v>
      </c>
      <c r="E991" s="32" t="s">
        <v>12</v>
      </c>
      <c r="F991" s="2">
        <v>8000022</v>
      </c>
      <c r="G991" s="4" t="str">
        <f>IFERROR(VLOOKUP(F991,Lists!$C:$D,2,0), "N/A")</f>
        <v>WIP.BCP FLIPZ BIRTHDAY CAKE PRETZEL</v>
      </c>
      <c r="H991" s="26">
        <f>IFERROR(VLOOKUP(F991,Lists!$C:$F,4,0),0)</f>
        <v>1.5820799999999999</v>
      </c>
      <c r="I991" s="7">
        <f t="shared" si="100"/>
        <v>5168</v>
      </c>
      <c r="J991" s="6">
        <f>200*25</f>
        <v>5000</v>
      </c>
      <c r="K991" s="33">
        <v>168</v>
      </c>
      <c r="L991" s="5">
        <f t="shared" si="103"/>
        <v>3.3599999999999998E-2</v>
      </c>
      <c r="M991" s="26">
        <f t="shared" si="104"/>
        <v>265.78944000000001</v>
      </c>
    </row>
    <row r="992" spans="1:13" x14ac:dyDescent="0.25">
      <c r="A992" s="16" t="str">
        <f t="shared" si="101"/>
        <v>June</v>
      </c>
      <c r="B992" s="31">
        <v>43983</v>
      </c>
      <c r="C992" s="32" t="s">
        <v>25</v>
      </c>
      <c r="D992" s="9" t="str">
        <f t="shared" si="102"/>
        <v>43983 - 1S</v>
      </c>
      <c r="E992" s="32" t="s">
        <v>10</v>
      </c>
      <c r="F992" s="2">
        <v>8000055</v>
      </c>
      <c r="G992" s="4" t="str">
        <f>IFERROR(VLOOKUP(F992,Lists!$C:$D,2,0), "N/A")</f>
        <v>916.BF FLIPZ 25 LB BULK MILK CHOC</v>
      </c>
      <c r="H992" s="26">
        <f>IFERROR(VLOOKUP(F992,Lists!$C:$F,4,0),0)</f>
        <v>1.9508160000000001</v>
      </c>
      <c r="I992" s="7">
        <f t="shared" si="100"/>
        <v>5042</v>
      </c>
      <c r="J992" s="6">
        <f>200*25</f>
        <v>5000</v>
      </c>
      <c r="K992" s="33">
        <v>42</v>
      </c>
      <c r="L992" s="5">
        <f t="shared" si="103"/>
        <v>8.3999999999999995E-3</v>
      </c>
      <c r="M992" s="26">
        <f t="shared" si="104"/>
        <v>81.934272000000007</v>
      </c>
    </row>
    <row r="993" spans="1:13" x14ac:dyDescent="0.25">
      <c r="A993" s="16" t="str">
        <f t="shared" si="101"/>
        <v>June</v>
      </c>
      <c r="B993" s="31">
        <v>43983</v>
      </c>
      <c r="C993" s="32" t="s">
        <v>25</v>
      </c>
      <c r="D993" s="9" t="str">
        <f t="shared" si="102"/>
        <v>43983 - 1S</v>
      </c>
      <c r="E993" s="32" t="s">
        <v>12</v>
      </c>
      <c r="F993" s="2">
        <v>8000022</v>
      </c>
      <c r="G993" s="4" t="str">
        <f>IFERROR(VLOOKUP(F993,Lists!$C:$D,2,0), "N/A")</f>
        <v>WIP.BCP FLIPZ BIRTHDAY CAKE PRETZEL</v>
      </c>
      <c r="H993" s="26">
        <f>IFERROR(VLOOKUP(F993,Lists!$C:$F,4,0),0)</f>
        <v>1.5820799999999999</v>
      </c>
      <c r="I993" s="7">
        <f t="shared" si="100"/>
        <v>8036</v>
      </c>
      <c r="J993" s="6">
        <f>320*25</f>
        <v>8000</v>
      </c>
      <c r="K993" s="33">
        <v>36</v>
      </c>
      <c r="L993" s="5">
        <f t="shared" si="103"/>
        <v>4.4999999999999997E-3</v>
      </c>
      <c r="M993" s="26">
        <f t="shared" si="104"/>
        <v>56.954879999999996</v>
      </c>
    </row>
    <row r="994" spans="1:13" x14ac:dyDescent="0.25">
      <c r="A994" s="16" t="str">
        <f t="shared" si="101"/>
        <v>June</v>
      </c>
      <c r="B994" s="31">
        <v>43983</v>
      </c>
      <c r="C994" s="32" t="s">
        <v>26</v>
      </c>
      <c r="D994" s="9" t="str">
        <f t="shared" si="102"/>
        <v>43983 - 2S</v>
      </c>
      <c r="E994" s="32" t="s">
        <v>10</v>
      </c>
      <c r="F994" s="2">
        <v>8000055</v>
      </c>
      <c r="G994" s="4" t="str">
        <f>IFERROR(VLOOKUP(F994,Lists!$C:$D,2,0), "N/A")</f>
        <v>916.BF FLIPZ 25 LB BULK MILK CHOC</v>
      </c>
      <c r="H994" s="26">
        <f>IFERROR(VLOOKUP(F994,Lists!$C:$F,4,0),0)</f>
        <v>1.9508160000000001</v>
      </c>
      <c r="I994" s="7">
        <f t="shared" si="100"/>
        <v>5031</v>
      </c>
      <c r="J994" s="6">
        <f>200*25</f>
        <v>5000</v>
      </c>
      <c r="K994" s="33">
        <v>31</v>
      </c>
      <c r="L994" s="5">
        <f t="shared" si="103"/>
        <v>6.1999999999999998E-3</v>
      </c>
      <c r="M994" s="26">
        <f t="shared" si="104"/>
        <v>60.475296</v>
      </c>
    </row>
    <row r="995" spans="1:13" x14ac:dyDescent="0.25">
      <c r="A995" s="16" t="str">
        <f t="shared" si="101"/>
        <v>June</v>
      </c>
      <c r="B995" s="31">
        <v>43983</v>
      </c>
      <c r="C995" s="32" t="s">
        <v>26</v>
      </c>
      <c r="D995" s="9" t="str">
        <f t="shared" si="102"/>
        <v>43983 - 2S</v>
      </c>
      <c r="E995" s="32" t="s">
        <v>11</v>
      </c>
      <c r="F995" s="2">
        <v>8000034</v>
      </c>
      <c r="G995" s="4" t="str">
        <f>IFERROR(VLOOKUP(F995,Lists!$C:$D,2,0), "N/A")</f>
        <v>KS MILK CHOC MACADAMIA</v>
      </c>
      <c r="H995" s="26">
        <f>IFERROR(VLOOKUP(F995,Lists!$C:$F,4,0),0)</f>
        <v>3.8943099999999999</v>
      </c>
      <c r="I995" s="7">
        <f t="shared" si="100"/>
        <v>3240</v>
      </c>
      <c r="J995" s="6">
        <v>3200</v>
      </c>
      <c r="K995" s="33">
        <v>40</v>
      </c>
      <c r="L995" s="5">
        <f t="shared" si="103"/>
        <v>1.2500000000000001E-2</v>
      </c>
      <c r="M995" s="26">
        <f t="shared" si="104"/>
        <v>155.7724</v>
      </c>
    </row>
    <row r="996" spans="1:13" x14ac:dyDescent="0.25">
      <c r="A996" s="16" t="str">
        <f t="shared" si="101"/>
        <v>June</v>
      </c>
      <c r="B996" s="31">
        <v>43983</v>
      </c>
      <c r="C996" s="32" t="s">
        <v>26</v>
      </c>
      <c r="D996" s="9" t="str">
        <f t="shared" si="102"/>
        <v>43983 - 2S</v>
      </c>
      <c r="E996" s="32" t="s">
        <v>12</v>
      </c>
      <c r="F996" s="2">
        <v>8000022</v>
      </c>
      <c r="G996" s="4" t="str">
        <f>IFERROR(VLOOKUP(F996,Lists!$C:$D,2,0), "N/A")</f>
        <v>WIP.BCP FLIPZ BIRTHDAY CAKE PRETZEL</v>
      </c>
      <c r="H996" s="26">
        <f>IFERROR(VLOOKUP(F996,Lists!$C:$F,4,0),0)</f>
        <v>1.5820799999999999</v>
      </c>
      <c r="I996" s="7">
        <f t="shared" si="100"/>
        <v>8045</v>
      </c>
      <c r="J996" s="6">
        <f>320*25</f>
        <v>8000</v>
      </c>
      <c r="K996" s="33">
        <v>45</v>
      </c>
      <c r="L996" s="5">
        <f t="shared" si="103"/>
        <v>5.6249999999999998E-3</v>
      </c>
      <c r="M996" s="26">
        <f t="shared" si="104"/>
        <v>71.193600000000004</v>
      </c>
    </row>
    <row r="997" spans="1:13" x14ac:dyDescent="0.25">
      <c r="A997" s="16" t="str">
        <f t="shared" si="101"/>
        <v>June</v>
      </c>
      <c r="B997" s="31">
        <v>43983</v>
      </c>
      <c r="C997" s="32" t="s">
        <v>26</v>
      </c>
      <c r="D997" s="9" t="str">
        <f t="shared" si="102"/>
        <v>43983 - 2S</v>
      </c>
      <c r="E997" s="32" t="s">
        <v>15</v>
      </c>
      <c r="G997" s="4" t="str">
        <f>IFERROR(VLOOKUP(F997,Lists!$C:$D,2,0), "N/A")</f>
        <v>N/A</v>
      </c>
      <c r="H997" s="26">
        <f>IFERROR(VLOOKUP(F997,Lists!$C:$F,4,0),0)</f>
        <v>0</v>
      </c>
      <c r="I997" s="7">
        <f t="shared" si="100"/>
        <v>38</v>
      </c>
      <c r="K997" s="33">
        <v>38</v>
      </c>
      <c r="L997" s="5">
        <f t="shared" si="103"/>
        <v>1</v>
      </c>
      <c r="M997" s="26">
        <f t="shared" si="104"/>
        <v>0</v>
      </c>
    </row>
    <row r="998" spans="1:13" x14ac:dyDescent="0.25">
      <c r="A998" s="16" t="str">
        <f t="shared" si="101"/>
        <v>June</v>
      </c>
      <c r="B998" s="31">
        <v>43984</v>
      </c>
      <c r="C998" s="32" t="s">
        <v>24</v>
      </c>
      <c r="D998" s="9" t="str">
        <f t="shared" si="102"/>
        <v>43984 - 3S</v>
      </c>
      <c r="E998" s="32" t="s">
        <v>9</v>
      </c>
      <c r="F998" s="2">
        <v>8000035</v>
      </c>
      <c r="G998" s="4" t="str">
        <f>IFERROR(VLOOKUP(F998,Lists!$C:$D,2,0), "N/A")</f>
        <v>TURTLES MILK CHOC ORIGINAL</v>
      </c>
      <c r="H998" s="26">
        <f>IFERROR(VLOOKUP(F998,Lists!$C:$F,4,0),0)</f>
        <v>1.91178</v>
      </c>
      <c r="I998" s="7">
        <f t="shared" si="100"/>
        <v>2580</v>
      </c>
      <c r="J998" s="6">
        <v>2160</v>
      </c>
      <c r="K998" s="33">
        <v>420</v>
      </c>
      <c r="L998" s="5">
        <f t="shared" si="103"/>
        <v>0.19444444444444445</v>
      </c>
      <c r="M998" s="26">
        <f t="shared" si="104"/>
        <v>802.94759999999997</v>
      </c>
    </row>
    <row r="999" spans="1:13" x14ac:dyDescent="0.25">
      <c r="A999" s="16" t="str">
        <f t="shared" si="101"/>
        <v>June</v>
      </c>
      <c r="B999" s="31">
        <v>43984</v>
      </c>
      <c r="C999" s="32" t="s">
        <v>24</v>
      </c>
      <c r="D999" s="9" t="str">
        <f t="shared" si="102"/>
        <v>43984 - 3S</v>
      </c>
      <c r="E999" s="32" t="s">
        <v>11</v>
      </c>
      <c r="F999" s="2">
        <v>8000034</v>
      </c>
      <c r="G999" s="4" t="str">
        <f>IFERROR(VLOOKUP(F999,Lists!$C:$D,2,0), "N/A")</f>
        <v>KS MILK CHOC MACADAMIA</v>
      </c>
      <c r="H999" s="26">
        <f>IFERROR(VLOOKUP(F999,Lists!$C:$F,4,0),0)</f>
        <v>3.8943099999999999</v>
      </c>
      <c r="I999" s="7">
        <f t="shared" si="100"/>
        <v>3274</v>
      </c>
      <c r="J999" s="6">
        <v>3200</v>
      </c>
      <c r="K999" s="33">
        <v>74</v>
      </c>
      <c r="L999" s="5">
        <f t="shared" si="103"/>
        <v>2.3125E-2</v>
      </c>
      <c r="M999" s="26">
        <f t="shared" si="104"/>
        <v>288.17894000000001</v>
      </c>
    </row>
    <row r="1000" spans="1:13" x14ac:dyDescent="0.25">
      <c r="A1000" s="16" t="str">
        <f t="shared" si="101"/>
        <v>June</v>
      </c>
      <c r="B1000" s="31">
        <v>43984</v>
      </c>
      <c r="C1000" s="32" t="s">
        <v>24</v>
      </c>
      <c r="D1000" s="9" t="str">
        <f t="shared" si="102"/>
        <v>43984 - 3S</v>
      </c>
      <c r="E1000" s="32" t="s">
        <v>15</v>
      </c>
      <c r="G1000" s="4" t="str">
        <f>IFERROR(VLOOKUP(F1000,Lists!$C:$D,2,0), "N/A")</f>
        <v>N/A</v>
      </c>
      <c r="H1000" s="26">
        <f>IFERROR(VLOOKUP(F1000,Lists!$C:$F,4,0),0)</f>
        <v>0</v>
      </c>
      <c r="I1000" s="7">
        <f t="shared" si="100"/>
        <v>127</v>
      </c>
      <c r="K1000" s="33">
        <v>127</v>
      </c>
      <c r="L1000" s="5">
        <f t="shared" si="103"/>
        <v>1</v>
      </c>
      <c r="M1000" s="26">
        <f t="shared" si="104"/>
        <v>0</v>
      </c>
    </row>
    <row r="1001" spans="1:13" x14ac:dyDescent="0.25">
      <c r="A1001" s="16" t="str">
        <f t="shared" si="101"/>
        <v>June</v>
      </c>
      <c r="B1001" s="31">
        <v>43984</v>
      </c>
      <c r="C1001" s="32" t="s">
        <v>25</v>
      </c>
      <c r="D1001" s="9" t="str">
        <f t="shared" si="102"/>
        <v>43984 - 1S</v>
      </c>
      <c r="E1001" s="32" t="s">
        <v>9</v>
      </c>
      <c r="F1001" s="2">
        <v>8000035</v>
      </c>
      <c r="G1001" s="4" t="str">
        <f>IFERROR(VLOOKUP(F1001,Lists!$C:$D,2,0), "N/A")</f>
        <v>TURTLES MILK CHOC ORIGINAL</v>
      </c>
      <c r="H1001" s="26">
        <f>IFERROR(VLOOKUP(F1001,Lists!$C:$F,4,0),0)</f>
        <v>1.91178</v>
      </c>
      <c r="I1001" s="7">
        <f t="shared" si="100"/>
        <v>900</v>
      </c>
      <c r="J1001" s="6">
        <v>720</v>
      </c>
      <c r="K1001" s="33">
        <v>180</v>
      </c>
      <c r="L1001" s="5">
        <f t="shared" si="103"/>
        <v>0.25</v>
      </c>
      <c r="M1001" s="26">
        <f t="shared" si="104"/>
        <v>344.12040000000002</v>
      </c>
    </row>
    <row r="1002" spans="1:13" x14ac:dyDescent="0.25">
      <c r="A1002" s="16" t="str">
        <f t="shared" si="101"/>
        <v>June</v>
      </c>
      <c r="B1002" s="31">
        <v>43984</v>
      </c>
      <c r="C1002" s="32" t="s">
        <v>25</v>
      </c>
      <c r="D1002" s="9" t="str">
        <f t="shared" ref="D1002:D1004" si="105">CONCATENATE(B1002," - ",C1002)</f>
        <v>43984 - 1S</v>
      </c>
      <c r="E1002" s="32" t="s">
        <v>9</v>
      </c>
      <c r="F1002" s="2">
        <v>8000035</v>
      </c>
      <c r="G1002" s="4" t="str">
        <f>IFERROR(VLOOKUP(F1002,Lists!$C:$D,2,0), "N/A")</f>
        <v>TURTLES MILK CHOC ORIGINAL</v>
      </c>
      <c r="H1002" s="26">
        <f>IFERROR(VLOOKUP(F1002,Lists!$C:$F,4,0),0)</f>
        <v>1.91178</v>
      </c>
      <c r="I1002" s="7">
        <f t="shared" si="100"/>
        <v>74</v>
      </c>
      <c r="J1002" s="6">
        <v>0</v>
      </c>
      <c r="K1002" s="33">
        <v>74</v>
      </c>
      <c r="L1002" s="5">
        <f t="shared" si="103"/>
        <v>1</v>
      </c>
      <c r="M1002" s="26">
        <f t="shared" si="104"/>
        <v>141.47172</v>
      </c>
    </row>
    <row r="1003" spans="1:13" x14ac:dyDescent="0.25">
      <c r="A1003" s="16" t="str">
        <f t="shared" si="101"/>
        <v>June</v>
      </c>
      <c r="B1003" s="31">
        <v>43984</v>
      </c>
      <c r="C1003" s="32" t="s">
        <v>25</v>
      </c>
      <c r="D1003" s="9" t="str">
        <f t="shared" si="105"/>
        <v>43984 - 1S</v>
      </c>
      <c r="E1003" s="32" t="s">
        <v>12</v>
      </c>
      <c r="F1003" s="2">
        <v>8000022</v>
      </c>
      <c r="G1003" s="4" t="str">
        <f>IFERROR(VLOOKUP(F1003,Lists!$C:$D,2,0), "N/A")</f>
        <v>WIP.BCP FLIPZ BIRTHDAY CAKE PRETZEL</v>
      </c>
      <c r="H1003" s="26">
        <f>IFERROR(VLOOKUP(F1003,Lists!$C:$F,4,0),0)</f>
        <v>1.5820799999999999</v>
      </c>
      <c r="I1003" s="7">
        <f t="shared" si="100"/>
        <v>8009</v>
      </c>
      <c r="J1003" s="6">
        <f>320*25</f>
        <v>8000</v>
      </c>
      <c r="K1003" s="33">
        <v>9</v>
      </c>
      <c r="L1003" s="5">
        <f t="shared" si="103"/>
        <v>1.1249999999999999E-3</v>
      </c>
      <c r="M1003" s="26">
        <f t="shared" si="104"/>
        <v>14.238719999999999</v>
      </c>
    </row>
    <row r="1004" spans="1:13" x14ac:dyDescent="0.25">
      <c r="A1004" s="16" t="str">
        <f t="shared" si="101"/>
        <v>June</v>
      </c>
      <c r="B1004" s="31">
        <v>43984</v>
      </c>
      <c r="C1004" s="32" t="s">
        <v>25</v>
      </c>
      <c r="D1004" s="9" t="str">
        <f t="shared" si="105"/>
        <v>43984 - 1S</v>
      </c>
      <c r="E1004" s="32" t="s">
        <v>15</v>
      </c>
      <c r="G1004" s="4" t="str">
        <f>IFERROR(VLOOKUP(F1004,Lists!$C:$D,2,0), "N/A")</f>
        <v>N/A</v>
      </c>
      <c r="H1004" s="26">
        <f>IFERROR(VLOOKUP(F1004,Lists!$C:$F,4,0),0)</f>
        <v>0</v>
      </c>
      <c r="I1004" s="7">
        <f t="shared" si="100"/>
        <v>2</v>
      </c>
      <c r="K1004" s="33">
        <v>2</v>
      </c>
      <c r="L1004" s="5">
        <f t="shared" si="103"/>
        <v>1</v>
      </c>
      <c r="M1004" s="26">
        <f t="shared" si="104"/>
        <v>0</v>
      </c>
    </row>
    <row r="1005" spans="1:13" x14ac:dyDescent="0.25">
      <c r="A1005" s="16" t="str">
        <f t="shared" si="101"/>
        <v>June</v>
      </c>
      <c r="B1005" s="31">
        <v>43984</v>
      </c>
      <c r="C1005" s="32" t="s">
        <v>26</v>
      </c>
      <c r="D1005" s="9" t="str">
        <f t="shared" si="102"/>
        <v>43984 - 2S</v>
      </c>
      <c r="E1005" s="32" t="s">
        <v>9</v>
      </c>
      <c r="F1005" s="2">
        <v>8000035</v>
      </c>
      <c r="G1005" s="4" t="str">
        <f>IFERROR(VLOOKUP(F1005,Lists!$C:$D,2,0), "N/A")</f>
        <v>TURTLES MILK CHOC ORIGINAL</v>
      </c>
      <c r="H1005" s="26">
        <f>IFERROR(VLOOKUP(F1005,Lists!$C:$F,4,0),0)</f>
        <v>1.91178</v>
      </c>
      <c r="I1005" s="7">
        <f t="shared" ref="I1005:I1069" si="106">J1005+K1005</f>
        <v>280</v>
      </c>
      <c r="J1005" s="6">
        <v>0</v>
      </c>
      <c r="K1005" s="33">
        <v>280</v>
      </c>
      <c r="L1005" s="5">
        <f t="shared" si="103"/>
        <v>1</v>
      </c>
      <c r="M1005" s="26">
        <f t="shared" si="104"/>
        <v>535.29840000000002</v>
      </c>
    </row>
    <row r="1006" spans="1:13" x14ac:dyDescent="0.25">
      <c r="A1006" s="16" t="str">
        <f t="shared" si="101"/>
        <v>June</v>
      </c>
      <c r="B1006" s="31">
        <v>43984</v>
      </c>
      <c r="C1006" s="32" t="s">
        <v>26</v>
      </c>
      <c r="D1006" s="9" t="str">
        <f t="shared" si="102"/>
        <v>43984 - 2S</v>
      </c>
      <c r="E1006" s="32" t="s">
        <v>9</v>
      </c>
      <c r="F1006" s="2">
        <v>8000035</v>
      </c>
      <c r="G1006" s="4" t="str">
        <f>IFERROR(VLOOKUP(F1006,Lists!$C:$D,2,0), "N/A")</f>
        <v>TURTLES MILK CHOC ORIGINAL</v>
      </c>
      <c r="H1006" s="26">
        <f>IFERROR(VLOOKUP(F1006,Lists!$C:$F,4,0),0)</f>
        <v>1.91178</v>
      </c>
      <c r="I1006" s="7">
        <f t="shared" si="106"/>
        <v>44</v>
      </c>
      <c r="J1006" s="6">
        <v>0</v>
      </c>
      <c r="K1006" s="33">
        <v>44</v>
      </c>
      <c r="L1006" s="5">
        <f t="shared" si="103"/>
        <v>1</v>
      </c>
      <c r="M1006" s="26">
        <f t="shared" si="104"/>
        <v>84.118319999999997</v>
      </c>
    </row>
    <row r="1007" spans="1:13" x14ac:dyDescent="0.25">
      <c r="A1007" s="16" t="str">
        <f t="shared" si="101"/>
        <v>June</v>
      </c>
      <c r="B1007" s="31">
        <v>43984</v>
      </c>
      <c r="C1007" s="32" t="s">
        <v>26</v>
      </c>
      <c r="D1007" s="9" t="str">
        <f t="shared" si="102"/>
        <v>43984 - 2S</v>
      </c>
      <c r="E1007" s="32" t="s">
        <v>11</v>
      </c>
      <c r="F1007" s="2">
        <v>8000034</v>
      </c>
      <c r="G1007" s="4" t="str">
        <f>IFERROR(VLOOKUP(F1007,Lists!$C:$D,2,0), "N/A")</f>
        <v>KS MILK CHOC MACADAMIA</v>
      </c>
      <c r="H1007" s="26">
        <f>IFERROR(VLOOKUP(F1007,Lists!$C:$F,4,0),0)</f>
        <v>3.8943099999999999</v>
      </c>
      <c r="I1007" s="7">
        <f t="shared" si="106"/>
        <v>6462</v>
      </c>
      <c r="J1007" s="6">
        <v>6400</v>
      </c>
      <c r="K1007" s="33">
        <v>62</v>
      </c>
      <c r="L1007" s="5">
        <f t="shared" si="103"/>
        <v>9.6874999999999999E-3</v>
      </c>
      <c r="M1007" s="26">
        <f t="shared" si="104"/>
        <v>241.44721999999999</v>
      </c>
    </row>
    <row r="1008" spans="1:13" x14ac:dyDescent="0.25">
      <c r="A1008" s="16" t="str">
        <f t="shared" si="101"/>
        <v>June</v>
      </c>
      <c r="B1008" s="31">
        <v>43985</v>
      </c>
      <c r="C1008" s="32" t="s">
        <v>24</v>
      </c>
      <c r="D1008" s="9" t="str">
        <f t="shared" si="102"/>
        <v>43985 - 3S</v>
      </c>
      <c r="E1008" s="32" t="s">
        <v>9</v>
      </c>
      <c r="F1008" s="2">
        <v>8000413</v>
      </c>
      <c r="G1008" s="4" t="str">
        <f>IFERROR(VLOOKUP(F1008,Lists!$C:$D,2,0), "N/A")</f>
        <v>WIP.DALM</v>
      </c>
      <c r="H1008" s="26">
        <f>IFERROR(VLOOKUP(F1008,Lists!$C:$F,4,0),0)</f>
        <v>0</v>
      </c>
      <c r="I1008" s="7">
        <f t="shared" si="106"/>
        <v>1655</v>
      </c>
      <c r="J1008" s="6">
        <v>1440</v>
      </c>
      <c r="K1008" s="33">
        <v>215</v>
      </c>
      <c r="L1008" s="5">
        <f t="shared" si="103"/>
        <v>0.14930555555555555</v>
      </c>
      <c r="M1008" s="26">
        <f t="shared" si="104"/>
        <v>0</v>
      </c>
    </row>
    <row r="1009" spans="1:13" x14ac:dyDescent="0.25">
      <c r="A1009" s="16" t="str">
        <f t="shared" si="101"/>
        <v>June</v>
      </c>
      <c r="B1009" s="31">
        <v>43985</v>
      </c>
      <c r="C1009" s="32" t="s">
        <v>24</v>
      </c>
      <c r="D1009" s="9" t="str">
        <f t="shared" si="102"/>
        <v>43985 - 3S</v>
      </c>
      <c r="E1009" s="32" t="s">
        <v>10</v>
      </c>
      <c r="F1009" s="2">
        <v>8000055</v>
      </c>
      <c r="G1009" s="4" t="str">
        <f>IFERROR(VLOOKUP(F1009,Lists!$C:$D,2,0), "N/A")</f>
        <v>916.BF FLIPZ 25 LB BULK MILK CHOC</v>
      </c>
      <c r="H1009" s="26">
        <f>IFERROR(VLOOKUP(F1009,Lists!$C:$F,4,0),0)</f>
        <v>1.9508160000000001</v>
      </c>
      <c r="I1009" s="7">
        <f t="shared" si="106"/>
        <v>30</v>
      </c>
      <c r="J1009" s="6">
        <v>0</v>
      </c>
      <c r="K1009" s="33">
        <v>30</v>
      </c>
      <c r="L1009" s="5">
        <f t="shared" si="103"/>
        <v>1</v>
      </c>
      <c r="M1009" s="26">
        <f t="shared" si="104"/>
        <v>58.524480000000004</v>
      </c>
    </row>
    <row r="1010" spans="1:13" x14ac:dyDescent="0.25">
      <c r="A1010" s="16" t="str">
        <f t="shared" ref="A1010:A1074" si="107">TEXT(B1010,"mmmm")</f>
        <v>June</v>
      </c>
      <c r="B1010" s="31">
        <v>43985</v>
      </c>
      <c r="C1010" s="32" t="s">
        <v>24</v>
      </c>
      <c r="D1010" s="9" t="str">
        <f t="shared" si="102"/>
        <v>43985 - 3S</v>
      </c>
      <c r="E1010" s="32" t="s">
        <v>11</v>
      </c>
      <c r="F1010" s="2">
        <v>8000034</v>
      </c>
      <c r="G1010" s="4" t="str">
        <f>IFERROR(VLOOKUP(F1010,Lists!$C:$D,2,0), "N/A")</f>
        <v>KS MILK CHOC MACADAMIA</v>
      </c>
      <c r="H1010" s="26">
        <f>IFERROR(VLOOKUP(F1010,Lists!$C:$F,4,0),0)</f>
        <v>3.8943099999999999</v>
      </c>
      <c r="I1010" s="7">
        <f t="shared" si="106"/>
        <v>7357</v>
      </c>
      <c r="J1010" s="6">
        <v>7200</v>
      </c>
      <c r="K1010" s="33">
        <v>157</v>
      </c>
      <c r="L1010" s="5">
        <f t="shared" si="103"/>
        <v>2.1805555555555557E-2</v>
      </c>
      <c r="M1010" s="26">
        <f t="shared" si="104"/>
        <v>611.40666999999996</v>
      </c>
    </row>
    <row r="1011" spans="1:13" x14ac:dyDescent="0.25">
      <c r="A1011" s="16" t="str">
        <f t="shared" si="107"/>
        <v>June</v>
      </c>
      <c r="B1011" s="31">
        <v>43985</v>
      </c>
      <c r="C1011" s="32" t="s">
        <v>24</v>
      </c>
      <c r="D1011" s="9" t="str">
        <f t="shared" si="102"/>
        <v>43985 - 3S</v>
      </c>
      <c r="E1011" s="32" t="s">
        <v>15</v>
      </c>
      <c r="G1011" s="4" t="str">
        <f>IFERROR(VLOOKUP(F1011,Lists!$C:$D,2,0), "N/A")</f>
        <v>N/A</v>
      </c>
      <c r="H1011" s="26">
        <f>IFERROR(VLOOKUP(F1011,Lists!$C:$F,4,0),0)</f>
        <v>0</v>
      </c>
      <c r="I1011" s="7">
        <f t="shared" si="106"/>
        <v>20</v>
      </c>
      <c r="K1011" s="33">
        <v>20</v>
      </c>
      <c r="L1011" s="5">
        <f t="shared" si="103"/>
        <v>1</v>
      </c>
      <c r="M1011" s="26">
        <f t="shared" si="104"/>
        <v>0</v>
      </c>
    </row>
    <row r="1012" spans="1:13" x14ac:dyDescent="0.25">
      <c r="A1012" s="16" t="str">
        <f t="shared" si="107"/>
        <v>June</v>
      </c>
      <c r="B1012" s="31">
        <v>43985</v>
      </c>
      <c r="C1012" s="32" t="s">
        <v>25</v>
      </c>
      <c r="D1012" s="9" t="str">
        <f t="shared" si="102"/>
        <v>43985 - 1S</v>
      </c>
      <c r="E1012" s="32" t="s">
        <v>9</v>
      </c>
      <c r="F1012" s="2">
        <v>8000413</v>
      </c>
      <c r="G1012" s="4" t="str">
        <f>IFERROR(VLOOKUP(F1012,Lists!$C:$D,2,0), "N/A")</f>
        <v>WIP.DALM</v>
      </c>
      <c r="H1012" s="26">
        <f>IFERROR(VLOOKUP(F1012,Lists!$C:$F,4,0),0)</f>
        <v>0</v>
      </c>
      <c r="I1012" s="7">
        <f t="shared" si="106"/>
        <v>4869.8</v>
      </c>
      <c r="J1012" s="6">
        <v>4276.8</v>
      </c>
      <c r="K1012" s="33">
        <v>593</v>
      </c>
      <c r="L1012" s="5">
        <f t="shared" si="103"/>
        <v>0.13865506921062476</v>
      </c>
      <c r="M1012" s="26">
        <f t="shared" si="104"/>
        <v>0</v>
      </c>
    </row>
    <row r="1013" spans="1:13" x14ac:dyDescent="0.25">
      <c r="A1013" s="16" t="str">
        <f t="shared" si="107"/>
        <v>June</v>
      </c>
      <c r="B1013" s="31">
        <v>43985</v>
      </c>
      <c r="C1013" s="32" t="s">
        <v>25</v>
      </c>
      <c r="D1013" s="9" t="str">
        <f t="shared" si="102"/>
        <v>43985 - 1S</v>
      </c>
      <c r="E1013" s="32" t="s">
        <v>11</v>
      </c>
      <c r="F1013" s="2">
        <v>8000034</v>
      </c>
      <c r="G1013" s="4" t="str">
        <f>IFERROR(VLOOKUP(F1013,Lists!$C:$D,2,0), "N/A")</f>
        <v>KS MILK CHOC MACADAMIA</v>
      </c>
      <c r="H1013" s="26">
        <f>IFERROR(VLOOKUP(F1013,Lists!$C:$F,4,0),0)</f>
        <v>3.8943099999999999</v>
      </c>
      <c r="I1013" s="7">
        <f t="shared" si="106"/>
        <v>8157</v>
      </c>
      <c r="J1013" s="6">
        <v>8000</v>
      </c>
      <c r="K1013" s="33">
        <v>157</v>
      </c>
      <c r="L1013" s="5">
        <f t="shared" si="103"/>
        <v>1.9625E-2</v>
      </c>
      <c r="M1013" s="26">
        <f t="shared" si="104"/>
        <v>611.40666999999996</v>
      </c>
    </row>
    <row r="1014" spans="1:13" x14ac:dyDescent="0.25">
      <c r="A1014" s="16" t="str">
        <f t="shared" si="107"/>
        <v>June</v>
      </c>
      <c r="B1014" s="31">
        <v>43985</v>
      </c>
      <c r="C1014" s="32" t="s">
        <v>25</v>
      </c>
      <c r="D1014" s="9" t="str">
        <f t="shared" si="102"/>
        <v>43985 - 1S</v>
      </c>
      <c r="E1014" s="32" t="s">
        <v>13</v>
      </c>
      <c r="F1014" s="2">
        <v>8000055</v>
      </c>
      <c r="G1014" s="4" t="str">
        <f>IFERROR(VLOOKUP(F1014,Lists!$C:$D,2,0), "N/A")</f>
        <v>916.BF FLIPZ 25 LB BULK MILK CHOC</v>
      </c>
      <c r="H1014" s="26">
        <f>IFERROR(VLOOKUP(F1014,Lists!$C:$F,4,0),0)</f>
        <v>1.9508160000000001</v>
      </c>
      <c r="I1014" s="7">
        <f t="shared" si="106"/>
        <v>1004</v>
      </c>
      <c r="J1014" s="6">
        <f>40*25</f>
        <v>1000</v>
      </c>
      <c r="K1014" s="33">
        <v>4</v>
      </c>
      <c r="L1014" s="5">
        <f t="shared" si="103"/>
        <v>4.0000000000000001E-3</v>
      </c>
      <c r="M1014" s="26">
        <f t="shared" si="104"/>
        <v>7.8032640000000004</v>
      </c>
    </row>
    <row r="1015" spans="1:13" x14ac:dyDescent="0.25">
      <c r="A1015" s="16" t="str">
        <f t="shared" si="107"/>
        <v>June</v>
      </c>
      <c r="B1015" s="31">
        <v>43985</v>
      </c>
      <c r="C1015" s="32" t="s">
        <v>26</v>
      </c>
      <c r="D1015" s="9" t="str">
        <f t="shared" si="102"/>
        <v>43985 - 2S</v>
      </c>
      <c r="E1015" s="32" t="s">
        <v>9</v>
      </c>
      <c r="F1015" s="2">
        <v>8000413</v>
      </c>
      <c r="G1015" s="4" t="str">
        <f>IFERROR(VLOOKUP(F1015,Lists!$C:$D,2,0), "N/A")</f>
        <v>WIP.DALM</v>
      </c>
      <c r="H1015" s="26">
        <f>IFERROR(VLOOKUP(F1015,Lists!$C:$F,4,0),0)</f>
        <v>0</v>
      </c>
      <c r="I1015" s="7">
        <f t="shared" si="106"/>
        <v>3181.2</v>
      </c>
      <c r="J1015" s="6">
        <v>2851.2</v>
      </c>
      <c r="K1015" s="33">
        <v>330</v>
      </c>
      <c r="L1015" s="5">
        <f t="shared" si="103"/>
        <v>0.11574074074074074</v>
      </c>
      <c r="M1015" s="26">
        <f t="shared" si="104"/>
        <v>0</v>
      </c>
    </row>
    <row r="1016" spans="1:13" x14ac:dyDescent="0.25">
      <c r="A1016" s="16" t="str">
        <f t="shared" si="107"/>
        <v>June</v>
      </c>
      <c r="B1016" s="31">
        <v>43985</v>
      </c>
      <c r="C1016" s="32" t="s">
        <v>26</v>
      </c>
      <c r="D1016" s="9" t="str">
        <f t="shared" si="102"/>
        <v>43985 - 2S</v>
      </c>
      <c r="E1016" s="32" t="s">
        <v>10</v>
      </c>
      <c r="F1016" s="2">
        <v>8000055</v>
      </c>
      <c r="G1016" s="4" t="str">
        <f>IFERROR(VLOOKUP(F1016,Lists!$C:$D,2,0), "N/A")</f>
        <v>916.BF FLIPZ 25 LB BULK MILK CHOC</v>
      </c>
      <c r="H1016" s="26">
        <f>IFERROR(VLOOKUP(F1016,Lists!$C:$F,4,0),0)</f>
        <v>1.9508160000000001</v>
      </c>
      <c r="I1016" s="7">
        <f t="shared" si="106"/>
        <v>2014</v>
      </c>
      <c r="J1016" s="6">
        <f>80*25</f>
        <v>2000</v>
      </c>
      <c r="K1016" s="33">
        <v>14</v>
      </c>
      <c r="L1016" s="5">
        <f t="shared" si="103"/>
        <v>7.0000000000000001E-3</v>
      </c>
      <c r="M1016" s="26">
        <f t="shared" si="104"/>
        <v>27.311424000000002</v>
      </c>
    </row>
    <row r="1017" spans="1:13" x14ac:dyDescent="0.25">
      <c r="A1017" s="16" t="str">
        <f t="shared" si="107"/>
        <v>June</v>
      </c>
      <c r="B1017" s="31">
        <v>43985</v>
      </c>
      <c r="C1017" s="32" t="s">
        <v>26</v>
      </c>
      <c r="D1017" s="9" t="str">
        <f t="shared" si="102"/>
        <v>43985 - 2S</v>
      </c>
      <c r="E1017" s="32" t="s">
        <v>11</v>
      </c>
      <c r="F1017" s="2">
        <v>8000034</v>
      </c>
      <c r="G1017" s="4" t="str">
        <f>IFERROR(VLOOKUP(F1017,Lists!$C:$D,2,0), "N/A")</f>
        <v>KS MILK CHOC MACADAMIA</v>
      </c>
      <c r="H1017" s="26">
        <f>IFERROR(VLOOKUP(F1017,Lists!$C:$F,4,0),0)</f>
        <v>3.8943099999999999</v>
      </c>
      <c r="I1017" s="7">
        <f t="shared" si="106"/>
        <v>7230</v>
      </c>
      <c r="J1017" s="6">
        <v>7200</v>
      </c>
      <c r="K1017" s="33">
        <v>30</v>
      </c>
      <c r="L1017" s="5">
        <f t="shared" si="103"/>
        <v>4.1666666666666666E-3</v>
      </c>
      <c r="M1017" s="26">
        <f t="shared" si="104"/>
        <v>116.8293</v>
      </c>
    </row>
    <row r="1018" spans="1:13" x14ac:dyDescent="0.25">
      <c r="A1018" s="16" t="str">
        <f t="shared" si="107"/>
        <v>June</v>
      </c>
      <c r="B1018" s="31">
        <v>43986</v>
      </c>
      <c r="C1018" s="32" t="s">
        <v>24</v>
      </c>
      <c r="D1018" s="9" t="str">
        <f t="shared" si="102"/>
        <v>43986 - 3S</v>
      </c>
      <c r="E1018" s="32" t="s">
        <v>9</v>
      </c>
      <c r="F1018" s="2">
        <v>8000413</v>
      </c>
      <c r="G1018" s="4" t="str">
        <f>IFERROR(VLOOKUP(F1018,Lists!$C:$D,2,0), "N/A")</f>
        <v>WIP.DALM</v>
      </c>
      <c r="H1018" s="26">
        <f>IFERROR(VLOOKUP(F1018,Lists!$C:$F,4,0),0)</f>
        <v>0</v>
      </c>
      <c r="I1018" s="7">
        <f t="shared" si="106"/>
        <v>685</v>
      </c>
      <c r="J1018" s="6">
        <v>0</v>
      </c>
      <c r="K1018" s="33">
        <v>685</v>
      </c>
      <c r="L1018" s="5">
        <f t="shared" si="103"/>
        <v>1</v>
      </c>
      <c r="M1018" s="26">
        <f t="shared" si="104"/>
        <v>0</v>
      </c>
    </row>
    <row r="1019" spans="1:13" x14ac:dyDescent="0.25">
      <c r="A1019" s="16" t="str">
        <f t="shared" si="107"/>
        <v>June</v>
      </c>
      <c r="B1019" s="31">
        <v>43986</v>
      </c>
      <c r="C1019" s="32" t="s">
        <v>24</v>
      </c>
      <c r="D1019" s="9" t="str">
        <f t="shared" si="102"/>
        <v>43986 - 3S</v>
      </c>
      <c r="E1019" s="32" t="s">
        <v>15</v>
      </c>
      <c r="G1019" s="4" t="str">
        <f>IFERROR(VLOOKUP(F1019,Lists!$C:$D,2,0), "N/A")</f>
        <v>N/A</v>
      </c>
      <c r="H1019" s="26">
        <f>IFERROR(VLOOKUP(F1019,Lists!$C:$F,4,0),0)</f>
        <v>0</v>
      </c>
      <c r="I1019" s="7">
        <f t="shared" si="106"/>
        <v>5</v>
      </c>
      <c r="K1019" s="33">
        <v>5</v>
      </c>
      <c r="L1019" s="5">
        <f t="shared" si="103"/>
        <v>1</v>
      </c>
      <c r="M1019" s="26">
        <f t="shared" si="104"/>
        <v>0</v>
      </c>
    </row>
    <row r="1020" spans="1:13" x14ac:dyDescent="0.25">
      <c r="A1020" s="16" t="str">
        <f t="shared" si="107"/>
        <v>June</v>
      </c>
      <c r="B1020" s="31">
        <v>43986</v>
      </c>
      <c r="C1020" s="32" t="s">
        <v>25</v>
      </c>
      <c r="D1020" s="9" t="str">
        <f t="shared" si="102"/>
        <v>43986 - 1S</v>
      </c>
      <c r="E1020" s="32" t="s">
        <v>11</v>
      </c>
      <c r="F1020" s="2">
        <v>8000034</v>
      </c>
      <c r="G1020" s="4" t="str">
        <f>IFERROR(VLOOKUP(F1020,Lists!$C:$D,2,0), "N/A")</f>
        <v>KS MILK CHOC MACADAMIA</v>
      </c>
      <c r="H1020" s="26">
        <f>IFERROR(VLOOKUP(F1020,Lists!$C:$F,4,0),0)</f>
        <v>3.8943099999999999</v>
      </c>
      <c r="I1020" s="7">
        <f t="shared" si="106"/>
        <v>7301</v>
      </c>
      <c r="J1020" s="6">
        <v>7200</v>
      </c>
      <c r="K1020" s="33">
        <v>101</v>
      </c>
      <c r="L1020" s="5">
        <f t="shared" si="103"/>
        <v>1.4027777777777778E-2</v>
      </c>
      <c r="M1020" s="26">
        <f t="shared" si="104"/>
        <v>393.32531</v>
      </c>
    </row>
    <row r="1021" spans="1:13" x14ac:dyDescent="0.25">
      <c r="A1021" s="16" t="str">
        <f t="shared" si="107"/>
        <v>June</v>
      </c>
      <c r="B1021" s="31">
        <v>43986</v>
      </c>
      <c r="C1021" s="32" t="s">
        <v>26</v>
      </c>
      <c r="D1021" s="9" t="str">
        <f t="shared" si="102"/>
        <v>43986 - 2S</v>
      </c>
      <c r="E1021" s="32" t="s">
        <v>11</v>
      </c>
      <c r="F1021" s="2">
        <v>8000034</v>
      </c>
      <c r="G1021" s="4" t="str">
        <f>IFERROR(VLOOKUP(F1021,Lists!$C:$D,2,0), "N/A")</f>
        <v>KS MILK CHOC MACADAMIA</v>
      </c>
      <c r="H1021" s="26">
        <f>IFERROR(VLOOKUP(F1021,Lists!$C:$F,4,0),0)</f>
        <v>3.8943099999999999</v>
      </c>
      <c r="I1021" s="7">
        <f t="shared" si="106"/>
        <v>6483</v>
      </c>
      <c r="J1021" s="6">
        <v>6400</v>
      </c>
      <c r="K1021" s="33">
        <v>83</v>
      </c>
      <c r="L1021" s="5">
        <f t="shared" si="103"/>
        <v>1.2968749999999999E-2</v>
      </c>
      <c r="M1021" s="26">
        <f t="shared" si="104"/>
        <v>323.22773000000001</v>
      </c>
    </row>
    <row r="1022" spans="1:13" x14ac:dyDescent="0.25">
      <c r="A1022" s="16" t="str">
        <f t="shared" si="107"/>
        <v>June</v>
      </c>
      <c r="B1022" s="31">
        <v>43987</v>
      </c>
      <c r="C1022" s="32" t="s">
        <v>24</v>
      </c>
      <c r="D1022" s="9" t="str">
        <f t="shared" si="102"/>
        <v>43987 - 3S</v>
      </c>
      <c r="E1022" s="32" t="s">
        <v>9</v>
      </c>
      <c r="F1022" s="2">
        <v>8000035</v>
      </c>
      <c r="G1022" s="4" t="str">
        <f>IFERROR(VLOOKUP(F1022,Lists!$C:$D,2,0), "N/A")</f>
        <v>TURTLES MILK CHOC ORIGINAL</v>
      </c>
      <c r="H1022" s="26">
        <f>IFERROR(VLOOKUP(F1022,Lists!$C:$F,4,0),0)</f>
        <v>1.91178</v>
      </c>
      <c r="I1022" s="7">
        <f t="shared" si="106"/>
        <v>279</v>
      </c>
      <c r="J1022" s="6">
        <v>0</v>
      </c>
      <c r="K1022" s="33">
        <v>279</v>
      </c>
      <c r="L1022" s="5">
        <f t="shared" si="103"/>
        <v>1</v>
      </c>
      <c r="M1022" s="26">
        <f t="shared" si="104"/>
        <v>533.38661999999999</v>
      </c>
    </row>
    <row r="1023" spans="1:13" x14ac:dyDescent="0.25">
      <c r="A1023" s="16" t="str">
        <f t="shared" si="107"/>
        <v>June</v>
      </c>
      <c r="B1023" s="31">
        <v>43987</v>
      </c>
      <c r="C1023" s="32" t="s">
        <v>25</v>
      </c>
      <c r="D1023" s="9" t="str">
        <f t="shared" si="102"/>
        <v>43987 - 1S</v>
      </c>
      <c r="E1023" s="32" t="s">
        <v>9</v>
      </c>
      <c r="F1023" s="2">
        <v>8000035</v>
      </c>
      <c r="G1023" s="4" t="str">
        <f>IFERROR(VLOOKUP(F1023,Lists!$C:$D,2,0), "N/A")</f>
        <v>TURTLES MILK CHOC ORIGINAL</v>
      </c>
      <c r="H1023" s="26">
        <f>IFERROR(VLOOKUP(F1023,Lists!$C:$F,4,0),0)</f>
        <v>1.91178</v>
      </c>
      <c r="I1023" s="7">
        <f t="shared" si="106"/>
        <v>1581.6</v>
      </c>
      <c r="J1023" s="6">
        <v>1425.6</v>
      </c>
      <c r="K1023" s="33">
        <v>156</v>
      </c>
      <c r="L1023" s="5">
        <f t="shared" si="103"/>
        <v>0.10942760942760943</v>
      </c>
      <c r="M1023" s="26">
        <f t="shared" si="104"/>
        <v>298.23768000000001</v>
      </c>
    </row>
    <row r="1024" spans="1:13" x14ac:dyDescent="0.25">
      <c r="A1024" s="16" t="str">
        <f t="shared" si="107"/>
        <v>June</v>
      </c>
      <c r="B1024" s="31">
        <v>43987</v>
      </c>
      <c r="C1024" s="32" t="s">
        <v>26</v>
      </c>
      <c r="D1024" s="9" t="str">
        <f t="shared" si="102"/>
        <v>43987 - 2S</v>
      </c>
      <c r="E1024" s="32" t="s">
        <v>9</v>
      </c>
      <c r="F1024" s="2">
        <v>8000035</v>
      </c>
      <c r="G1024" s="4" t="str">
        <f>IFERROR(VLOOKUP(F1024,Lists!$C:$D,2,0), "N/A")</f>
        <v>TURTLES MILK CHOC ORIGINAL</v>
      </c>
      <c r="H1024" s="26">
        <f>IFERROR(VLOOKUP(F1024,Lists!$C:$F,4,0),0)</f>
        <v>1.91178</v>
      </c>
      <c r="I1024" s="7">
        <f t="shared" si="106"/>
        <v>1338</v>
      </c>
      <c r="J1024" s="6">
        <v>1069</v>
      </c>
      <c r="K1024" s="33">
        <v>269</v>
      </c>
      <c r="L1024" s="5">
        <f t="shared" si="103"/>
        <v>0.25163704396632369</v>
      </c>
      <c r="M1024" s="26">
        <f t="shared" si="104"/>
        <v>514.26882000000001</v>
      </c>
    </row>
    <row r="1025" spans="1:13" x14ac:dyDescent="0.25">
      <c r="A1025" s="16" t="str">
        <f t="shared" si="107"/>
        <v>June</v>
      </c>
      <c r="B1025" s="31">
        <v>43987</v>
      </c>
      <c r="C1025" s="32" t="s">
        <v>26</v>
      </c>
      <c r="D1025" s="9" t="str">
        <f t="shared" si="102"/>
        <v>43987 - 2S</v>
      </c>
      <c r="E1025" s="32" t="s">
        <v>9</v>
      </c>
      <c r="F1025" s="2">
        <v>8000035</v>
      </c>
      <c r="G1025" s="4" t="str">
        <f>IFERROR(VLOOKUP(F1025,Lists!$C:$D,2,0), "N/A")</f>
        <v>TURTLES MILK CHOC ORIGINAL</v>
      </c>
      <c r="H1025" s="26">
        <f>IFERROR(VLOOKUP(F1025,Lists!$C:$F,4,0),0)</f>
        <v>1.91178</v>
      </c>
      <c r="I1025" s="7">
        <f t="shared" si="106"/>
        <v>1113</v>
      </c>
      <c r="J1025" s="6">
        <f>2138/2</f>
        <v>1069</v>
      </c>
      <c r="K1025" s="33">
        <v>44</v>
      </c>
      <c r="L1025" s="5">
        <f t="shared" si="103"/>
        <v>4.11599625818522E-2</v>
      </c>
      <c r="M1025" s="26">
        <f t="shared" si="104"/>
        <v>84.118319999999997</v>
      </c>
    </row>
    <row r="1026" spans="1:13" x14ac:dyDescent="0.25">
      <c r="A1026" s="16" t="str">
        <f t="shared" si="107"/>
        <v>June</v>
      </c>
      <c r="B1026" s="31">
        <v>43987</v>
      </c>
      <c r="C1026" s="32" t="s">
        <v>26</v>
      </c>
      <c r="D1026" s="9" t="str">
        <f t="shared" si="102"/>
        <v>43987 - 2S</v>
      </c>
      <c r="E1026" s="32" t="s">
        <v>12</v>
      </c>
      <c r="F1026" s="2">
        <v>8000048</v>
      </c>
      <c r="G1026" s="4" t="str">
        <f>IFERROR(VLOOKUP(F1026,Lists!$C:$D,2,0), "N/A")</f>
        <v>WF Coated Pretzels</v>
      </c>
      <c r="H1026" s="26">
        <f>IFERROR(VLOOKUP(F1026,Lists!$C:$F,4,0),0)</f>
        <v>0</v>
      </c>
      <c r="I1026" s="7">
        <f t="shared" si="106"/>
        <v>3014</v>
      </c>
      <c r="J1026" s="6">
        <f>120*25</f>
        <v>3000</v>
      </c>
      <c r="K1026" s="33">
        <v>14</v>
      </c>
      <c r="L1026" s="5">
        <f t="shared" si="103"/>
        <v>4.6666666666666671E-3</v>
      </c>
      <c r="M1026" s="26">
        <f t="shared" si="104"/>
        <v>0</v>
      </c>
    </row>
    <row r="1027" spans="1:13" x14ac:dyDescent="0.25">
      <c r="A1027" s="16" t="str">
        <f t="shared" ref="A1027" si="108">TEXT(B1027,"mmmm")</f>
        <v>June</v>
      </c>
      <c r="B1027" s="31">
        <v>43988</v>
      </c>
      <c r="C1027" s="32" t="s">
        <v>24</v>
      </c>
      <c r="D1027" s="9" t="str">
        <f t="shared" ref="D1027" si="109">CONCATENATE(B1027," - ",C1027)</f>
        <v>43988 - 3S</v>
      </c>
      <c r="E1027" s="32" t="s">
        <v>10</v>
      </c>
      <c r="F1027" s="2">
        <v>8000055</v>
      </c>
      <c r="G1027" s="4" t="str">
        <f>IFERROR(VLOOKUP(F1027,Lists!$C:$D,2,0), "N/A")</f>
        <v>916.BF FLIPZ 25 LB BULK MILK CHOC</v>
      </c>
      <c r="H1027" s="26">
        <f>IFERROR(VLOOKUP(F1027,Lists!$C:$F,4,0),0)</f>
        <v>1.9508160000000001</v>
      </c>
      <c r="I1027" s="78">
        <f t="shared" ref="I1027" si="110">J1027+K1027</f>
        <v>6027</v>
      </c>
      <c r="J1027" s="45">
        <f>240*25</f>
        <v>6000</v>
      </c>
      <c r="K1027" s="33">
        <v>27</v>
      </c>
      <c r="L1027" s="5">
        <f t="shared" ref="L1027" si="111">IFERROR((K1027/J1027),1)</f>
        <v>4.4999999999999997E-3</v>
      </c>
      <c r="M1027" s="26">
        <f t="shared" ref="M1027" si="112">K1027*H1027</f>
        <v>52.672032000000002</v>
      </c>
    </row>
    <row r="1028" spans="1:13" x14ac:dyDescent="0.25">
      <c r="A1028" s="16" t="str">
        <f t="shared" si="107"/>
        <v>June</v>
      </c>
      <c r="B1028" s="31">
        <v>43988</v>
      </c>
      <c r="C1028" s="32" t="s">
        <v>25</v>
      </c>
      <c r="D1028" s="9" t="str">
        <f t="shared" si="102"/>
        <v>43988 - 1S</v>
      </c>
      <c r="E1028" s="32" t="s">
        <v>10</v>
      </c>
      <c r="F1028" s="2">
        <v>8000055</v>
      </c>
      <c r="G1028" s="4" t="str">
        <f>IFERROR(VLOOKUP(F1028,Lists!$C:$D,2,0), "N/A")</f>
        <v>916.BF FLIPZ 25 LB BULK MILK CHOC</v>
      </c>
      <c r="H1028" s="26">
        <f>IFERROR(VLOOKUP(F1028,Lists!$C:$F,4,0),0)</f>
        <v>1.9508160000000001</v>
      </c>
      <c r="I1028" s="7">
        <f t="shared" si="106"/>
        <v>1556</v>
      </c>
      <c r="J1028" s="6">
        <v>1500</v>
      </c>
      <c r="K1028" s="33">
        <v>56</v>
      </c>
      <c r="L1028" s="5">
        <f t="shared" si="103"/>
        <v>3.7333333333333336E-2</v>
      </c>
      <c r="M1028" s="26">
        <f t="shared" si="104"/>
        <v>109.24569600000001</v>
      </c>
    </row>
    <row r="1029" spans="1:13" x14ac:dyDescent="0.25">
      <c r="A1029" s="16" t="str">
        <f t="shared" si="107"/>
        <v>June</v>
      </c>
      <c r="B1029" s="31">
        <v>43988</v>
      </c>
      <c r="C1029" s="32" t="s">
        <v>25</v>
      </c>
      <c r="D1029" s="9" t="str">
        <f t="shared" si="102"/>
        <v>43988 - 1S</v>
      </c>
      <c r="E1029" s="32" t="s">
        <v>10</v>
      </c>
      <c r="F1029" s="2">
        <v>8000055</v>
      </c>
      <c r="G1029" s="4" t="str">
        <f>IFERROR(VLOOKUP(F1029,Lists!$C:$D,2,0), "N/A")</f>
        <v>916.BF FLIPZ 25 LB BULK MILK CHOC</v>
      </c>
      <c r="H1029" s="26">
        <f>IFERROR(VLOOKUP(F1029,Lists!$C:$F,4,0),0)</f>
        <v>1.9508160000000001</v>
      </c>
      <c r="I1029" s="7">
        <f t="shared" si="106"/>
        <v>1530</v>
      </c>
      <c r="J1029" s="6">
        <v>1500</v>
      </c>
      <c r="K1029" s="33">
        <v>30</v>
      </c>
      <c r="L1029" s="5">
        <f t="shared" si="103"/>
        <v>0.02</v>
      </c>
      <c r="M1029" s="26">
        <f t="shared" si="104"/>
        <v>58.524480000000004</v>
      </c>
    </row>
    <row r="1030" spans="1:13" x14ac:dyDescent="0.25">
      <c r="A1030" s="16" t="str">
        <f t="shared" si="107"/>
        <v>June</v>
      </c>
      <c r="B1030" s="31">
        <v>43988</v>
      </c>
      <c r="C1030" s="32" t="s">
        <v>25</v>
      </c>
      <c r="D1030" s="9" t="str">
        <f t="shared" si="102"/>
        <v>43988 - 1S</v>
      </c>
      <c r="E1030" s="32" t="s">
        <v>12</v>
      </c>
      <c r="F1030" s="2">
        <v>8000048</v>
      </c>
      <c r="G1030" s="4" t="str">
        <f>IFERROR(VLOOKUP(F1030,Lists!$C:$D,2,0), "N/A")</f>
        <v>WF Coated Pretzels</v>
      </c>
      <c r="H1030" s="26">
        <f>IFERROR(VLOOKUP(F1030,Lists!$C:$F,4,0),0)</f>
        <v>0</v>
      </c>
      <c r="I1030" s="7">
        <f t="shared" si="106"/>
        <v>10010</v>
      </c>
      <c r="J1030" s="6">
        <f>400*25</f>
        <v>10000</v>
      </c>
      <c r="K1030" s="33">
        <v>10</v>
      </c>
      <c r="L1030" s="5">
        <f t="shared" si="103"/>
        <v>1E-3</v>
      </c>
      <c r="M1030" s="26">
        <f t="shared" si="104"/>
        <v>0</v>
      </c>
    </row>
    <row r="1031" spans="1:13" x14ac:dyDescent="0.25">
      <c r="A1031" s="16" t="str">
        <f t="shared" si="107"/>
        <v>June</v>
      </c>
      <c r="B1031" s="31">
        <v>43988</v>
      </c>
      <c r="C1031" s="32" t="s">
        <v>26</v>
      </c>
      <c r="D1031" s="9" t="str">
        <f t="shared" si="102"/>
        <v>43988 - 2S</v>
      </c>
      <c r="E1031" s="32" t="s">
        <v>10</v>
      </c>
      <c r="F1031" s="2">
        <v>8000055</v>
      </c>
      <c r="G1031" s="4" t="str">
        <f>IFERROR(VLOOKUP(F1031,Lists!$C:$D,2,0), "N/A")</f>
        <v>916.BF FLIPZ 25 LB BULK MILK CHOC</v>
      </c>
      <c r="H1031" s="26">
        <f>IFERROR(VLOOKUP(F1031,Lists!$C:$F,4,0),0)</f>
        <v>1.9508160000000001</v>
      </c>
      <c r="I1031" s="7">
        <f t="shared" si="106"/>
        <v>3052</v>
      </c>
      <c r="J1031" s="6">
        <f>120*25</f>
        <v>3000</v>
      </c>
      <c r="K1031" s="33">
        <v>52</v>
      </c>
      <c r="L1031" s="5">
        <f t="shared" si="103"/>
        <v>1.7333333333333333E-2</v>
      </c>
      <c r="M1031" s="26">
        <f t="shared" si="104"/>
        <v>101.44243200000001</v>
      </c>
    </row>
    <row r="1032" spans="1:13" x14ac:dyDescent="0.25">
      <c r="A1032" s="16" t="str">
        <f t="shared" si="107"/>
        <v>June</v>
      </c>
      <c r="B1032" s="31">
        <v>43988</v>
      </c>
      <c r="C1032" s="32" t="s">
        <v>26</v>
      </c>
      <c r="D1032" s="9" t="str">
        <f t="shared" si="102"/>
        <v>43988 - 2S</v>
      </c>
      <c r="E1032" s="32" t="s">
        <v>12</v>
      </c>
      <c r="F1032" s="2">
        <v>8000048</v>
      </c>
      <c r="G1032" s="4" t="str">
        <f>IFERROR(VLOOKUP(F1032,Lists!$C:$D,2,0), "N/A")</f>
        <v>WF Coated Pretzels</v>
      </c>
      <c r="H1032" s="26">
        <f>IFERROR(VLOOKUP(F1032,Lists!$C:$F,4,0),0)</f>
        <v>0</v>
      </c>
      <c r="I1032" s="7">
        <f t="shared" si="106"/>
        <v>9020</v>
      </c>
      <c r="J1032" s="6">
        <f>360*25</f>
        <v>9000</v>
      </c>
      <c r="K1032" s="33">
        <v>20</v>
      </c>
      <c r="L1032" s="5">
        <f t="shared" si="103"/>
        <v>2.2222222222222222E-3</v>
      </c>
      <c r="M1032" s="26">
        <f t="shared" si="104"/>
        <v>0</v>
      </c>
    </row>
    <row r="1033" spans="1:13" x14ac:dyDescent="0.25">
      <c r="A1033" s="16" t="str">
        <f t="shared" si="107"/>
        <v>June</v>
      </c>
      <c r="B1033" s="31">
        <v>43988</v>
      </c>
      <c r="C1033" s="32" t="s">
        <v>26</v>
      </c>
      <c r="D1033" s="9" t="str">
        <f t="shared" ref="D1033:D1096" si="113">CONCATENATE(B1033," - ",C1033)</f>
        <v>43988 - 2S</v>
      </c>
      <c r="E1033" s="32" t="s">
        <v>13</v>
      </c>
      <c r="F1033" s="2">
        <v>8000055</v>
      </c>
      <c r="G1033" s="4" t="str">
        <f>IFERROR(VLOOKUP(F1033,Lists!$C:$D,2,0), "N/A")</f>
        <v>916.BF FLIPZ 25 LB BULK MILK CHOC</v>
      </c>
      <c r="H1033" s="26">
        <f>IFERROR(VLOOKUP(F1033,Lists!$C:$F,4,0),0)</f>
        <v>1.9508160000000001</v>
      </c>
      <c r="I1033" s="7">
        <f t="shared" si="106"/>
        <v>3009</v>
      </c>
      <c r="J1033" s="6">
        <f>120*25</f>
        <v>3000</v>
      </c>
      <c r="K1033" s="33">
        <v>9</v>
      </c>
      <c r="L1033" s="5">
        <f t="shared" ref="L1033:L1096" si="114">IFERROR((K1033/J1033),1)</f>
        <v>3.0000000000000001E-3</v>
      </c>
      <c r="M1033" s="26">
        <f t="shared" ref="M1033:M1096" si="115">K1033*H1033</f>
        <v>17.557344000000001</v>
      </c>
    </row>
    <row r="1034" spans="1:13" x14ac:dyDescent="0.25">
      <c r="A1034" s="16" t="str">
        <f t="shared" si="107"/>
        <v>June</v>
      </c>
      <c r="B1034" s="31">
        <v>43989</v>
      </c>
      <c r="C1034" s="32" t="s">
        <v>24</v>
      </c>
      <c r="D1034" s="9" t="str">
        <f t="shared" si="113"/>
        <v>43989 - 3S</v>
      </c>
      <c r="E1034" s="32" t="s">
        <v>13</v>
      </c>
      <c r="G1034" s="4" t="str">
        <f>IFERROR(VLOOKUP(F1034,Lists!$C:$D,2,0), "N/A")</f>
        <v>N/A</v>
      </c>
      <c r="H1034" s="26">
        <f>IFERROR(VLOOKUP(F1034,Lists!$C:$F,4,0),0)</f>
        <v>0</v>
      </c>
      <c r="I1034" s="7">
        <f t="shared" si="106"/>
        <v>7</v>
      </c>
      <c r="K1034" s="33">
        <v>7</v>
      </c>
      <c r="L1034" s="5">
        <f t="shared" si="114"/>
        <v>1</v>
      </c>
      <c r="M1034" s="26">
        <f t="shared" si="115"/>
        <v>0</v>
      </c>
    </row>
    <row r="1035" spans="1:13" x14ac:dyDescent="0.25">
      <c r="A1035" s="16" t="str">
        <f t="shared" si="107"/>
        <v>June</v>
      </c>
      <c r="B1035" s="31">
        <v>43989</v>
      </c>
      <c r="C1035" s="32" t="s">
        <v>25</v>
      </c>
      <c r="D1035" s="9" t="str">
        <f t="shared" si="113"/>
        <v>43989 - 1S</v>
      </c>
      <c r="E1035" s="32" t="s">
        <v>10</v>
      </c>
      <c r="F1035" s="2">
        <v>8000055</v>
      </c>
      <c r="G1035" s="4" t="str">
        <f>IFERROR(VLOOKUP(F1035,Lists!$C:$D,2,0), "N/A")</f>
        <v>916.BF FLIPZ 25 LB BULK MILK CHOC</v>
      </c>
      <c r="H1035" s="26">
        <f>IFERROR(VLOOKUP(F1035,Lists!$C:$F,4,0),0)</f>
        <v>1.9508160000000001</v>
      </c>
      <c r="I1035" s="7">
        <f t="shared" si="106"/>
        <v>5067</v>
      </c>
      <c r="J1035" s="6">
        <f>200*25</f>
        <v>5000</v>
      </c>
      <c r="K1035" s="33">
        <v>67</v>
      </c>
      <c r="L1035" s="5">
        <f t="shared" si="114"/>
        <v>1.34E-2</v>
      </c>
      <c r="M1035" s="26">
        <f t="shared" si="115"/>
        <v>130.70467200000002</v>
      </c>
    </row>
    <row r="1036" spans="1:13" x14ac:dyDescent="0.25">
      <c r="A1036" s="16" t="str">
        <f t="shared" si="107"/>
        <v>June</v>
      </c>
      <c r="B1036" s="31">
        <v>43989</v>
      </c>
      <c r="C1036" s="32" t="s">
        <v>26</v>
      </c>
      <c r="D1036" s="9" t="str">
        <f t="shared" si="113"/>
        <v>43989 - 2S</v>
      </c>
      <c r="E1036" s="32" t="s">
        <v>10</v>
      </c>
      <c r="F1036" s="2">
        <v>8000055</v>
      </c>
      <c r="G1036" s="4" t="str">
        <f>IFERROR(VLOOKUP(F1036,Lists!$C:$D,2,0), "N/A")</f>
        <v>916.BF FLIPZ 25 LB BULK MILK CHOC</v>
      </c>
      <c r="H1036" s="26">
        <f>IFERROR(VLOOKUP(F1036,Lists!$C:$F,4,0),0)</f>
        <v>1.9508160000000001</v>
      </c>
      <c r="I1036" s="7">
        <f t="shared" si="106"/>
        <v>1007</v>
      </c>
      <c r="J1036" s="6">
        <f>40*25</f>
        <v>1000</v>
      </c>
      <c r="K1036" s="33">
        <v>7</v>
      </c>
      <c r="L1036" s="5">
        <f t="shared" si="114"/>
        <v>7.0000000000000001E-3</v>
      </c>
      <c r="M1036" s="26">
        <f t="shared" si="115"/>
        <v>13.655712000000001</v>
      </c>
    </row>
    <row r="1037" spans="1:13" x14ac:dyDescent="0.25">
      <c r="A1037" s="16" t="str">
        <f t="shared" si="107"/>
        <v>June</v>
      </c>
      <c r="B1037" s="31">
        <v>43990</v>
      </c>
      <c r="C1037" s="32" t="s">
        <v>24</v>
      </c>
      <c r="D1037" s="9" t="str">
        <f t="shared" si="113"/>
        <v>43990 - 3S</v>
      </c>
      <c r="E1037" s="32" t="s">
        <v>9</v>
      </c>
      <c r="F1037" s="2">
        <v>8000035</v>
      </c>
      <c r="G1037" s="4" t="str">
        <f>IFERROR(VLOOKUP(F1037,Lists!$C:$D,2,0), "N/A")</f>
        <v>TURTLES MILK CHOC ORIGINAL</v>
      </c>
      <c r="H1037" s="26">
        <f>IFERROR(VLOOKUP(F1037,Lists!$C:$F,4,0),0)</f>
        <v>1.91178</v>
      </c>
      <c r="I1037" s="7">
        <f t="shared" si="106"/>
        <v>3147.2</v>
      </c>
      <c r="J1037" s="6">
        <v>2851.2</v>
      </c>
      <c r="K1037" s="33">
        <v>296</v>
      </c>
      <c r="L1037" s="5">
        <f t="shared" si="114"/>
        <v>0.1038159371492705</v>
      </c>
      <c r="M1037" s="26">
        <f t="shared" si="115"/>
        <v>565.88688000000002</v>
      </c>
    </row>
    <row r="1038" spans="1:13" x14ac:dyDescent="0.25">
      <c r="A1038" s="16" t="str">
        <f t="shared" si="107"/>
        <v>June</v>
      </c>
      <c r="B1038" s="31">
        <v>43990</v>
      </c>
      <c r="C1038" s="32" t="s">
        <v>24</v>
      </c>
      <c r="D1038" s="9" t="str">
        <f t="shared" si="113"/>
        <v>43990 - 3S</v>
      </c>
      <c r="E1038" s="32" t="s">
        <v>10</v>
      </c>
      <c r="F1038" s="2">
        <v>8000055</v>
      </c>
      <c r="G1038" s="4" t="str">
        <f>IFERROR(VLOOKUP(F1038,Lists!$C:$D,2,0), "N/A")</f>
        <v>916.BF FLIPZ 25 LB BULK MILK CHOC</v>
      </c>
      <c r="H1038" s="26">
        <f>IFERROR(VLOOKUP(F1038,Lists!$C:$F,4,0),0)</f>
        <v>1.9508160000000001</v>
      </c>
      <c r="I1038" s="7">
        <f t="shared" si="106"/>
        <v>2010</v>
      </c>
      <c r="J1038" s="6">
        <f>80*25</f>
        <v>2000</v>
      </c>
      <c r="K1038" s="33">
        <v>10</v>
      </c>
      <c r="L1038" s="5">
        <f t="shared" si="114"/>
        <v>5.0000000000000001E-3</v>
      </c>
      <c r="M1038" s="26">
        <f t="shared" si="115"/>
        <v>19.50816</v>
      </c>
    </row>
    <row r="1039" spans="1:13" x14ac:dyDescent="0.25">
      <c r="A1039" s="16" t="str">
        <f t="shared" si="107"/>
        <v>June</v>
      </c>
      <c r="B1039" s="31">
        <v>43990</v>
      </c>
      <c r="C1039" s="32" t="s">
        <v>24</v>
      </c>
      <c r="D1039" s="9" t="str">
        <f t="shared" si="113"/>
        <v>43990 - 3S</v>
      </c>
      <c r="E1039" s="32" t="s">
        <v>11</v>
      </c>
      <c r="F1039" s="2">
        <v>8000034</v>
      </c>
      <c r="G1039" s="4" t="str">
        <f>IFERROR(VLOOKUP(F1039,Lists!$C:$D,2,0), "N/A")</f>
        <v>KS MILK CHOC MACADAMIA</v>
      </c>
      <c r="H1039" s="26">
        <f>IFERROR(VLOOKUP(F1039,Lists!$C:$F,4,0),0)</f>
        <v>3.8943099999999999</v>
      </c>
      <c r="I1039" s="7">
        <f t="shared" si="106"/>
        <v>940</v>
      </c>
      <c r="J1039" s="6">
        <v>800</v>
      </c>
      <c r="K1039" s="33">
        <v>140</v>
      </c>
      <c r="L1039" s="5">
        <f t="shared" si="114"/>
        <v>0.17499999999999999</v>
      </c>
      <c r="M1039" s="26">
        <f t="shared" si="115"/>
        <v>545.20339999999999</v>
      </c>
    </row>
    <row r="1040" spans="1:13" x14ac:dyDescent="0.25">
      <c r="A1040" s="16" t="str">
        <f t="shared" si="107"/>
        <v>June</v>
      </c>
      <c r="B1040" s="31">
        <v>43990</v>
      </c>
      <c r="C1040" s="32" t="s">
        <v>25</v>
      </c>
      <c r="D1040" s="9" t="str">
        <f t="shared" si="113"/>
        <v>43990 - 1S</v>
      </c>
      <c r="E1040" s="32" t="s">
        <v>9</v>
      </c>
      <c r="F1040" s="2">
        <v>8000035</v>
      </c>
      <c r="G1040" s="4" t="str">
        <f>IFERROR(VLOOKUP(F1040,Lists!$C:$D,2,0), "N/A")</f>
        <v>TURTLES MILK CHOC ORIGINAL</v>
      </c>
      <c r="H1040" s="26">
        <f>IFERROR(VLOOKUP(F1040,Lists!$C:$F,4,0),0)</f>
        <v>1.91178</v>
      </c>
      <c r="I1040" s="7">
        <f t="shared" si="106"/>
        <v>7037</v>
      </c>
      <c r="J1040" s="6">
        <v>6372</v>
      </c>
      <c r="K1040" s="33">
        <v>665</v>
      </c>
      <c r="L1040" s="5">
        <f t="shared" si="114"/>
        <v>0.10436283741368488</v>
      </c>
      <c r="M1040" s="26">
        <f t="shared" si="115"/>
        <v>1271.3337000000001</v>
      </c>
    </row>
    <row r="1041" spans="1:13" x14ac:dyDescent="0.25">
      <c r="A1041" s="16" t="str">
        <f t="shared" si="107"/>
        <v>June</v>
      </c>
      <c r="B1041" s="31">
        <v>43990</v>
      </c>
      <c r="C1041" s="32" t="s">
        <v>25</v>
      </c>
      <c r="D1041" s="9" t="str">
        <f t="shared" si="113"/>
        <v>43990 - 1S</v>
      </c>
      <c r="E1041" s="32" t="s">
        <v>10</v>
      </c>
      <c r="F1041" s="2">
        <v>8000055</v>
      </c>
      <c r="G1041" s="4" t="str">
        <f>IFERROR(VLOOKUP(F1041,Lists!$C:$D,2,0), "N/A")</f>
        <v>916.BF FLIPZ 25 LB BULK MILK CHOC</v>
      </c>
      <c r="H1041" s="26">
        <f>IFERROR(VLOOKUP(F1041,Lists!$C:$F,4,0),0)</f>
        <v>1.9508160000000001</v>
      </c>
      <c r="I1041" s="7">
        <f t="shared" si="106"/>
        <v>61</v>
      </c>
      <c r="J1041" s="6">
        <v>0</v>
      </c>
      <c r="K1041" s="33">
        <v>61</v>
      </c>
      <c r="L1041" s="5">
        <f t="shared" si="114"/>
        <v>1</v>
      </c>
      <c r="M1041" s="26">
        <f t="shared" si="115"/>
        <v>118.99977600000001</v>
      </c>
    </row>
    <row r="1042" spans="1:13" x14ac:dyDescent="0.25">
      <c r="A1042" s="16" t="str">
        <f t="shared" si="107"/>
        <v>June</v>
      </c>
      <c r="B1042" s="31">
        <v>43990</v>
      </c>
      <c r="C1042" s="32" t="s">
        <v>25</v>
      </c>
      <c r="D1042" s="9" t="str">
        <f t="shared" si="113"/>
        <v>43990 - 1S</v>
      </c>
      <c r="E1042" s="32" t="s">
        <v>11</v>
      </c>
      <c r="F1042" s="2">
        <v>8000034</v>
      </c>
      <c r="G1042" s="4" t="str">
        <f>IFERROR(VLOOKUP(F1042,Lists!$C:$D,2,0), "N/A")</f>
        <v>KS MILK CHOC MACADAMIA</v>
      </c>
      <c r="H1042" s="26">
        <f>IFERROR(VLOOKUP(F1042,Lists!$C:$F,4,0),0)</f>
        <v>3.8943099999999999</v>
      </c>
      <c r="I1042" s="7">
        <f t="shared" si="106"/>
        <v>4888</v>
      </c>
      <c r="J1042" s="6">
        <v>4800</v>
      </c>
      <c r="K1042" s="33">
        <v>88</v>
      </c>
      <c r="L1042" s="5">
        <f t="shared" si="114"/>
        <v>1.8333333333333333E-2</v>
      </c>
      <c r="M1042" s="26">
        <f t="shared" si="115"/>
        <v>342.69927999999999</v>
      </c>
    </row>
    <row r="1043" spans="1:13" x14ac:dyDescent="0.25">
      <c r="A1043" s="16" t="str">
        <f t="shared" si="107"/>
        <v>June</v>
      </c>
      <c r="B1043" s="31">
        <v>43990</v>
      </c>
      <c r="C1043" s="32" t="s">
        <v>25</v>
      </c>
      <c r="D1043" s="9" t="str">
        <f t="shared" si="113"/>
        <v>43990 - 1S</v>
      </c>
      <c r="E1043" s="32" t="s">
        <v>12</v>
      </c>
      <c r="F1043" s="2">
        <v>8000048</v>
      </c>
      <c r="G1043" s="4" t="str">
        <f>IFERROR(VLOOKUP(F1043,Lists!$C:$D,2,0), "N/A")</f>
        <v>WF Coated Pretzels</v>
      </c>
      <c r="H1043" s="26">
        <f>IFERROR(VLOOKUP(F1043,Lists!$C:$F,4,0),0)</f>
        <v>0</v>
      </c>
      <c r="I1043" s="7">
        <f t="shared" si="106"/>
        <v>4907</v>
      </c>
      <c r="J1043" s="6">
        <v>4900</v>
      </c>
      <c r="K1043" s="33">
        <v>7</v>
      </c>
      <c r="L1043" s="5">
        <f t="shared" si="114"/>
        <v>1.4285714285714286E-3</v>
      </c>
      <c r="M1043" s="26">
        <f t="shared" si="115"/>
        <v>0</v>
      </c>
    </row>
    <row r="1044" spans="1:13" x14ac:dyDescent="0.25">
      <c r="A1044" s="16" t="str">
        <f t="shared" si="107"/>
        <v>June</v>
      </c>
      <c r="B1044" s="31">
        <v>43990</v>
      </c>
      <c r="C1044" s="32" t="s">
        <v>25</v>
      </c>
      <c r="D1044" s="9" t="str">
        <f t="shared" si="113"/>
        <v>43990 - 1S</v>
      </c>
      <c r="E1044" s="32" t="s">
        <v>12</v>
      </c>
      <c r="F1044" s="2">
        <v>8000048</v>
      </c>
      <c r="G1044" s="4" t="str">
        <f>IFERROR(VLOOKUP(F1044,Lists!$C:$D,2,0), "N/A")</f>
        <v>WF Coated Pretzels</v>
      </c>
      <c r="H1044" s="26">
        <f>IFERROR(VLOOKUP(F1044,Lists!$C:$F,4,0),0)</f>
        <v>0</v>
      </c>
      <c r="I1044" s="7">
        <f t="shared" si="106"/>
        <v>123</v>
      </c>
      <c r="J1044" s="6">
        <v>100</v>
      </c>
      <c r="K1044" s="33">
        <v>23</v>
      </c>
      <c r="L1044" s="5">
        <f t="shared" si="114"/>
        <v>0.23</v>
      </c>
      <c r="M1044" s="26">
        <f t="shared" si="115"/>
        <v>0</v>
      </c>
    </row>
    <row r="1045" spans="1:13" x14ac:dyDescent="0.25">
      <c r="A1045" s="16" t="str">
        <f t="shared" si="107"/>
        <v>June</v>
      </c>
      <c r="B1045" s="31">
        <v>43990</v>
      </c>
      <c r="C1045" s="32" t="s">
        <v>25</v>
      </c>
      <c r="D1045" s="9" t="str">
        <f t="shared" si="113"/>
        <v>43990 - 1S</v>
      </c>
      <c r="E1045" s="32" t="s">
        <v>15</v>
      </c>
      <c r="G1045" s="4" t="str">
        <f>IFERROR(VLOOKUP(F1045,Lists!$C:$D,2,0), "N/A")</f>
        <v>N/A</v>
      </c>
      <c r="H1045" s="26">
        <f>IFERROR(VLOOKUP(F1045,Lists!$C:$F,4,0),0)</f>
        <v>0</v>
      </c>
      <c r="I1045" s="7">
        <f t="shared" si="106"/>
        <v>20</v>
      </c>
      <c r="K1045" s="33">
        <v>20</v>
      </c>
      <c r="L1045" s="5">
        <f t="shared" si="114"/>
        <v>1</v>
      </c>
      <c r="M1045" s="26">
        <f t="shared" si="115"/>
        <v>0</v>
      </c>
    </row>
    <row r="1046" spans="1:13" x14ac:dyDescent="0.25">
      <c r="A1046" s="16" t="str">
        <f t="shared" si="107"/>
        <v>June</v>
      </c>
      <c r="B1046" s="31">
        <v>43990</v>
      </c>
      <c r="C1046" s="32" t="s">
        <v>26</v>
      </c>
      <c r="D1046" s="9" t="str">
        <f t="shared" si="113"/>
        <v>43990 - 2S</v>
      </c>
      <c r="E1046" s="32" t="s">
        <v>9</v>
      </c>
      <c r="F1046" s="2">
        <v>8000035</v>
      </c>
      <c r="G1046" s="4" t="str">
        <f>IFERROR(VLOOKUP(F1046,Lists!$C:$D,2,0), "N/A")</f>
        <v>TURTLES MILK CHOC ORIGINAL</v>
      </c>
      <c r="H1046" s="26">
        <f>IFERROR(VLOOKUP(F1046,Lists!$C:$F,4,0),0)</f>
        <v>1.91178</v>
      </c>
      <c r="I1046" s="7">
        <f t="shared" si="106"/>
        <v>6299.8</v>
      </c>
      <c r="J1046" s="6">
        <v>6004.8</v>
      </c>
      <c r="K1046" s="33">
        <v>295</v>
      </c>
      <c r="L1046" s="5">
        <f t="shared" si="114"/>
        <v>4.9127364774846791E-2</v>
      </c>
      <c r="M1046" s="26">
        <f t="shared" si="115"/>
        <v>563.9751</v>
      </c>
    </row>
    <row r="1047" spans="1:13" x14ac:dyDescent="0.25">
      <c r="A1047" s="16" t="str">
        <f t="shared" si="107"/>
        <v>June</v>
      </c>
      <c r="B1047" s="31">
        <v>43990</v>
      </c>
      <c r="C1047" s="32" t="s">
        <v>26</v>
      </c>
      <c r="D1047" s="9" t="str">
        <f t="shared" si="113"/>
        <v>43990 - 2S</v>
      </c>
      <c r="E1047" s="32" t="s">
        <v>10</v>
      </c>
      <c r="F1047" s="2">
        <v>8000055</v>
      </c>
      <c r="G1047" s="4" t="str">
        <f>IFERROR(VLOOKUP(F1047,Lists!$C:$D,2,0), "N/A")</f>
        <v>916.BF FLIPZ 25 LB BULK MILK CHOC</v>
      </c>
      <c r="H1047" s="26">
        <f>IFERROR(VLOOKUP(F1047,Lists!$C:$F,4,0),0)</f>
        <v>1.9508160000000001</v>
      </c>
      <c r="I1047" s="7">
        <f t="shared" si="106"/>
        <v>5111</v>
      </c>
      <c r="J1047" s="6">
        <f>200*25</f>
        <v>5000</v>
      </c>
      <c r="K1047" s="33">
        <v>111</v>
      </c>
      <c r="L1047" s="5">
        <f t="shared" si="114"/>
        <v>2.2200000000000001E-2</v>
      </c>
      <c r="M1047" s="26">
        <f t="shared" si="115"/>
        <v>216.54057600000002</v>
      </c>
    </row>
    <row r="1048" spans="1:13" x14ac:dyDescent="0.25">
      <c r="A1048" s="16" t="str">
        <f t="shared" si="107"/>
        <v>June</v>
      </c>
      <c r="B1048" s="31">
        <v>43990</v>
      </c>
      <c r="C1048" s="32" t="s">
        <v>26</v>
      </c>
      <c r="D1048" s="9" t="str">
        <f t="shared" si="113"/>
        <v>43990 - 2S</v>
      </c>
      <c r="E1048" s="32" t="s">
        <v>11</v>
      </c>
      <c r="F1048" s="2">
        <v>8000034</v>
      </c>
      <c r="G1048" s="4" t="str">
        <f>IFERROR(VLOOKUP(F1048,Lists!$C:$D,2,0), "N/A")</f>
        <v>KS MILK CHOC MACADAMIA</v>
      </c>
      <c r="H1048" s="26">
        <f>IFERROR(VLOOKUP(F1048,Lists!$C:$F,4,0),0)</f>
        <v>3.8943099999999999</v>
      </c>
      <c r="I1048" s="7">
        <f t="shared" si="106"/>
        <v>4863</v>
      </c>
      <c r="J1048" s="6">
        <v>4800</v>
      </c>
      <c r="K1048" s="33">
        <v>63</v>
      </c>
      <c r="L1048" s="5">
        <f t="shared" si="114"/>
        <v>1.3125E-2</v>
      </c>
      <c r="M1048" s="26">
        <f t="shared" si="115"/>
        <v>245.34153000000001</v>
      </c>
    </row>
    <row r="1049" spans="1:13" x14ac:dyDescent="0.25">
      <c r="A1049" s="16" t="str">
        <f t="shared" si="107"/>
        <v>June</v>
      </c>
      <c r="B1049" s="31">
        <v>43990</v>
      </c>
      <c r="C1049" s="32" t="s">
        <v>26</v>
      </c>
      <c r="D1049" s="9" t="str">
        <f t="shared" si="113"/>
        <v>43990 - 2S</v>
      </c>
      <c r="E1049" s="32" t="s">
        <v>15</v>
      </c>
      <c r="G1049" s="4" t="str">
        <f>IFERROR(VLOOKUP(F1049,Lists!$C:$D,2,0), "N/A")</f>
        <v>N/A</v>
      </c>
      <c r="H1049" s="26">
        <f>IFERROR(VLOOKUP(F1049,Lists!$C:$F,4,0),0)</f>
        <v>0</v>
      </c>
      <c r="I1049" s="7">
        <f t="shared" si="106"/>
        <v>4</v>
      </c>
      <c r="K1049" s="33">
        <v>4</v>
      </c>
      <c r="L1049" s="5">
        <f t="shared" si="114"/>
        <v>1</v>
      </c>
      <c r="M1049" s="26">
        <f t="shared" si="115"/>
        <v>0</v>
      </c>
    </row>
    <row r="1050" spans="1:13" x14ac:dyDescent="0.25">
      <c r="A1050" s="16" t="str">
        <f t="shared" si="107"/>
        <v>June</v>
      </c>
      <c r="B1050" s="31">
        <v>43991</v>
      </c>
      <c r="C1050" s="32" t="s">
        <v>24</v>
      </c>
      <c r="D1050" s="9" t="str">
        <f t="shared" si="113"/>
        <v>43991 - 3S</v>
      </c>
      <c r="E1050" s="32" t="s">
        <v>9</v>
      </c>
      <c r="F1050" s="2">
        <v>8000035</v>
      </c>
      <c r="G1050" s="4" t="str">
        <f>IFERROR(VLOOKUP(F1050,Lists!$C:$D,2,0), "N/A")</f>
        <v>TURTLES MILK CHOC ORIGINAL</v>
      </c>
      <c r="H1050" s="26">
        <f>IFERROR(VLOOKUP(F1050,Lists!$C:$F,4,0),0)</f>
        <v>1.91178</v>
      </c>
      <c r="I1050" s="7">
        <f t="shared" si="106"/>
        <v>9387.4</v>
      </c>
      <c r="J1050" s="6">
        <v>8834.4</v>
      </c>
      <c r="K1050" s="33">
        <v>553</v>
      </c>
      <c r="L1050" s="5">
        <f t="shared" si="114"/>
        <v>6.2596214796703797E-2</v>
      </c>
      <c r="M1050" s="26">
        <f t="shared" si="115"/>
        <v>1057.21434</v>
      </c>
    </row>
    <row r="1051" spans="1:13" x14ac:dyDescent="0.25">
      <c r="A1051" s="16" t="str">
        <f t="shared" si="107"/>
        <v>June</v>
      </c>
      <c r="B1051" s="31">
        <v>43991</v>
      </c>
      <c r="C1051" s="32" t="s">
        <v>24</v>
      </c>
      <c r="D1051" s="9" t="str">
        <f t="shared" si="113"/>
        <v>43991 - 3S</v>
      </c>
      <c r="E1051" s="32" t="s">
        <v>10</v>
      </c>
      <c r="F1051" s="2">
        <v>8000055</v>
      </c>
      <c r="G1051" s="4" t="str">
        <f>IFERROR(VLOOKUP(F1051,Lists!$C:$D,2,0), "N/A")</f>
        <v>916.BF FLIPZ 25 LB BULK MILK CHOC</v>
      </c>
      <c r="H1051" s="26">
        <f>IFERROR(VLOOKUP(F1051,Lists!$C:$F,4,0),0)</f>
        <v>1.9508160000000001</v>
      </c>
      <c r="I1051" s="7">
        <f t="shared" si="106"/>
        <v>19</v>
      </c>
      <c r="J1051" s="6">
        <v>0</v>
      </c>
      <c r="K1051" s="33">
        <v>19</v>
      </c>
      <c r="L1051" s="5">
        <f t="shared" si="114"/>
        <v>1</v>
      </c>
      <c r="M1051" s="26">
        <f t="shared" si="115"/>
        <v>37.065504000000004</v>
      </c>
    </row>
    <row r="1052" spans="1:13" x14ac:dyDescent="0.25">
      <c r="A1052" s="16" t="str">
        <f t="shared" si="107"/>
        <v>June</v>
      </c>
      <c r="B1052" s="31">
        <v>43991</v>
      </c>
      <c r="C1052" s="32" t="s">
        <v>25</v>
      </c>
      <c r="D1052" s="9" t="str">
        <f t="shared" si="113"/>
        <v>43991 - 1S</v>
      </c>
      <c r="E1052" s="32" t="s">
        <v>9</v>
      </c>
      <c r="F1052" s="2">
        <v>8000035</v>
      </c>
      <c r="G1052" s="4" t="str">
        <f>IFERROR(VLOOKUP(F1052,Lists!$C:$D,2,0), "N/A")</f>
        <v>TURTLES MILK CHOC ORIGINAL</v>
      </c>
      <c r="H1052" s="26">
        <f>IFERROR(VLOOKUP(F1052,Lists!$C:$F,4,0),0)</f>
        <v>1.91178</v>
      </c>
      <c r="I1052" s="7">
        <f t="shared" si="106"/>
        <v>7007.8</v>
      </c>
      <c r="J1052" s="6">
        <v>6328.8</v>
      </c>
      <c r="K1052" s="33">
        <v>679</v>
      </c>
      <c r="L1052" s="5">
        <f t="shared" si="114"/>
        <v>0.10728732145114397</v>
      </c>
      <c r="M1052" s="26">
        <f t="shared" si="115"/>
        <v>1298.09862</v>
      </c>
    </row>
    <row r="1053" spans="1:13" x14ac:dyDescent="0.25">
      <c r="A1053" s="16" t="str">
        <f t="shared" si="107"/>
        <v>June</v>
      </c>
      <c r="B1053" s="31">
        <v>43991</v>
      </c>
      <c r="C1053" s="32" t="s">
        <v>25</v>
      </c>
      <c r="D1053" s="9" t="str">
        <f t="shared" si="113"/>
        <v>43991 - 1S</v>
      </c>
      <c r="E1053" s="32" t="s">
        <v>13</v>
      </c>
      <c r="F1053" s="2">
        <v>8000055</v>
      </c>
      <c r="G1053" s="4" t="str">
        <f>IFERROR(VLOOKUP(F1053,Lists!$C:$D,2,0), "N/A")</f>
        <v>916.BF FLIPZ 25 LB BULK MILK CHOC</v>
      </c>
      <c r="H1053" s="26">
        <f>IFERROR(VLOOKUP(F1053,Lists!$C:$F,4,0),0)</f>
        <v>1.9508160000000001</v>
      </c>
      <c r="I1053" s="7">
        <f t="shared" si="106"/>
        <v>1006</v>
      </c>
      <c r="J1053" s="6">
        <f>40*25</f>
        <v>1000</v>
      </c>
      <c r="K1053" s="33">
        <v>6</v>
      </c>
      <c r="L1053" s="5">
        <f t="shared" si="114"/>
        <v>6.0000000000000001E-3</v>
      </c>
      <c r="M1053" s="26">
        <f t="shared" si="115"/>
        <v>11.704896000000002</v>
      </c>
    </row>
    <row r="1054" spans="1:13" x14ac:dyDescent="0.25">
      <c r="A1054" s="16" t="str">
        <f t="shared" si="107"/>
        <v>June</v>
      </c>
      <c r="B1054" s="31">
        <v>43991</v>
      </c>
      <c r="C1054" s="32" t="s">
        <v>25</v>
      </c>
      <c r="D1054" s="9" t="str">
        <f t="shared" si="113"/>
        <v>43991 - 1S</v>
      </c>
      <c r="E1054" s="32" t="s">
        <v>15</v>
      </c>
      <c r="G1054" s="4" t="str">
        <f>IFERROR(VLOOKUP(F1054,Lists!$C:$D,2,0), "N/A")</f>
        <v>N/A</v>
      </c>
      <c r="H1054" s="26">
        <f>IFERROR(VLOOKUP(F1054,Lists!$C:$F,4,0),0)</f>
        <v>0</v>
      </c>
      <c r="I1054" s="7">
        <f t="shared" si="106"/>
        <v>60</v>
      </c>
      <c r="K1054" s="33">
        <v>60</v>
      </c>
      <c r="L1054" s="5">
        <f t="shared" si="114"/>
        <v>1</v>
      </c>
      <c r="M1054" s="26">
        <f t="shared" si="115"/>
        <v>0</v>
      </c>
    </row>
    <row r="1055" spans="1:13" x14ac:dyDescent="0.25">
      <c r="A1055" s="16" t="str">
        <f t="shared" si="107"/>
        <v>June</v>
      </c>
      <c r="B1055" s="31">
        <v>43991</v>
      </c>
      <c r="C1055" s="32" t="s">
        <v>26</v>
      </c>
      <c r="D1055" s="9" t="str">
        <f t="shared" si="113"/>
        <v>43991 - 2S</v>
      </c>
      <c r="E1055" s="32" t="s">
        <v>9</v>
      </c>
      <c r="F1055" s="2">
        <v>8000035</v>
      </c>
      <c r="G1055" s="4" t="str">
        <f>IFERROR(VLOOKUP(F1055,Lists!$C:$D,2,0), "N/A")</f>
        <v>TURTLES MILK CHOC ORIGINAL</v>
      </c>
      <c r="H1055" s="26">
        <f>IFERROR(VLOOKUP(F1055,Lists!$C:$F,4,0),0)</f>
        <v>1.91178</v>
      </c>
      <c r="I1055" s="7">
        <f t="shared" si="106"/>
        <v>5055.6000000000004</v>
      </c>
      <c r="J1055" s="6">
        <v>4557.6000000000004</v>
      </c>
      <c r="K1055" s="33">
        <v>498</v>
      </c>
      <c r="L1055" s="5">
        <f t="shared" si="114"/>
        <v>0.10926803580832016</v>
      </c>
      <c r="M1055" s="26">
        <f t="shared" si="115"/>
        <v>952.06644000000006</v>
      </c>
    </row>
    <row r="1056" spans="1:13" x14ac:dyDescent="0.25">
      <c r="A1056" s="16" t="str">
        <f t="shared" si="107"/>
        <v>June</v>
      </c>
      <c r="B1056" s="31">
        <v>43991</v>
      </c>
      <c r="C1056" s="32" t="s">
        <v>26</v>
      </c>
      <c r="D1056" s="9" t="str">
        <f t="shared" si="113"/>
        <v>43991 - 2S</v>
      </c>
      <c r="E1056" s="32" t="s">
        <v>10</v>
      </c>
      <c r="F1056" s="2">
        <v>8000055</v>
      </c>
      <c r="G1056" s="4" t="str">
        <f>IFERROR(VLOOKUP(F1056,Lists!$C:$D,2,0), "N/A")</f>
        <v>916.BF FLIPZ 25 LB BULK MILK CHOC</v>
      </c>
      <c r="H1056" s="26">
        <f>IFERROR(VLOOKUP(F1056,Lists!$C:$F,4,0),0)</f>
        <v>1.9508160000000001</v>
      </c>
      <c r="I1056" s="7">
        <f t="shared" si="106"/>
        <v>1135</v>
      </c>
      <c r="J1056" s="6">
        <f>40*25</f>
        <v>1000</v>
      </c>
      <c r="K1056" s="33">
        <v>135</v>
      </c>
      <c r="L1056" s="5">
        <f t="shared" si="114"/>
        <v>0.13500000000000001</v>
      </c>
      <c r="M1056" s="26">
        <f t="shared" si="115"/>
        <v>263.36016000000001</v>
      </c>
    </row>
    <row r="1057" spans="1:13" x14ac:dyDescent="0.25">
      <c r="A1057" s="16" t="str">
        <f t="shared" si="107"/>
        <v>June</v>
      </c>
      <c r="B1057" s="31">
        <v>43992</v>
      </c>
      <c r="C1057" s="32" t="s">
        <v>24</v>
      </c>
      <c r="D1057" s="9" t="str">
        <f t="shared" si="113"/>
        <v>43992 - 3S</v>
      </c>
      <c r="E1057" s="32" t="s">
        <v>9</v>
      </c>
      <c r="F1057" s="2">
        <v>8000035</v>
      </c>
      <c r="G1057" s="4" t="str">
        <f>IFERROR(VLOOKUP(F1057,Lists!$C:$D,2,0), "N/A")</f>
        <v>TURTLES MILK CHOC ORIGINAL</v>
      </c>
      <c r="H1057" s="26">
        <f>IFERROR(VLOOKUP(F1057,Lists!$C:$F,4,0),0)</f>
        <v>1.91178</v>
      </c>
      <c r="I1057" s="7">
        <f t="shared" si="106"/>
        <v>4516.6000000000004</v>
      </c>
      <c r="J1057" s="6">
        <v>4233.6000000000004</v>
      </c>
      <c r="K1057" s="33">
        <v>283</v>
      </c>
      <c r="L1057" s="5">
        <f t="shared" si="114"/>
        <v>6.6846182917611477E-2</v>
      </c>
      <c r="M1057" s="26">
        <f t="shared" si="115"/>
        <v>541.03373999999997</v>
      </c>
    </row>
    <row r="1058" spans="1:13" x14ac:dyDescent="0.25">
      <c r="A1058" s="16" t="str">
        <f t="shared" si="107"/>
        <v>June</v>
      </c>
      <c r="B1058" s="31">
        <v>43992</v>
      </c>
      <c r="C1058" s="32" t="s">
        <v>24</v>
      </c>
      <c r="D1058" s="9" t="str">
        <f t="shared" si="113"/>
        <v>43992 - 3S</v>
      </c>
      <c r="E1058" s="32" t="s">
        <v>11</v>
      </c>
      <c r="F1058" s="2">
        <v>8000034</v>
      </c>
      <c r="G1058" s="4" t="str">
        <f>IFERROR(VLOOKUP(F1058,Lists!$C:$D,2,0), "N/A")</f>
        <v>KS MILK CHOC MACADAMIA</v>
      </c>
      <c r="H1058" s="26">
        <f>IFERROR(VLOOKUP(F1058,Lists!$C:$F,4,0),0)</f>
        <v>3.8943099999999999</v>
      </c>
      <c r="I1058" s="7">
        <f t="shared" si="106"/>
        <v>5615</v>
      </c>
      <c r="J1058" s="6">
        <v>5600</v>
      </c>
      <c r="K1058" s="33">
        <v>15</v>
      </c>
      <c r="L1058" s="5">
        <f t="shared" si="114"/>
        <v>2.6785714285714286E-3</v>
      </c>
      <c r="M1058" s="26">
        <f t="shared" si="115"/>
        <v>58.414650000000002</v>
      </c>
    </row>
    <row r="1059" spans="1:13" x14ac:dyDescent="0.25">
      <c r="A1059" s="16" t="str">
        <f t="shared" si="107"/>
        <v>June</v>
      </c>
      <c r="B1059" s="31">
        <v>43992</v>
      </c>
      <c r="C1059" s="32" t="s">
        <v>25</v>
      </c>
      <c r="D1059" s="9" t="str">
        <f t="shared" si="113"/>
        <v>43992 - 1S</v>
      </c>
      <c r="E1059" s="32" t="s">
        <v>9</v>
      </c>
      <c r="F1059" s="2">
        <v>8000035</v>
      </c>
      <c r="G1059" s="4" t="str">
        <f>IFERROR(VLOOKUP(F1059,Lists!$C:$D,2,0), "N/A")</f>
        <v>TURTLES MILK CHOC ORIGINAL</v>
      </c>
      <c r="H1059" s="26">
        <f>IFERROR(VLOOKUP(F1059,Lists!$C:$F,4,0),0)</f>
        <v>1.91178</v>
      </c>
      <c r="I1059" s="7">
        <f t="shared" si="106"/>
        <v>8302.4</v>
      </c>
      <c r="J1059" s="6">
        <v>7754.4</v>
      </c>
      <c r="K1059" s="33">
        <v>548</v>
      </c>
      <c r="L1059" s="5">
        <f t="shared" si="114"/>
        <v>7.0669555349221092E-2</v>
      </c>
      <c r="M1059" s="26">
        <f t="shared" si="115"/>
        <v>1047.65544</v>
      </c>
    </row>
    <row r="1060" spans="1:13" x14ac:dyDescent="0.25">
      <c r="A1060" s="16" t="str">
        <f t="shared" si="107"/>
        <v>June</v>
      </c>
      <c r="B1060" s="31">
        <v>43992</v>
      </c>
      <c r="C1060" s="32" t="s">
        <v>25</v>
      </c>
      <c r="D1060" s="9" t="str">
        <f t="shared" si="113"/>
        <v>43992 - 1S</v>
      </c>
      <c r="E1060" s="32" t="s">
        <v>11</v>
      </c>
      <c r="F1060" s="2">
        <v>8000034</v>
      </c>
      <c r="G1060" s="4" t="str">
        <f>IFERROR(VLOOKUP(F1060,Lists!$C:$D,2,0), "N/A")</f>
        <v>KS MILK CHOC MACADAMIA</v>
      </c>
      <c r="H1060" s="26">
        <f>IFERROR(VLOOKUP(F1060,Lists!$C:$F,4,0),0)</f>
        <v>3.8943099999999999</v>
      </c>
      <c r="I1060" s="7">
        <f t="shared" si="106"/>
        <v>4133</v>
      </c>
      <c r="J1060" s="6">
        <v>4000</v>
      </c>
      <c r="K1060" s="33">
        <v>133</v>
      </c>
      <c r="L1060" s="5">
        <f t="shared" si="114"/>
        <v>3.3250000000000002E-2</v>
      </c>
      <c r="M1060" s="26">
        <f t="shared" si="115"/>
        <v>517.94322999999997</v>
      </c>
    </row>
    <row r="1061" spans="1:13" x14ac:dyDescent="0.25">
      <c r="A1061" s="16" t="str">
        <f t="shared" si="107"/>
        <v>June</v>
      </c>
      <c r="B1061" s="31">
        <v>43992</v>
      </c>
      <c r="C1061" s="32" t="s">
        <v>25</v>
      </c>
      <c r="D1061" s="9" t="str">
        <f t="shared" si="113"/>
        <v>43992 - 1S</v>
      </c>
      <c r="E1061" s="32" t="s">
        <v>12</v>
      </c>
      <c r="F1061" s="2">
        <v>8000048</v>
      </c>
      <c r="G1061" s="4" t="str">
        <f>IFERROR(VLOOKUP(F1061,Lists!$C:$D,2,0), "N/A")</f>
        <v>WF Coated Pretzels</v>
      </c>
      <c r="H1061" s="26">
        <f>IFERROR(VLOOKUP(F1061,Lists!$C:$F,4,0),0)</f>
        <v>0</v>
      </c>
      <c r="I1061" s="7">
        <f t="shared" si="106"/>
        <v>9014</v>
      </c>
      <c r="J1061" s="6">
        <f>360*25</f>
        <v>9000</v>
      </c>
      <c r="K1061" s="33">
        <v>14</v>
      </c>
      <c r="L1061" s="5">
        <f t="shared" si="114"/>
        <v>1.5555555555555555E-3</v>
      </c>
      <c r="M1061" s="26">
        <f t="shared" si="115"/>
        <v>0</v>
      </c>
    </row>
    <row r="1062" spans="1:13" x14ac:dyDescent="0.25">
      <c r="A1062" s="16" t="str">
        <f t="shared" si="107"/>
        <v>June</v>
      </c>
      <c r="B1062" s="31">
        <v>43992</v>
      </c>
      <c r="C1062" s="32" t="s">
        <v>26</v>
      </c>
      <c r="D1062" s="9" t="str">
        <f t="shared" si="113"/>
        <v>43992 - 2S</v>
      </c>
      <c r="E1062" s="32" t="s">
        <v>9</v>
      </c>
      <c r="F1062" s="2">
        <v>8000035</v>
      </c>
      <c r="G1062" s="4" t="str">
        <f>IFERROR(VLOOKUP(F1062,Lists!$C:$D,2,0), "N/A")</f>
        <v>TURTLES MILK CHOC ORIGINAL</v>
      </c>
      <c r="H1062" s="26">
        <f>IFERROR(VLOOKUP(F1062,Lists!$C:$F,4,0),0)</f>
        <v>1.91178</v>
      </c>
      <c r="I1062" s="7">
        <f t="shared" si="106"/>
        <v>5661.4</v>
      </c>
      <c r="J1062" s="6">
        <v>4946.3999999999996</v>
      </c>
      <c r="K1062" s="33">
        <v>715</v>
      </c>
      <c r="L1062" s="5">
        <f t="shared" si="114"/>
        <v>0.14454957140546662</v>
      </c>
      <c r="M1062" s="26">
        <f t="shared" si="115"/>
        <v>1366.9227000000001</v>
      </c>
    </row>
    <row r="1063" spans="1:13" x14ac:dyDescent="0.25">
      <c r="A1063" s="16" t="str">
        <f t="shared" si="107"/>
        <v>June</v>
      </c>
      <c r="B1063" s="31">
        <v>43992</v>
      </c>
      <c r="C1063" s="32" t="s">
        <v>26</v>
      </c>
      <c r="D1063" s="9" t="str">
        <f t="shared" si="113"/>
        <v>43992 - 2S</v>
      </c>
      <c r="E1063" s="32" t="s">
        <v>10</v>
      </c>
      <c r="F1063" s="2">
        <v>8000055</v>
      </c>
      <c r="G1063" s="4" t="str">
        <f>IFERROR(VLOOKUP(F1063,Lists!$C:$D,2,0), "N/A")</f>
        <v>916.BF FLIPZ 25 LB BULK MILK CHOC</v>
      </c>
      <c r="H1063" s="26">
        <f>IFERROR(VLOOKUP(F1063,Lists!$C:$F,4,0),0)</f>
        <v>1.9508160000000001</v>
      </c>
      <c r="I1063" s="7">
        <f t="shared" si="106"/>
        <v>2019</v>
      </c>
      <c r="J1063" s="6">
        <f>80*25</f>
        <v>2000</v>
      </c>
      <c r="K1063" s="33">
        <v>19</v>
      </c>
      <c r="L1063" s="5">
        <f t="shared" si="114"/>
        <v>9.4999999999999998E-3</v>
      </c>
      <c r="M1063" s="26">
        <f t="shared" si="115"/>
        <v>37.065504000000004</v>
      </c>
    </row>
    <row r="1064" spans="1:13" x14ac:dyDescent="0.25">
      <c r="A1064" s="16" t="str">
        <f t="shared" si="107"/>
        <v>June</v>
      </c>
      <c r="B1064" s="31">
        <v>43992</v>
      </c>
      <c r="C1064" s="32" t="s">
        <v>26</v>
      </c>
      <c r="D1064" s="9" t="str">
        <f t="shared" si="113"/>
        <v>43992 - 2S</v>
      </c>
      <c r="E1064" s="32" t="s">
        <v>11</v>
      </c>
      <c r="F1064" s="2">
        <v>8000034</v>
      </c>
      <c r="G1064" s="4" t="str">
        <f>IFERROR(VLOOKUP(F1064,Lists!$C:$D,2,0), "N/A")</f>
        <v>KS MILK CHOC MACADAMIA</v>
      </c>
      <c r="H1064" s="26">
        <f>IFERROR(VLOOKUP(F1064,Lists!$C:$F,4,0),0)</f>
        <v>3.8943099999999999</v>
      </c>
      <c r="I1064" s="7">
        <f t="shared" si="106"/>
        <v>4080</v>
      </c>
      <c r="J1064" s="6">
        <v>4000</v>
      </c>
      <c r="K1064" s="33">
        <v>80</v>
      </c>
      <c r="L1064" s="5">
        <f t="shared" si="114"/>
        <v>0.02</v>
      </c>
      <c r="M1064" s="26">
        <f t="shared" si="115"/>
        <v>311.54480000000001</v>
      </c>
    </row>
    <row r="1065" spans="1:13" x14ac:dyDescent="0.25">
      <c r="A1065" s="16" t="str">
        <f t="shared" si="107"/>
        <v>June</v>
      </c>
      <c r="B1065" s="31">
        <v>43992</v>
      </c>
      <c r="C1065" s="32" t="s">
        <v>26</v>
      </c>
      <c r="D1065" s="9" t="str">
        <f t="shared" si="113"/>
        <v>43992 - 2S</v>
      </c>
      <c r="E1065" s="32" t="s">
        <v>12</v>
      </c>
      <c r="F1065" s="2">
        <v>8000048</v>
      </c>
      <c r="G1065" s="4" t="str">
        <f>IFERROR(VLOOKUP(F1065,Lists!$C:$D,2,0), "N/A")</f>
        <v>WF Coated Pretzels</v>
      </c>
      <c r="H1065" s="26">
        <f>IFERROR(VLOOKUP(F1065,Lists!$C:$F,4,0),0)</f>
        <v>0</v>
      </c>
      <c r="I1065" s="7">
        <f t="shared" si="106"/>
        <v>9036</v>
      </c>
      <c r="J1065" s="6">
        <f>360*25</f>
        <v>9000</v>
      </c>
      <c r="K1065" s="33">
        <v>36</v>
      </c>
      <c r="L1065" s="5">
        <f t="shared" si="114"/>
        <v>4.0000000000000001E-3</v>
      </c>
      <c r="M1065" s="26">
        <f t="shared" si="115"/>
        <v>0</v>
      </c>
    </row>
    <row r="1066" spans="1:13" x14ac:dyDescent="0.25">
      <c r="A1066" s="16" t="str">
        <f t="shared" si="107"/>
        <v>June</v>
      </c>
      <c r="B1066" s="31">
        <v>43993</v>
      </c>
      <c r="C1066" s="32" t="s">
        <v>24</v>
      </c>
      <c r="D1066" s="9" t="str">
        <f t="shared" si="113"/>
        <v>43993 - 3S</v>
      </c>
      <c r="E1066" s="32" t="s">
        <v>9</v>
      </c>
      <c r="F1066" s="2">
        <v>8000035</v>
      </c>
      <c r="G1066" s="4" t="str">
        <f>IFERROR(VLOOKUP(F1066,Lists!$C:$D,2,0), "N/A")</f>
        <v>TURTLES MILK CHOC ORIGINAL</v>
      </c>
      <c r="H1066" s="26">
        <f>IFERROR(VLOOKUP(F1066,Lists!$C:$F,4,0),0)</f>
        <v>1.91178</v>
      </c>
      <c r="I1066" s="7">
        <f t="shared" si="106"/>
        <v>7378.6</v>
      </c>
      <c r="J1066" s="6">
        <v>6970.6</v>
      </c>
      <c r="K1066" s="33">
        <v>408</v>
      </c>
      <c r="L1066" s="5">
        <f t="shared" si="114"/>
        <v>5.8531546782199517E-2</v>
      </c>
      <c r="M1066" s="26">
        <f t="shared" si="115"/>
        <v>780.00624000000005</v>
      </c>
    </row>
    <row r="1067" spans="1:13" x14ac:dyDescent="0.25">
      <c r="A1067" s="16" t="str">
        <f t="shared" si="107"/>
        <v>June</v>
      </c>
      <c r="B1067" s="31">
        <v>43993</v>
      </c>
      <c r="C1067" s="32" t="s">
        <v>24</v>
      </c>
      <c r="D1067" s="9" t="str">
        <f t="shared" si="113"/>
        <v>43993 - 3S</v>
      </c>
      <c r="E1067" s="32" t="s">
        <v>11</v>
      </c>
      <c r="F1067" s="2">
        <v>8000034</v>
      </c>
      <c r="G1067" s="4" t="str">
        <f>IFERROR(VLOOKUP(F1067,Lists!$C:$D,2,0), "N/A")</f>
        <v>KS MILK CHOC MACADAMIA</v>
      </c>
      <c r="H1067" s="26">
        <f>IFERROR(VLOOKUP(F1067,Lists!$C:$F,4,0),0)</f>
        <v>3.8943099999999999</v>
      </c>
      <c r="I1067" s="7">
        <f t="shared" si="106"/>
        <v>4170</v>
      </c>
      <c r="J1067" s="6">
        <v>4000</v>
      </c>
      <c r="K1067" s="33">
        <v>170</v>
      </c>
      <c r="L1067" s="5">
        <f t="shared" si="114"/>
        <v>4.2500000000000003E-2</v>
      </c>
      <c r="M1067" s="26">
        <f t="shared" si="115"/>
        <v>662.03269999999998</v>
      </c>
    </row>
    <row r="1068" spans="1:13" x14ac:dyDescent="0.25">
      <c r="A1068" s="16" t="str">
        <f t="shared" si="107"/>
        <v>June</v>
      </c>
      <c r="B1068" s="31">
        <v>43993</v>
      </c>
      <c r="C1068" s="32" t="s">
        <v>25</v>
      </c>
      <c r="D1068" s="9" t="str">
        <f t="shared" si="113"/>
        <v>43993 - 1S</v>
      </c>
      <c r="E1068" s="32" t="s">
        <v>9</v>
      </c>
      <c r="F1068" s="2">
        <v>8000035</v>
      </c>
      <c r="G1068" s="4" t="str">
        <f>IFERROR(VLOOKUP(F1068,Lists!$C:$D,2,0), "N/A")</f>
        <v>TURTLES MILK CHOC ORIGINAL</v>
      </c>
      <c r="H1068" s="26">
        <f>IFERROR(VLOOKUP(F1068,Lists!$C:$F,4,0),0)</f>
        <v>1.91178</v>
      </c>
      <c r="I1068" s="7">
        <f t="shared" si="106"/>
        <v>6747.2</v>
      </c>
      <c r="J1068" s="6">
        <v>6415.2</v>
      </c>
      <c r="K1068" s="33">
        <v>332</v>
      </c>
      <c r="L1068" s="5">
        <f t="shared" si="114"/>
        <v>5.1752088789125829E-2</v>
      </c>
      <c r="M1068" s="26">
        <f t="shared" si="115"/>
        <v>634.71096</v>
      </c>
    </row>
    <row r="1069" spans="1:13" x14ac:dyDescent="0.25">
      <c r="A1069" s="16" t="str">
        <f t="shared" si="107"/>
        <v>June</v>
      </c>
      <c r="B1069" s="31">
        <v>43993</v>
      </c>
      <c r="C1069" s="32" t="s">
        <v>25</v>
      </c>
      <c r="D1069" s="9" t="str">
        <f t="shared" ref="D1069:D1070" si="116">CONCATENATE(B1069," - ",C1069)</f>
        <v>43993 - 1S</v>
      </c>
      <c r="E1069" s="32" t="s">
        <v>11</v>
      </c>
      <c r="F1069" s="2">
        <v>8000034</v>
      </c>
      <c r="G1069" s="4" t="str">
        <f>IFERROR(VLOOKUP(F1069,Lists!$C:$D,2,0), "N/A")</f>
        <v>KS MILK CHOC MACADAMIA</v>
      </c>
      <c r="H1069" s="26">
        <f>IFERROR(VLOOKUP(F1069,Lists!$C:$F,4,0),0)</f>
        <v>3.8943099999999999</v>
      </c>
      <c r="I1069" s="7">
        <f t="shared" si="106"/>
        <v>4980</v>
      </c>
      <c r="J1069" s="6">
        <v>4800</v>
      </c>
      <c r="K1069" s="33">
        <v>180</v>
      </c>
      <c r="L1069" s="5">
        <f t="shared" si="114"/>
        <v>3.7499999999999999E-2</v>
      </c>
      <c r="M1069" s="26">
        <f t="shared" si="115"/>
        <v>700.97579999999994</v>
      </c>
    </row>
    <row r="1070" spans="1:13" x14ac:dyDescent="0.25">
      <c r="A1070" s="16" t="str">
        <f t="shared" si="107"/>
        <v>June</v>
      </c>
      <c r="B1070" s="31">
        <v>43993</v>
      </c>
      <c r="C1070" s="32" t="s">
        <v>25</v>
      </c>
      <c r="D1070" s="9" t="str">
        <f t="shared" si="116"/>
        <v>43993 - 1S</v>
      </c>
      <c r="E1070" s="32" t="s">
        <v>12</v>
      </c>
      <c r="F1070" s="2">
        <v>8000048</v>
      </c>
      <c r="G1070" s="4" t="str">
        <f>IFERROR(VLOOKUP(F1070,Lists!$C:$D,2,0), "N/A")</f>
        <v>WF Coated Pretzels</v>
      </c>
      <c r="H1070" s="26">
        <f>IFERROR(VLOOKUP(F1070,Lists!$C:$F,4,0),0)</f>
        <v>0</v>
      </c>
      <c r="I1070" s="7">
        <f t="shared" ref="I1070:I1133" si="117">J1070+K1070</f>
        <v>9014</v>
      </c>
      <c r="J1070" s="6">
        <f>360*25</f>
        <v>9000</v>
      </c>
      <c r="K1070" s="33">
        <v>14</v>
      </c>
      <c r="L1070" s="5">
        <f t="shared" si="114"/>
        <v>1.5555555555555555E-3</v>
      </c>
      <c r="M1070" s="26">
        <f t="shared" si="115"/>
        <v>0</v>
      </c>
    </row>
    <row r="1071" spans="1:13" x14ac:dyDescent="0.25">
      <c r="A1071" s="16" t="str">
        <f t="shared" si="107"/>
        <v>June</v>
      </c>
      <c r="B1071" s="31">
        <v>43993</v>
      </c>
      <c r="C1071" s="32" t="s">
        <v>26</v>
      </c>
      <c r="D1071" s="9" t="str">
        <f t="shared" si="113"/>
        <v>43993 - 2S</v>
      </c>
      <c r="E1071" s="32" t="s">
        <v>9</v>
      </c>
      <c r="F1071" s="2">
        <v>8000035</v>
      </c>
      <c r="G1071" s="4" t="str">
        <f>IFERROR(VLOOKUP(F1071,Lists!$C:$D,2,0), "N/A")</f>
        <v>TURTLES MILK CHOC ORIGINAL</v>
      </c>
      <c r="H1071" s="26">
        <f>IFERROR(VLOOKUP(F1071,Lists!$C:$F,4,0),0)</f>
        <v>1.91178</v>
      </c>
      <c r="I1071" s="7">
        <f t="shared" si="117"/>
        <v>10444.799999999999</v>
      </c>
      <c r="J1071" s="6">
        <v>9809.7999999999993</v>
      </c>
      <c r="K1071" s="33">
        <v>635</v>
      </c>
      <c r="L1071" s="5">
        <f t="shared" si="114"/>
        <v>6.473118718016678E-2</v>
      </c>
      <c r="M1071" s="26">
        <f t="shared" si="115"/>
        <v>1213.9802999999999</v>
      </c>
    </row>
    <row r="1072" spans="1:13" x14ac:dyDescent="0.25">
      <c r="A1072" s="16" t="str">
        <f t="shared" si="107"/>
        <v>June</v>
      </c>
      <c r="B1072" s="31">
        <v>43993</v>
      </c>
      <c r="C1072" s="32" t="s">
        <v>26</v>
      </c>
      <c r="D1072" s="9" t="str">
        <f t="shared" si="113"/>
        <v>43993 - 2S</v>
      </c>
      <c r="E1072" s="32" t="s">
        <v>10</v>
      </c>
      <c r="F1072" s="2">
        <v>8000055</v>
      </c>
      <c r="G1072" s="4" t="str">
        <f>IFERROR(VLOOKUP(F1072,Lists!$C:$D,2,0), "N/A")</f>
        <v>916.BF FLIPZ 25 LB BULK MILK CHOC</v>
      </c>
      <c r="H1072" s="26">
        <f>IFERROR(VLOOKUP(F1072,Lists!$C:$F,4,0),0)</f>
        <v>1.9508160000000001</v>
      </c>
      <c r="I1072" s="7">
        <f t="shared" si="117"/>
        <v>2067</v>
      </c>
      <c r="J1072" s="6">
        <f>80*25</f>
        <v>2000</v>
      </c>
      <c r="K1072" s="33">
        <v>67</v>
      </c>
      <c r="L1072" s="5">
        <f t="shared" si="114"/>
        <v>3.3500000000000002E-2</v>
      </c>
      <c r="M1072" s="26">
        <f t="shared" si="115"/>
        <v>130.70467200000002</v>
      </c>
    </row>
    <row r="1073" spans="1:13" x14ac:dyDescent="0.25">
      <c r="A1073" s="16" t="str">
        <f t="shared" si="107"/>
        <v>June</v>
      </c>
      <c r="B1073" s="31">
        <v>43993</v>
      </c>
      <c r="C1073" s="32" t="s">
        <v>26</v>
      </c>
      <c r="D1073" s="9" t="str">
        <f t="shared" si="113"/>
        <v>43993 - 2S</v>
      </c>
      <c r="E1073" s="32" t="s">
        <v>11</v>
      </c>
      <c r="F1073" s="2">
        <v>8000034</v>
      </c>
      <c r="G1073" s="4" t="str">
        <f>IFERROR(VLOOKUP(F1073,Lists!$C:$D,2,0), "N/A")</f>
        <v>KS MILK CHOC MACADAMIA</v>
      </c>
      <c r="H1073" s="26">
        <f>IFERROR(VLOOKUP(F1073,Lists!$C:$F,4,0),0)</f>
        <v>3.8943099999999999</v>
      </c>
      <c r="I1073" s="7">
        <f t="shared" si="117"/>
        <v>6610</v>
      </c>
      <c r="J1073" s="6">
        <v>6400</v>
      </c>
      <c r="K1073" s="33">
        <v>210</v>
      </c>
      <c r="L1073" s="5">
        <f t="shared" si="114"/>
        <v>3.2812500000000001E-2</v>
      </c>
      <c r="M1073" s="26">
        <f t="shared" si="115"/>
        <v>817.80510000000004</v>
      </c>
    </row>
    <row r="1074" spans="1:13" x14ac:dyDescent="0.25">
      <c r="A1074" s="16" t="str">
        <f t="shared" si="107"/>
        <v>June</v>
      </c>
      <c r="B1074" s="31">
        <v>43993</v>
      </c>
      <c r="C1074" s="32" t="s">
        <v>26</v>
      </c>
      <c r="D1074" s="9" t="str">
        <f t="shared" si="113"/>
        <v>43993 - 2S</v>
      </c>
      <c r="E1074" s="32" t="s">
        <v>12</v>
      </c>
      <c r="F1074" s="2">
        <v>8000048</v>
      </c>
      <c r="G1074" s="4" t="str">
        <f>IFERROR(VLOOKUP(F1074,Lists!$C:$D,2,0), "N/A")</f>
        <v>WF Coated Pretzels</v>
      </c>
      <c r="H1074" s="26">
        <f>IFERROR(VLOOKUP(F1074,Lists!$C:$F,4,0),0)</f>
        <v>0</v>
      </c>
      <c r="I1074" s="7">
        <f t="shared" si="117"/>
        <v>9019</v>
      </c>
      <c r="J1074" s="6">
        <f>360*25</f>
        <v>9000</v>
      </c>
      <c r="K1074" s="33">
        <v>19</v>
      </c>
      <c r="L1074" s="5">
        <f t="shared" si="114"/>
        <v>2.1111111111111109E-3</v>
      </c>
      <c r="M1074" s="26">
        <f t="shared" si="115"/>
        <v>0</v>
      </c>
    </row>
    <row r="1075" spans="1:13" x14ac:dyDescent="0.25">
      <c r="A1075" s="16" t="str">
        <f t="shared" ref="A1075:A1138" si="118">TEXT(B1075,"mmmm")</f>
        <v>June</v>
      </c>
      <c r="B1075" s="31">
        <v>43994</v>
      </c>
      <c r="C1075" s="32" t="s">
        <v>24</v>
      </c>
      <c r="D1075" s="9" t="str">
        <f t="shared" si="113"/>
        <v>43994 - 3S</v>
      </c>
      <c r="E1075" s="32" t="s">
        <v>9</v>
      </c>
      <c r="F1075" s="2">
        <v>8000035</v>
      </c>
      <c r="G1075" s="4" t="str">
        <f>IFERROR(VLOOKUP(F1075,Lists!$C:$D,2,0), "N/A")</f>
        <v>TURTLES MILK CHOC ORIGINAL</v>
      </c>
      <c r="H1075" s="26">
        <f>IFERROR(VLOOKUP(F1075,Lists!$C:$F,4,0),0)</f>
        <v>1.91178</v>
      </c>
      <c r="I1075" s="7">
        <f t="shared" si="117"/>
        <v>10746</v>
      </c>
      <c r="J1075" s="6">
        <v>10469</v>
      </c>
      <c r="K1075" s="33">
        <v>277</v>
      </c>
      <c r="L1075" s="5">
        <f t="shared" si="114"/>
        <v>2.6459069634157992E-2</v>
      </c>
      <c r="M1075" s="26">
        <f t="shared" si="115"/>
        <v>529.56306000000006</v>
      </c>
    </row>
    <row r="1076" spans="1:13" x14ac:dyDescent="0.25">
      <c r="A1076" s="16" t="str">
        <f t="shared" si="118"/>
        <v>June</v>
      </c>
      <c r="B1076" s="31">
        <v>43994</v>
      </c>
      <c r="C1076" s="32" t="s">
        <v>24</v>
      </c>
      <c r="D1076" s="9" t="str">
        <f t="shared" si="113"/>
        <v>43994 - 3S</v>
      </c>
      <c r="E1076" s="32" t="s">
        <v>11</v>
      </c>
      <c r="F1076" s="2">
        <v>8000034</v>
      </c>
      <c r="G1076" s="4" t="str">
        <f>IFERROR(VLOOKUP(F1076,Lists!$C:$D,2,0), "N/A")</f>
        <v>KS MILK CHOC MACADAMIA</v>
      </c>
      <c r="H1076" s="26">
        <f>IFERROR(VLOOKUP(F1076,Lists!$C:$F,4,0),0)</f>
        <v>3.8943099999999999</v>
      </c>
      <c r="I1076" s="7">
        <f t="shared" si="117"/>
        <v>9839.7999999999993</v>
      </c>
      <c r="J1076" s="6">
        <v>9809.7999999999993</v>
      </c>
      <c r="K1076" s="33">
        <v>30</v>
      </c>
      <c r="L1076" s="5">
        <f t="shared" si="114"/>
        <v>3.0581663234724461E-3</v>
      </c>
      <c r="M1076" s="26">
        <f t="shared" si="115"/>
        <v>116.8293</v>
      </c>
    </row>
    <row r="1077" spans="1:13" x14ac:dyDescent="0.25">
      <c r="A1077" s="16" t="str">
        <f t="shared" si="118"/>
        <v>June</v>
      </c>
      <c r="B1077" s="31">
        <v>43994</v>
      </c>
      <c r="C1077" s="32" t="s">
        <v>24</v>
      </c>
      <c r="D1077" s="9" t="str">
        <f t="shared" si="113"/>
        <v>43994 - 3S</v>
      </c>
      <c r="E1077" s="32" t="s">
        <v>15</v>
      </c>
      <c r="G1077" s="4" t="str">
        <f>IFERROR(VLOOKUP(F1077,Lists!$C:$D,2,0), "N/A")</f>
        <v>N/A</v>
      </c>
      <c r="H1077" s="26">
        <f>IFERROR(VLOOKUP(F1077,Lists!$C:$F,4,0),0)</f>
        <v>0</v>
      </c>
      <c r="I1077" s="7">
        <f t="shared" si="117"/>
        <v>30</v>
      </c>
      <c r="K1077" s="33">
        <v>30</v>
      </c>
      <c r="L1077" s="5">
        <f t="shared" si="114"/>
        <v>1</v>
      </c>
      <c r="M1077" s="26">
        <f t="shared" si="115"/>
        <v>0</v>
      </c>
    </row>
    <row r="1078" spans="1:13" x14ac:dyDescent="0.25">
      <c r="A1078" s="16" t="str">
        <f t="shared" si="118"/>
        <v>June</v>
      </c>
      <c r="B1078" s="31">
        <v>43994</v>
      </c>
      <c r="C1078" s="32" t="s">
        <v>25</v>
      </c>
      <c r="D1078" s="9" t="str">
        <f t="shared" si="113"/>
        <v>43994 - 1S</v>
      </c>
      <c r="E1078" s="32" t="s">
        <v>9</v>
      </c>
      <c r="F1078" s="2">
        <v>8000035</v>
      </c>
      <c r="G1078" s="4" t="str">
        <f>IFERROR(VLOOKUP(F1078,Lists!$C:$D,2,0), "N/A")</f>
        <v>TURTLES MILK CHOC ORIGINAL</v>
      </c>
      <c r="H1078" s="26">
        <f>IFERROR(VLOOKUP(F1078,Lists!$C:$F,4,0),0)</f>
        <v>1.91178</v>
      </c>
      <c r="I1078" s="7">
        <f t="shared" si="117"/>
        <v>10785.6</v>
      </c>
      <c r="J1078" s="6">
        <v>10252.6</v>
      </c>
      <c r="K1078" s="33">
        <v>533</v>
      </c>
      <c r="L1078" s="5">
        <f t="shared" si="114"/>
        <v>5.1986813101067043E-2</v>
      </c>
      <c r="M1078" s="26">
        <f t="shared" si="115"/>
        <v>1018.97874</v>
      </c>
    </row>
    <row r="1079" spans="1:13" x14ac:dyDescent="0.25">
      <c r="A1079" s="16" t="str">
        <f t="shared" si="118"/>
        <v>June</v>
      </c>
      <c r="B1079" s="31">
        <v>43994</v>
      </c>
      <c r="C1079" s="32" t="s">
        <v>25</v>
      </c>
      <c r="D1079" s="9" t="str">
        <f t="shared" si="113"/>
        <v>43994 - 1S</v>
      </c>
      <c r="E1079" s="32" t="s">
        <v>12</v>
      </c>
      <c r="F1079" s="2">
        <v>8000048</v>
      </c>
      <c r="G1079" s="4" t="str">
        <f>IFERROR(VLOOKUP(F1079,Lists!$C:$D,2,0), "N/A")</f>
        <v>WF Coated Pretzels</v>
      </c>
      <c r="H1079" s="26">
        <f>IFERROR(VLOOKUP(F1079,Lists!$C:$F,4,0),0)</f>
        <v>0</v>
      </c>
      <c r="I1079" s="7">
        <f t="shared" si="117"/>
        <v>10027</v>
      </c>
      <c r="J1079" s="6">
        <f>400*25</f>
        <v>10000</v>
      </c>
      <c r="K1079" s="33">
        <v>27</v>
      </c>
      <c r="L1079" s="5">
        <f t="shared" si="114"/>
        <v>2.7000000000000001E-3</v>
      </c>
      <c r="M1079" s="26">
        <f t="shared" si="115"/>
        <v>0</v>
      </c>
    </row>
    <row r="1080" spans="1:13" x14ac:dyDescent="0.25">
      <c r="A1080" s="16" t="str">
        <f t="shared" si="118"/>
        <v>June</v>
      </c>
      <c r="B1080" s="31">
        <v>43994</v>
      </c>
      <c r="C1080" s="32" t="s">
        <v>25</v>
      </c>
      <c r="D1080" s="9" t="str">
        <f t="shared" si="113"/>
        <v>43994 - 1S</v>
      </c>
      <c r="E1080" s="32" t="s">
        <v>13</v>
      </c>
      <c r="F1080" s="2">
        <v>8000055</v>
      </c>
      <c r="G1080" s="4" t="str">
        <f>IFERROR(VLOOKUP(F1080,Lists!$C:$D,2,0), "N/A")</f>
        <v>916.BF FLIPZ 25 LB BULK MILK CHOC</v>
      </c>
      <c r="H1080" s="26">
        <f>IFERROR(VLOOKUP(F1080,Lists!$C:$F,4,0),0)</f>
        <v>1.9508160000000001</v>
      </c>
      <c r="I1080" s="7">
        <f t="shared" si="117"/>
        <v>540</v>
      </c>
      <c r="J1080" s="6">
        <f>21*25</f>
        <v>525</v>
      </c>
      <c r="K1080" s="33">
        <v>15</v>
      </c>
      <c r="L1080" s="5">
        <f t="shared" si="114"/>
        <v>2.8571428571428571E-2</v>
      </c>
      <c r="M1080" s="26">
        <f t="shared" si="115"/>
        <v>29.262240000000002</v>
      </c>
    </row>
    <row r="1081" spans="1:13" x14ac:dyDescent="0.25">
      <c r="A1081" s="16" t="str">
        <f t="shared" si="118"/>
        <v>June</v>
      </c>
      <c r="B1081" s="31">
        <v>43994</v>
      </c>
      <c r="C1081" s="32" t="s">
        <v>25</v>
      </c>
      <c r="D1081" s="9" t="str">
        <f t="shared" si="113"/>
        <v>43994 - 1S</v>
      </c>
      <c r="E1081" s="32" t="s">
        <v>15</v>
      </c>
      <c r="G1081" s="4" t="str">
        <f>IFERROR(VLOOKUP(F1081,Lists!$C:$D,2,0), "N/A")</f>
        <v>N/A</v>
      </c>
      <c r="H1081" s="26">
        <f>IFERROR(VLOOKUP(F1081,Lists!$C:$F,4,0),0)</f>
        <v>0</v>
      </c>
      <c r="I1081" s="7">
        <f t="shared" si="117"/>
        <v>17</v>
      </c>
      <c r="K1081" s="33">
        <v>17</v>
      </c>
      <c r="L1081" s="5">
        <f t="shared" si="114"/>
        <v>1</v>
      </c>
      <c r="M1081" s="26">
        <f t="shared" si="115"/>
        <v>0</v>
      </c>
    </row>
    <row r="1082" spans="1:13" x14ac:dyDescent="0.25">
      <c r="A1082" s="16" t="str">
        <f t="shared" si="118"/>
        <v>June</v>
      </c>
      <c r="B1082" s="31">
        <v>43994</v>
      </c>
      <c r="C1082" s="32" t="s">
        <v>26</v>
      </c>
      <c r="D1082" s="9" t="str">
        <f t="shared" si="113"/>
        <v>43994 - 2S</v>
      </c>
      <c r="E1082" s="32" t="s">
        <v>9</v>
      </c>
      <c r="F1082" s="2">
        <v>8000035</v>
      </c>
      <c r="G1082" s="4" t="str">
        <f>IFERROR(VLOOKUP(F1082,Lists!$C:$D,2,0), "N/A")</f>
        <v>TURTLES MILK CHOC ORIGINAL</v>
      </c>
      <c r="H1082" s="26">
        <f>IFERROR(VLOOKUP(F1082,Lists!$C:$F,4,0),0)</f>
        <v>1.91178</v>
      </c>
      <c r="I1082" s="7">
        <f t="shared" si="117"/>
        <v>6429.4</v>
      </c>
      <c r="J1082" s="6">
        <v>5702.4</v>
      </c>
      <c r="K1082" s="33">
        <v>727</v>
      </c>
      <c r="L1082" s="5">
        <f t="shared" si="114"/>
        <v>0.12749017957351291</v>
      </c>
      <c r="M1082" s="26">
        <f t="shared" si="115"/>
        <v>1389.8640600000001</v>
      </c>
    </row>
    <row r="1083" spans="1:13" x14ac:dyDescent="0.25">
      <c r="A1083" s="16" t="str">
        <f t="shared" si="118"/>
        <v>June</v>
      </c>
      <c r="B1083" s="31">
        <v>43994</v>
      </c>
      <c r="C1083" s="32" t="s">
        <v>26</v>
      </c>
      <c r="D1083" s="9" t="str">
        <f t="shared" si="113"/>
        <v>43994 - 2S</v>
      </c>
      <c r="E1083" s="32" t="s">
        <v>15</v>
      </c>
      <c r="G1083" s="4" t="str">
        <f>IFERROR(VLOOKUP(F1083,Lists!$C:$D,2,0), "N/A")</f>
        <v>N/A</v>
      </c>
      <c r="H1083" s="26">
        <f>IFERROR(VLOOKUP(F1083,Lists!$C:$F,4,0),0)</f>
        <v>0</v>
      </c>
      <c r="I1083" s="7">
        <f t="shared" si="117"/>
        <v>103</v>
      </c>
      <c r="K1083" s="33">
        <v>103</v>
      </c>
      <c r="L1083" s="5">
        <f t="shared" si="114"/>
        <v>1</v>
      </c>
      <c r="M1083" s="26">
        <f t="shared" si="115"/>
        <v>0</v>
      </c>
    </row>
    <row r="1084" spans="1:13" x14ac:dyDescent="0.25">
      <c r="A1084" s="16" t="str">
        <f t="shared" si="118"/>
        <v>June</v>
      </c>
      <c r="B1084" s="31">
        <v>43995</v>
      </c>
      <c r="C1084" s="32" t="s">
        <v>25</v>
      </c>
      <c r="D1084" s="9" t="str">
        <f t="shared" si="113"/>
        <v>43995 - 1S</v>
      </c>
      <c r="E1084" s="32" t="s">
        <v>11</v>
      </c>
      <c r="F1084" s="2">
        <v>8000034</v>
      </c>
      <c r="G1084" s="4" t="str">
        <f>IFERROR(VLOOKUP(F1084,Lists!$C:$D,2,0), "N/A")</f>
        <v>KS MILK CHOC MACADAMIA</v>
      </c>
      <c r="H1084" s="26">
        <f>IFERROR(VLOOKUP(F1084,Lists!$C:$F,4,0),0)</f>
        <v>3.8943099999999999</v>
      </c>
      <c r="I1084" s="7">
        <f t="shared" si="117"/>
        <v>8987</v>
      </c>
      <c r="J1084" s="6">
        <v>8800</v>
      </c>
      <c r="K1084" s="33">
        <v>187</v>
      </c>
      <c r="L1084" s="5">
        <f t="shared" si="114"/>
        <v>2.1250000000000002E-2</v>
      </c>
      <c r="M1084" s="26">
        <f t="shared" si="115"/>
        <v>728.23596999999995</v>
      </c>
    </row>
    <row r="1085" spans="1:13" x14ac:dyDescent="0.25">
      <c r="A1085" s="16" t="str">
        <f t="shared" si="118"/>
        <v>June</v>
      </c>
      <c r="B1085" s="31">
        <v>43995</v>
      </c>
      <c r="C1085" s="32" t="s">
        <v>25</v>
      </c>
      <c r="D1085" s="9" t="str">
        <f t="shared" si="113"/>
        <v>43995 - 1S</v>
      </c>
      <c r="E1085" s="32" t="s">
        <v>12</v>
      </c>
      <c r="F1085" s="2">
        <v>8000048</v>
      </c>
      <c r="G1085" s="4" t="str">
        <f>IFERROR(VLOOKUP(F1085,Lists!$C:$D,2,0), "N/A")</f>
        <v>WF Coated Pretzels</v>
      </c>
      <c r="H1085" s="26">
        <f>IFERROR(VLOOKUP(F1085,Lists!$C:$F,4,0),0)</f>
        <v>0</v>
      </c>
      <c r="I1085" s="7">
        <f t="shared" si="117"/>
        <v>8010</v>
      </c>
      <c r="J1085" s="6">
        <f>320*25</f>
        <v>8000</v>
      </c>
      <c r="K1085" s="33">
        <v>10</v>
      </c>
      <c r="L1085" s="5">
        <f t="shared" si="114"/>
        <v>1.25E-3</v>
      </c>
      <c r="M1085" s="26">
        <f t="shared" si="115"/>
        <v>0</v>
      </c>
    </row>
    <row r="1086" spans="1:13" x14ac:dyDescent="0.25">
      <c r="A1086" s="16" t="str">
        <f t="shared" si="118"/>
        <v>June</v>
      </c>
      <c r="B1086" s="31">
        <v>43995</v>
      </c>
      <c r="C1086" s="32" t="s">
        <v>25</v>
      </c>
      <c r="D1086" s="9" t="str">
        <f t="shared" si="113"/>
        <v>43995 - 1S</v>
      </c>
      <c r="E1086" s="32" t="s">
        <v>13</v>
      </c>
      <c r="F1086" s="2">
        <v>8000055</v>
      </c>
      <c r="G1086" s="4" t="str">
        <f>IFERROR(VLOOKUP(F1086,Lists!$C:$D,2,0), "N/A")</f>
        <v>916.BF FLIPZ 25 LB BULK MILK CHOC</v>
      </c>
      <c r="H1086" s="26">
        <f>IFERROR(VLOOKUP(F1086,Lists!$C:$F,4,0),0)</f>
        <v>1.9508160000000001</v>
      </c>
      <c r="I1086" s="7">
        <f t="shared" si="117"/>
        <v>3025</v>
      </c>
      <c r="J1086" s="6">
        <f>120*25</f>
        <v>3000</v>
      </c>
      <c r="K1086" s="33">
        <v>25</v>
      </c>
      <c r="L1086" s="5">
        <f t="shared" si="114"/>
        <v>8.3333333333333332E-3</v>
      </c>
      <c r="M1086" s="26">
        <f t="shared" si="115"/>
        <v>48.770400000000002</v>
      </c>
    </row>
    <row r="1087" spans="1:13" x14ac:dyDescent="0.25">
      <c r="A1087" s="16" t="str">
        <f t="shared" si="118"/>
        <v>June</v>
      </c>
      <c r="B1087" s="31">
        <v>43995</v>
      </c>
      <c r="C1087" s="32" t="s">
        <v>26</v>
      </c>
      <c r="D1087" s="9" t="str">
        <f t="shared" si="113"/>
        <v>43995 - 2S</v>
      </c>
      <c r="E1087" s="32" t="s">
        <v>9</v>
      </c>
      <c r="F1087" s="2">
        <v>8000039</v>
      </c>
      <c r="G1087" s="4" t="str">
        <f>IFERROR(VLOOKUP(F1087,Lists!$C:$D,2,0), "N/A")</f>
        <v>TURTLES MILK CHOC ORIG MINI</v>
      </c>
      <c r="H1087" s="26">
        <f>IFERROR(VLOOKUP(F1087,Lists!$C:$F,4,0),0)</f>
        <v>2.08013</v>
      </c>
      <c r="I1087" s="7">
        <f t="shared" si="117"/>
        <v>8746</v>
      </c>
      <c r="J1087" s="6">
        <v>8640</v>
      </c>
      <c r="K1087" s="33">
        <v>106</v>
      </c>
      <c r="L1087" s="5">
        <f t="shared" si="114"/>
        <v>1.2268518518518519E-2</v>
      </c>
      <c r="M1087" s="26">
        <f t="shared" si="115"/>
        <v>220.49378000000002</v>
      </c>
    </row>
    <row r="1088" spans="1:13" x14ac:dyDescent="0.25">
      <c r="A1088" s="16" t="str">
        <f t="shared" si="118"/>
        <v>June</v>
      </c>
      <c r="B1088" s="31">
        <v>43995</v>
      </c>
      <c r="C1088" s="32" t="s">
        <v>26</v>
      </c>
      <c r="D1088" s="9" t="str">
        <f t="shared" si="113"/>
        <v>43995 - 2S</v>
      </c>
      <c r="E1088" s="32" t="s">
        <v>11</v>
      </c>
      <c r="F1088" s="2">
        <v>8000034</v>
      </c>
      <c r="G1088" s="4" t="str">
        <f>IFERROR(VLOOKUP(F1088,Lists!$C:$D,2,0), "N/A")</f>
        <v>KS MILK CHOC MACADAMIA</v>
      </c>
      <c r="H1088" s="26">
        <f>IFERROR(VLOOKUP(F1088,Lists!$C:$F,4,0),0)</f>
        <v>3.8943099999999999</v>
      </c>
      <c r="I1088" s="7">
        <f t="shared" si="117"/>
        <v>10514</v>
      </c>
      <c r="J1088" s="6">
        <v>10400</v>
      </c>
      <c r="K1088" s="33">
        <v>114</v>
      </c>
      <c r="L1088" s="5">
        <f t="shared" si="114"/>
        <v>1.0961538461538462E-2</v>
      </c>
      <c r="M1088" s="26">
        <f t="shared" si="115"/>
        <v>443.95134000000002</v>
      </c>
    </row>
    <row r="1089" spans="1:13" x14ac:dyDescent="0.25">
      <c r="A1089" s="16" t="str">
        <f t="shared" si="118"/>
        <v>June</v>
      </c>
      <c r="B1089" s="31">
        <v>43996</v>
      </c>
      <c r="C1089" s="32" t="s">
        <v>25</v>
      </c>
      <c r="D1089" s="9" t="str">
        <f t="shared" si="113"/>
        <v>43996 - 1S</v>
      </c>
      <c r="E1089" s="32" t="s">
        <v>9</v>
      </c>
      <c r="F1089" s="2">
        <v>8000039</v>
      </c>
      <c r="G1089" s="4" t="str">
        <f>IFERROR(VLOOKUP(F1089,Lists!$C:$D,2,0), "N/A")</f>
        <v>TURTLES MILK CHOC ORIG MINI</v>
      </c>
      <c r="H1089" s="26">
        <f>IFERROR(VLOOKUP(F1089,Lists!$C:$F,4,0),0)</f>
        <v>2.08013</v>
      </c>
      <c r="I1089" s="7">
        <f t="shared" si="117"/>
        <v>8988</v>
      </c>
      <c r="J1089" s="6">
        <v>8640</v>
      </c>
      <c r="K1089" s="33">
        <v>348</v>
      </c>
      <c r="L1089" s="5">
        <f t="shared" si="114"/>
        <v>4.027777777777778E-2</v>
      </c>
      <c r="M1089" s="26">
        <f t="shared" si="115"/>
        <v>723.88524000000007</v>
      </c>
    </row>
    <row r="1090" spans="1:13" x14ac:dyDescent="0.25">
      <c r="A1090" s="16" t="str">
        <f t="shared" si="118"/>
        <v>June</v>
      </c>
      <c r="B1090" s="31">
        <v>43996</v>
      </c>
      <c r="C1090" s="32" t="s">
        <v>26</v>
      </c>
      <c r="D1090" s="9" t="str">
        <f t="shared" si="113"/>
        <v>43996 - 2S</v>
      </c>
      <c r="E1090" s="32" t="s">
        <v>11</v>
      </c>
      <c r="F1090" s="2">
        <v>8000034</v>
      </c>
      <c r="G1090" s="4" t="str">
        <f>IFERROR(VLOOKUP(F1090,Lists!$C:$D,2,0), "N/A")</f>
        <v>KS MILK CHOC MACADAMIA</v>
      </c>
      <c r="H1090" s="26">
        <f>IFERROR(VLOOKUP(F1090,Lists!$C:$F,4,0),0)</f>
        <v>3.8943099999999999</v>
      </c>
      <c r="I1090" s="7">
        <f t="shared" si="117"/>
        <v>1763</v>
      </c>
      <c r="J1090" s="6">
        <f>3200/2</f>
        <v>1600</v>
      </c>
      <c r="K1090" s="33">
        <v>163</v>
      </c>
      <c r="L1090" s="5">
        <f t="shared" si="114"/>
        <v>0.10187499999999999</v>
      </c>
      <c r="M1090" s="26">
        <f t="shared" si="115"/>
        <v>634.77252999999996</v>
      </c>
    </row>
    <row r="1091" spans="1:13" x14ac:dyDescent="0.25">
      <c r="A1091" s="16" t="str">
        <f t="shared" si="118"/>
        <v>June</v>
      </c>
      <c r="B1091" s="31">
        <v>43996</v>
      </c>
      <c r="C1091" s="32" t="s">
        <v>25</v>
      </c>
      <c r="D1091" s="9" t="str">
        <f t="shared" si="113"/>
        <v>43996 - 1S</v>
      </c>
      <c r="E1091" s="32" t="s">
        <v>11</v>
      </c>
      <c r="F1091" s="2">
        <v>8000034</v>
      </c>
      <c r="G1091" s="4" t="str">
        <f>IFERROR(VLOOKUP(F1091,Lists!$C:$D,2,0), "N/A")</f>
        <v>KS MILK CHOC MACADAMIA</v>
      </c>
      <c r="H1091" s="26">
        <f>IFERROR(VLOOKUP(F1091,Lists!$C:$F,4,0),0)</f>
        <v>3.8943099999999999</v>
      </c>
      <c r="I1091" s="7">
        <f t="shared" si="117"/>
        <v>11455</v>
      </c>
      <c r="J1091" s="6">
        <v>11200</v>
      </c>
      <c r="K1091" s="33">
        <v>255</v>
      </c>
      <c r="L1091" s="5">
        <f t="shared" si="114"/>
        <v>2.2767857142857142E-2</v>
      </c>
      <c r="M1091" s="26">
        <f t="shared" si="115"/>
        <v>993.04904999999997</v>
      </c>
    </row>
    <row r="1092" spans="1:13" x14ac:dyDescent="0.25">
      <c r="A1092" s="16" t="str">
        <f t="shared" si="118"/>
        <v>June</v>
      </c>
      <c r="B1092" s="31">
        <v>43996</v>
      </c>
      <c r="C1092" s="32" t="s">
        <v>25</v>
      </c>
      <c r="D1092" s="9" t="str">
        <f t="shared" si="113"/>
        <v>43996 - 1S</v>
      </c>
      <c r="E1092" s="32" t="s">
        <v>12</v>
      </c>
      <c r="F1092" s="2">
        <v>8000048</v>
      </c>
      <c r="G1092" s="4" t="str">
        <f>IFERROR(VLOOKUP(F1092,Lists!$C:$D,2,0), "N/A")</f>
        <v>WF Coated Pretzels</v>
      </c>
      <c r="H1092" s="26">
        <f>IFERROR(VLOOKUP(F1092,Lists!$C:$F,4,0),0)</f>
        <v>0</v>
      </c>
      <c r="I1092" s="7">
        <f t="shared" si="117"/>
        <v>9012</v>
      </c>
      <c r="J1092" s="6">
        <f>360*25</f>
        <v>9000</v>
      </c>
      <c r="K1092" s="33">
        <v>12</v>
      </c>
      <c r="L1092" s="5">
        <f t="shared" si="114"/>
        <v>1.3333333333333333E-3</v>
      </c>
      <c r="M1092" s="26">
        <f t="shared" si="115"/>
        <v>0</v>
      </c>
    </row>
    <row r="1093" spans="1:13" x14ac:dyDescent="0.25">
      <c r="A1093" s="16" t="str">
        <f t="shared" si="118"/>
        <v>June</v>
      </c>
      <c r="B1093" s="31">
        <v>43996</v>
      </c>
      <c r="C1093" s="32" t="s">
        <v>25</v>
      </c>
      <c r="D1093" s="9" t="str">
        <f t="shared" si="113"/>
        <v>43996 - 1S</v>
      </c>
      <c r="E1093" s="32" t="s">
        <v>15</v>
      </c>
      <c r="G1093" s="4" t="str">
        <f>IFERROR(VLOOKUP(F1093,Lists!$C:$D,2,0), "N/A")</f>
        <v>N/A</v>
      </c>
      <c r="H1093" s="26">
        <f>IFERROR(VLOOKUP(F1093,Lists!$C:$F,4,0),0)</f>
        <v>0</v>
      </c>
      <c r="I1093" s="7">
        <f t="shared" si="117"/>
        <v>108</v>
      </c>
      <c r="K1093" s="33">
        <v>108</v>
      </c>
      <c r="L1093" s="5">
        <f t="shared" si="114"/>
        <v>1</v>
      </c>
      <c r="M1093" s="26">
        <f t="shared" si="115"/>
        <v>0</v>
      </c>
    </row>
    <row r="1094" spans="1:13" x14ac:dyDescent="0.25">
      <c r="A1094" s="16" t="str">
        <f t="shared" si="118"/>
        <v>June</v>
      </c>
      <c r="B1094" s="31">
        <v>43996</v>
      </c>
      <c r="C1094" s="32" t="s">
        <v>26</v>
      </c>
      <c r="D1094" s="9" t="str">
        <f t="shared" si="113"/>
        <v>43996 - 2S</v>
      </c>
      <c r="E1094" s="32" t="s">
        <v>9</v>
      </c>
      <c r="F1094" s="2">
        <v>8000039</v>
      </c>
      <c r="G1094" s="4" t="str">
        <f>IFERROR(VLOOKUP(F1094,Lists!$C:$D,2,0), "N/A")</f>
        <v>TURTLES MILK CHOC ORIG MINI</v>
      </c>
      <c r="H1094" s="26">
        <f>IFERROR(VLOOKUP(F1094,Lists!$C:$F,4,0),0)</f>
        <v>2.08013</v>
      </c>
      <c r="I1094" s="7">
        <f t="shared" si="117"/>
        <v>11863</v>
      </c>
      <c r="J1094" s="6">
        <f>11520</f>
        <v>11520</v>
      </c>
      <c r="K1094" s="33">
        <v>343</v>
      </c>
      <c r="L1094" s="5">
        <f t="shared" si="114"/>
        <v>2.9774305555555554E-2</v>
      </c>
      <c r="M1094" s="26">
        <f t="shared" si="115"/>
        <v>713.48459000000003</v>
      </c>
    </row>
    <row r="1095" spans="1:13" x14ac:dyDescent="0.25">
      <c r="A1095" s="16" t="str">
        <f t="shared" si="118"/>
        <v>June</v>
      </c>
      <c r="B1095" s="31">
        <v>43996</v>
      </c>
      <c r="C1095" s="32" t="s">
        <v>26</v>
      </c>
      <c r="D1095" s="9" t="str">
        <f t="shared" si="113"/>
        <v>43996 - 2S</v>
      </c>
      <c r="E1095" s="32" t="s">
        <v>11</v>
      </c>
      <c r="F1095" s="2">
        <v>8000034</v>
      </c>
      <c r="G1095" s="4" t="str">
        <f>IFERROR(VLOOKUP(F1095,Lists!$C:$D,2,0), "N/A")</f>
        <v>KS MILK CHOC MACADAMIA</v>
      </c>
      <c r="H1095" s="26">
        <f>IFERROR(VLOOKUP(F1095,Lists!$C:$F,4,0),0)</f>
        <v>3.8943099999999999</v>
      </c>
      <c r="I1095" s="7">
        <f t="shared" si="117"/>
        <v>1710</v>
      </c>
      <c r="J1095" s="6">
        <f>3200/2</f>
        <v>1600</v>
      </c>
      <c r="K1095" s="33">
        <v>110</v>
      </c>
      <c r="L1095" s="5">
        <f t="shared" si="114"/>
        <v>6.8750000000000006E-2</v>
      </c>
      <c r="M1095" s="26">
        <f t="shared" si="115"/>
        <v>428.3741</v>
      </c>
    </row>
    <row r="1096" spans="1:13" x14ac:dyDescent="0.25">
      <c r="A1096" s="16" t="str">
        <f t="shared" si="118"/>
        <v>June</v>
      </c>
      <c r="B1096" s="31">
        <v>43996</v>
      </c>
      <c r="C1096" s="32" t="s">
        <v>26</v>
      </c>
      <c r="D1096" s="9" t="str">
        <f t="shared" si="113"/>
        <v>43996 - 2S</v>
      </c>
      <c r="E1096" s="32" t="s">
        <v>15</v>
      </c>
      <c r="G1096" s="4" t="str">
        <f>IFERROR(VLOOKUP(F1096,Lists!$C:$D,2,0), "N/A")</f>
        <v>N/A</v>
      </c>
      <c r="H1096" s="26">
        <f>IFERROR(VLOOKUP(F1096,Lists!$C:$F,4,0),0)</f>
        <v>0</v>
      </c>
      <c r="I1096" s="7">
        <f t="shared" si="117"/>
        <v>10</v>
      </c>
      <c r="K1096" s="33">
        <v>10</v>
      </c>
      <c r="L1096" s="5">
        <f t="shared" si="114"/>
        <v>1</v>
      </c>
      <c r="M1096" s="26">
        <f t="shared" si="115"/>
        <v>0</v>
      </c>
    </row>
    <row r="1097" spans="1:13" x14ac:dyDescent="0.25">
      <c r="A1097" s="16" t="str">
        <f t="shared" si="118"/>
        <v>June</v>
      </c>
      <c r="B1097" s="31">
        <v>43997</v>
      </c>
      <c r="C1097" s="32" t="s">
        <v>7</v>
      </c>
      <c r="D1097" s="9" t="str">
        <f t="shared" ref="D1097:D1160" si="119">CONCATENATE(B1097," - ",C1097)</f>
        <v>43997 - T3</v>
      </c>
      <c r="E1097" s="32" t="s">
        <v>9</v>
      </c>
      <c r="F1097" s="2">
        <v>8000039</v>
      </c>
      <c r="G1097" s="4" t="str">
        <f>IFERROR(VLOOKUP(F1097,Lists!$C:$D,2,0), "N/A")</f>
        <v>TURTLES MILK CHOC ORIG MINI</v>
      </c>
      <c r="H1097" s="26">
        <f>IFERROR(VLOOKUP(F1097,Lists!$C:$F,4,0),0)</f>
        <v>2.08013</v>
      </c>
      <c r="I1097" s="7">
        <f t="shared" si="117"/>
        <v>2191</v>
      </c>
      <c r="J1097" s="6">
        <v>1920</v>
      </c>
      <c r="K1097" s="33">
        <v>271</v>
      </c>
      <c r="L1097" s="5">
        <f t="shared" ref="L1097:L1160" si="120">IFERROR((K1097/J1097),1)</f>
        <v>0.14114583333333333</v>
      </c>
      <c r="M1097" s="26">
        <f t="shared" ref="M1097:M1160" si="121">K1097*H1097</f>
        <v>563.71523000000002</v>
      </c>
    </row>
    <row r="1098" spans="1:13" x14ac:dyDescent="0.25">
      <c r="A1098" s="16" t="str">
        <f t="shared" si="118"/>
        <v>June</v>
      </c>
      <c r="B1098" s="31">
        <v>43997</v>
      </c>
      <c r="C1098" s="32" t="s">
        <v>7</v>
      </c>
      <c r="D1098" s="9" t="str">
        <f t="shared" si="119"/>
        <v>43997 - T3</v>
      </c>
      <c r="E1098" s="32" t="s">
        <v>12</v>
      </c>
      <c r="F1098" s="2">
        <v>8000048</v>
      </c>
      <c r="G1098" s="4" t="str">
        <f>IFERROR(VLOOKUP(F1098,Lists!$C:$D,2,0), "N/A")</f>
        <v>WF Coated Pretzels</v>
      </c>
      <c r="H1098" s="26">
        <f>IFERROR(VLOOKUP(F1098,Lists!$C:$F,4,0),0)</f>
        <v>0</v>
      </c>
      <c r="I1098" s="7">
        <f t="shared" si="117"/>
        <v>10017</v>
      </c>
      <c r="J1098" s="6">
        <f>400*25</f>
        <v>10000</v>
      </c>
      <c r="K1098" s="33">
        <v>17</v>
      </c>
      <c r="L1098" s="5">
        <f t="shared" si="120"/>
        <v>1.6999999999999999E-3</v>
      </c>
      <c r="M1098" s="26">
        <f t="shared" si="121"/>
        <v>0</v>
      </c>
    </row>
    <row r="1099" spans="1:13" x14ac:dyDescent="0.25">
      <c r="A1099" s="16" t="str">
        <f t="shared" si="118"/>
        <v>June</v>
      </c>
      <c r="B1099" s="31">
        <v>43997</v>
      </c>
      <c r="C1099" s="32" t="s">
        <v>7</v>
      </c>
      <c r="D1099" s="9" t="str">
        <f t="shared" si="119"/>
        <v>43997 - T3</v>
      </c>
      <c r="E1099" s="32" t="s">
        <v>13</v>
      </c>
      <c r="F1099" s="2">
        <v>8000055</v>
      </c>
      <c r="G1099" s="4" t="str">
        <f>IFERROR(VLOOKUP(F1099,Lists!$C:$D,2,0), "N/A")</f>
        <v>916.BF FLIPZ 25 LB BULK MILK CHOC</v>
      </c>
      <c r="H1099" s="26">
        <f>IFERROR(VLOOKUP(F1099,Lists!$C:$F,4,0),0)</f>
        <v>1.9508160000000001</v>
      </c>
      <c r="I1099" s="7">
        <f t="shared" si="117"/>
        <v>1003</v>
      </c>
      <c r="J1099" s="6">
        <f>40*25</f>
        <v>1000</v>
      </c>
      <c r="K1099" s="33">
        <v>3</v>
      </c>
      <c r="L1099" s="5">
        <f t="shared" si="120"/>
        <v>3.0000000000000001E-3</v>
      </c>
      <c r="M1099" s="26">
        <f t="shared" si="121"/>
        <v>5.8524480000000008</v>
      </c>
    </row>
    <row r="1100" spans="1:13" x14ac:dyDescent="0.25">
      <c r="A1100" s="16" t="str">
        <f t="shared" si="118"/>
        <v>June</v>
      </c>
      <c r="B1100" s="31">
        <v>43997</v>
      </c>
      <c r="C1100" s="32" t="s">
        <v>8</v>
      </c>
      <c r="D1100" s="9" t="str">
        <f t="shared" si="119"/>
        <v>43997 - T4</v>
      </c>
      <c r="E1100" s="32" t="s">
        <v>9</v>
      </c>
      <c r="F1100" s="2">
        <v>8000039</v>
      </c>
      <c r="G1100" s="4" t="str">
        <f>IFERROR(VLOOKUP(F1100,Lists!$C:$D,2,0), "N/A")</f>
        <v>TURTLES MILK CHOC ORIG MINI</v>
      </c>
      <c r="H1100" s="26">
        <f>IFERROR(VLOOKUP(F1100,Lists!$C:$F,4,0),0)</f>
        <v>2.08013</v>
      </c>
      <c r="I1100" s="7">
        <f t="shared" si="117"/>
        <v>11796</v>
      </c>
      <c r="J1100" s="6">
        <v>11520</v>
      </c>
      <c r="K1100" s="33">
        <v>276</v>
      </c>
      <c r="L1100" s="5">
        <f t="shared" si="120"/>
        <v>2.3958333333333335E-2</v>
      </c>
      <c r="M1100" s="26">
        <f t="shared" si="121"/>
        <v>574.11588000000006</v>
      </c>
    </row>
    <row r="1101" spans="1:13" x14ac:dyDescent="0.25">
      <c r="A1101" s="16" t="str">
        <f t="shared" si="118"/>
        <v>June</v>
      </c>
      <c r="B1101" s="31">
        <v>43997</v>
      </c>
      <c r="C1101" s="32" t="s">
        <v>8</v>
      </c>
      <c r="D1101" s="9" t="str">
        <f t="shared" si="119"/>
        <v>43997 - T4</v>
      </c>
      <c r="E1101" s="32" t="s">
        <v>12</v>
      </c>
      <c r="F1101" s="2">
        <v>8000048</v>
      </c>
      <c r="G1101" s="4" t="str">
        <f>IFERROR(VLOOKUP(F1101,Lists!$C:$D,2,0), "N/A")</f>
        <v>WF Coated Pretzels</v>
      </c>
      <c r="H1101" s="26">
        <f>IFERROR(VLOOKUP(F1101,Lists!$C:$F,4,0),0)</f>
        <v>0</v>
      </c>
      <c r="I1101" s="7">
        <f t="shared" si="117"/>
        <v>10016</v>
      </c>
      <c r="J1101" s="6">
        <f>400*25</f>
        <v>10000</v>
      </c>
      <c r="K1101" s="33">
        <v>16</v>
      </c>
      <c r="L1101" s="5">
        <f t="shared" si="120"/>
        <v>1.6000000000000001E-3</v>
      </c>
      <c r="M1101" s="26">
        <f t="shared" si="121"/>
        <v>0</v>
      </c>
    </row>
    <row r="1102" spans="1:13" x14ac:dyDescent="0.25">
      <c r="A1102" s="16" t="str">
        <f t="shared" si="118"/>
        <v>June</v>
      </c>
      <c r="B1102" s="31">
        <v>43997</v>
      </c>
      <c r="C1102" s="32" t="s">
        <v>8</v>
      </c>
      <c r="D1102" s="9" t="str">
        <f t="shared" si="119"/>
        <v>43997 - T4</v>
      </c>
      <c r="E1102" s="32" t="s">
        <v>13</v>
      </c>
      <c r="F1102" s="2">
        <v>8000055</v>
      </c>
      <c r="G1102" s="4" t="str">
        <f>IFERROR(VLOOKUP(F1102,Lists!$C:$D,2,0), "N/A")</f>
        <v>916.BF FLIPZ 25 LB BULK MILK CHOC</v>
      </c>
      <c r="H1102" s="26">
        <f>IFERROR(VLOOKUP(F1102,Lists!$C:$F,4,0),0)</f>
        <v>1.9508160000000001</v>
      </c>
      <c r="I1102" s="7">
        <f t="shared" si="117"/>
        <v>3021</v>
      </c>
      <c r="J1102" s="6">
        <f>120*25</f>
        <v>3000</v>
      </c>
      <c r="K1102" s="33">
        <v>21</v>
      </c>
      <c r="L1102" s="5">
        <f t="shared" si="120"/>
        <v>7.0000000000000001E-3</v>
      </c>
      <c r="M1102" s="26">
        <f t="shared" si="121"/>
        <v>40.967136000000004</v>
      </c>
    </row>
    <row r="1103" spans="1:13" x14ac:dyDescent="0.25">
      <c r="A1103" s="16" t="str">
        <f t="shared" si="118"/>
        <v>June</v>
      </c>
      <c r="B1103" s="31">
        <v>43997</v>
      </c>
      <c r="C1103" s="32" t="s">
        <v>8</v>
      </c>
      <c r="D1103" s="9" t="str">
        <f t="shared" si="119"/>
        <v>43997 - T4</v>
      </c>
      <c r="E1103" s="32" t="s">
        <v>15</v>
      </c>
      <c r="G1103" s="4" t="str">
        <f>IFERROR(VLOOKUP(F1103,Lists!$C:$D,2,0), "N/A")</f>
        <v>N/A</v>
      </c>
      <c r="H1103" s="26">
        <f>IFERROR(VLOOKUP(F1103,Lists!$C:$F,4,0),0)</f>
        <v>0</v>
      </c>
      <c r="I1103" s="7">
        <f t="shared" si="117"/>
        <v>10</v>
      </c>
      <c r="K1103" s="33">
        <v>10</v>
      </c>
      <c r="L1103" s="5">
        <f t="shared" si="120"/>
        <v>1</v>
      </c>
      <c r="M1103" s="26">
        <f t="shared" si="121"/>
        <v>0</v>
      </c>
    </row>
    <row r="1104" spans="1:13" x14ac:dyDescent="0.25">
      <c r="A1104" s="16" t="str">
        <f t="shared" si="118"/>
        <v>June</v>
      </c>
      <c r="B1104" s="31">
        <v>43998</v>
      </c>
      <c r="C1104" s="32" t="s">
        <v>7</v>
      </c>
      <c r="D1104" s="9" t="str">
        <f t="shared" si="119"/>
        <v>43998 - T3</v>
      </c>
      <c r="E1104" s="32" t="s">
        <v>9</v>
      </c>
      <c r="F1104" s="2">
        <v>8000039</v>
      </c>
      <c r="G1104" s="4" t="str">
        <f>IFERROR(VLOOKUP(F1104,Lists!$C:$D,2,0), "N/A")</f>
        <v>TURTLES MILK CHOC ORIG MINI</v>
      </c>
      <c r="H1104" s="26">
        <f>IFERROR(VLOOKUP(F1104,Lists!$C:$F,4,0),0)</f>
        <v>2.08013</v>
      </c>
      <c r="I1104" s="7">
        <f t="shared" si="117"/>
        <v>13917</v>
      </c>
      <c r="J1104" s="6">
        <v>13440</v>
      </c>
      <c r="K1104" s="33">
        <v>477</v>
      </c>
      <c r="L1104" s="5">
        <f t="shared" si="120"/>
        <v>3.5491071428571427E-2</v>
      </c>
      <c r="M1104" s="26">
        <f t="shared" si="121"/>
        <v>992.22201000000007</v>
      </c>
    </row>
    <row r="1105" spans="1:13" x14ac:dyDescent="0.25">
      <c r="A1105" s="16" t="str">
        <f t="shared" si="118"/>
        <v>June</v>
      </c>
      <c r="B1105" s="31">
        <v>43998</v>
      </c>
      <c r="C1105" s="32" t="s">
        <v>7</v>
      </c>
      <c r="D1105" s="9" t="str">
        <f t="shared" si="119"/>
        <v>43998 - T3</v>
      </c>
      <c r="E1105" s="32" t="s">
        <v>12</v>
      </c>
      <c r="F1105" s="2">
        <v>8000048</v>
      </c>
      <c r="G1105" s="4" t="str">
        <f>IFERROR(VLOOKUP(F1105,Lists!$C:$D,2,0), "N/A")</f>
        <v>WF Coated Pretzels</v>
      </c>
      <c r="H1105" s="26">
        <f>IFERROR(VLOOKUP(F1105,Lists!$C:$F,4,0),0)</f>
        <v>0</v>
      </c>
      <c r="I1105" s="7">
        <f t="shared" si="117"/>
        <v>11011</v>
      </c>
      <c r="J1105" s="6">
        <f>440*25</f>
        <v>11000</v>
      </c>
      <c r="K1105" s="33">
        <v>11</v>
      </c>
      <c r="L1105" s="5">
        <f t="shared" si="120"/>
        <v>1E-3</v>
      </c>
      <c r="M1105" s="26">
        <f t="shared" si="121"/>
        <v>0</v>
      </c>
    </row>
    <row r="1106" spans="1:13" x14ac:dyDescent="0.25">
      <c r="A1106" s="16" t="str">
        <f t="shared" si="118"/>
        <v>June</v>
      </c>
      <c r="B1106" s="31">
        <v>43998</v>
      </c>
      <c r="C1106" s="32" t="s">
        <v>7</v>
      </c>
      <c r="D1106" s="9" t="str">
        <f t="shared" si="119"/>
        <v>43998 - T3</v>
      </c>
      <c r="E1106" s="32" t="s">
        <v>13</v>
      </c>
      <c r="F1106" s="2">
        <v>8000055</v>
      </c>
      <c r="G1106" s="4" t="str">
        <f>IFERROR(VLOOKUP(F1106,Lists!$C:$D,2,0), "N/A")</f>
        <v>916.BF FLIPZ 25 LB BULK MILK CHOC</v>
      </c>
      <c r="H1106" s="26">
        <f>IFERROR(VLOOKUP(F1106,Lists!$C:$F,4,0),0)</f>
        <v>1.9508160000000001</v>
      </c>
      <c r="I1106" s="7">
        <f t="shared" si="117"/>
        <v>1419</v>
      </c>
      <c r="J1106" s="6">
        <f>56*25</f>
        <v>1400</v>
      </c>
      <c r="K1106" s="33">
        <v>19</v>
      </c>
      <c r="L1106" s="5">
        <f t="shared" si="120"/>
        <v>1.3571428571428571E-2</v>
      </c>
      <c r="M1106" s="26">
        <f t="shared" si="121"/>
        <v>37.065504000000004</v>
      </c>
    </row>
    <row r="1107" spans="1:13" x14ac:dyDescent="0.25">
      <c r="A1107" s="16" t="str">
        <f t="shared" si="118"/>
        <v>June</v>
      </c>
      <c r="B1107" s="31">
        <v>43998</v>
      </c>
      <c r="C1107" s="32" t="s">
        <v>7</v>
      </c>
      <c r="D1107" s="9" t="str">
        <f t="shared" si="119"/>
        <v>43998 - T3</v>
      </c>
      <c r="E1107" s="32" t="s">
        <v>15</v>
      </c>
      <c r="G1107" s="4" t="str">
        <f>IFERROR(VLOOKUP(F1107,Lists!$C:$D,2,0), "N/A")</f>
        <v>N/A</v>
      </c>
      <c r="H1107" s="26">
        <f>IFERROR(VLOOKUP(F1107,Lists!$C:$F,4,0),0)</f>
        <v>0</v>
      </c>
      <c r="I1107" s="7">
        <f t="shared" si="117"/>
        <v>55</v>
      </c>
      <c r="K1107" s="33">
        <v>55</v>
      </c>
      <c r="L1107" s="5">
        <f t="shared" si="120"/>
        <v>1</v>
      </c>
      <c r="M1107" s="26">
        <f t="shared" si="121"/>
        <v>0</v>
      </c>
    </row>
    <row r="1108" spans="1:13" x14ac:dyDescent="0.25">
      <c r="A1108" s="16" t="str">
        <f t="shared" si="118"/>
        <v>June</v>
      </c>
      <c r="B1108" s="31">
        <v>43998</v>
      </c>
      <c r="C1108" s="32" t="s">
        <v>8</v>
      </c>
      <c r="D1108" s="9" t="str">
        <f t="shared" si="119"/>
        <v>43998 - T4</v>
      </c>
      <c r="E1108" s="32" t="s">
        <v>9</v>
      </c>
      <c r="F1108" s="2">
        <v>8000039</v>
      </c>
      <c r="G1108" s="4" t="str">
        <f>IFERROR(VLOOKUP(F1108,Lists!$C:$D,2,0), "N/A")</f>
        <v>TURTLES MILK CHOC ORIG MINI</v>
      </c>
      <c r="H1108" s="26">
        <f>IFERROR(VLOOKUP(F1108,Lists!$C:$F,4,0),0)</f>
        <v>2.08013</v>
      </c>
      <c r="I1108" s="7">
        <f t="shared" si="117"/>
        <v>8760</v>
      </c>
      <c r="J1108" s="6">
        <v>8640</v>
      </c>
      <c r="K1108" s="33">
        <v>120</v>
      </c>
      <c r="L1108" s="5">
        <f t="shared" si="120"/>
        <v>1.3888888888888888E-2</v>
      </c>
      <c r="M1108" s="26">
        <f t="shared" si="121"/>
        <v>249.6156</v>
      </c>
    </row>
    <row r="1109" spans="1:13" x14ac:dyDescent="0.25">
      <c r="A1109" s="16" t="str">
        <f t="shared" si="118"/>
        <v>June</v>
      </c>
      <c r="B1109" s="31">
        <v>43998</v>
      </c>
      <c r="C1109" s="32" t="s">
        <v>8</v>
      </c>
      <c r="D1109" s="9" t="str">
        <f t="shared" si="119"/>
        <v>43998 - T4</v>
      </c>
      <c r="E1109" s="32" t="s">
        <v>12</v>
      </c>
      <c r="F1109" s="2">
        <v>8000048</v>
      </c>
      <c r="G1109" s="4" t="str">
        <f>IFERROR(VLOOKUP(F1109,Lists!$C:$D,2,0), "N/A")</f>
        <v>WF Coated Pretzels</v>
      </c>
      <c r="H1109" s="26">
        <f>IFERROR(VLOOKUP(F1109,Lists!$C:$F,4,0),0)</f>
        <v>0</v>
      </c>
      <c r="I1109" s="7">
        <f t="shared" si="117"/>
        <v>2584</v>
      </c>
      <c r="J1109" s="6">
        <f>103*25</f>
        <v>2575</v>
      </c>
      <c r="K1109" s="33">
        <v>9</v>
      </c>
      <c r="L1109" s="5">
        <f t="shared" si="120"/>
        <v>3.4951456310679612E-3</v>
      </c>
      <c r="M1109" s="26">
        <f t="shared" si="121"/>
        <v>0</v>
      </c>
    </row>
    <row r="1110" spans="1:13" x14ac:dyDescent="0.25">
      <c r="A1110" s="16" t="str">
        <f t="shared" si="118"/>
        <v>June</v>
      </c>
      <c r="B1110" s="31">
        <v>43998</v>
      </c>
      <c r="C1110" s="32" t="s">
        <v>8</v>
      </c>
      <c r="D1110" s="9" t="str">
        <f t="shared" si="119"/>
        <v>43998 - T4</v>
      </c>
      <c r="E1110" s="32" t="s">
        <v>13</v>
      </c>
      <c r="F1110" s="2">
        <v>8000055</v>
      </c>
      <c r="G1110" s="4" t="str">
        <f>IFERROR(VLOOKUP(F1110,Lists!$C:$D,2,0), "N/A")</f>
        <v>916.BF FLIPZ 25 LB BULK MILK CHOC</v>
      </c>
      <c r="H1110" s="26">
        <f>IFERROR(VLOOKUP(F1110,Lists!$C:$F,4,0),0)</f>
        <v>1.9508160000000001</v>
      </c>
      <c r="I1110" s="7">
        <f t="shared" si="117"/>
        <v>4045</v>
      </c>
      <c r="J1110" s="6">
        <f>160*25</f>
        <v>4000</v>
      </c>
      <c r="K1110" s="33">
        <v>45</v>
      </c>
      <c r="L1110" s="5">
        <f t="shared" si="120"/>
        <v>1.125E-2</v>
      </c>
      <c r="M1110" s="26">
        <f t="shared" si="121"/>
        <v>87.786720000000003</v>
      </c>
    </row>
    <row r="1111" spans="1:13" x14ac:dyDescent="0.25">
      <c r="A1111" s="16" t="str">
        <f t="shared" si="118"/>
        <v>June</v>
      </c>
      <c r="B1111" s="31">
        <v>43999</v>
      </c>
      <c r="C1111" s="32" t="s">
        <v>5</v>
      </c>
      <c r="D1111" s="9" t="str">
        <f t="shared" si="119"/>
        <v>43999 - T1</v>
      </c>
      <c r="E1111" s="32" t="s">
        <v>9</v>
      </c>
      <c r="F1111" s="2">
        <v>8000039</v>
      </c>
      <c r="G1111" s="4" t="str">
        <f>IFERROR(VLOOKUP(F1111,Lists!$C:$D,2,0), "N/A")</f>
        <v>TURTLES MILK CHOC ORIG MINI</v>
      </c>
      <c r="H1111" s="26">
        <f>IFERROR(VLOOKUP(F1111,Lists!$C:$F,4,0),0)</f>
        <v>2.08013</v>
      </c>
      <c r="I1111" s="7">
        <f t="shared" si="117"/>
        <v>12067</v>
      </c>
      <c r="J1111" s="6">
        <v>12000</v>
      </c>
      <c r="K1111" s="33">
        <v>67</v>
      </c>
      <c r="L1111" s="5">
        <f t="shared" si="120"/>
        <v>5.5833333333333334E-3</v>
      </c>
      <c r="M1111" s="26">
        <f t="shared" si="121"/>
        <v>139.36870999999999</v>
      </c>
    </row>
    <row r="1112" spans="1:13" x14ac:dyDescent="0.25">
      <c r="A1112" s="16" t="str">
        <f t="shared" si="118"/>
        <v>June</v>
      </c>
      <c r="B1112" s="31">
        <v>43999</v>
      </c>
      <c r="C1112" s="32" t="s">
        <v>5</v>
      </c>
      <c r="D1112" s="9" t="str">
        <f t="shared" si="119"/>
        <v>43999 - T1</v>
      </c>
      <c r="E1112" s="32" t="s">
        <v>9</v>
      </c>
      <c r="F1112" s="2">
        <v>8000039</v>
      </c>
      <c r="G1112" s="4" t="str">
        <f>IFERROR(VLOOKUP(F1112,Lists!$C:$D,2,0), "N/A")</f>
        <v>TURTLES MILK CHOC ORIG MINI</v>
      </c>
      <c r="H1112" s="26">
        <f>IFERROR(VLOOKUP(F1112,Lists!$C:$F,4,0),0)</f>
        <v>2.08013</v>
      </c>
      <c r="I1112" s="7">
        <f t="shared" si="117"/>
        <v>518</v>
      </c>
      <c r="J1112" s="6">
        <v>480</v>
      </c>
      <c r="K1112" s="33">
        <v>38</v>
      </c>
      <c r="L1112" s="5">
        <f t="shared" si="120"/>
        <v>7.9166666666666663E-2</v>
      </c>
      <c r="M1112" s="26">
        <f t="shared" si="121"/>
        <v>79.044939999999997</v>
      </c>
    </row>
    <row r="1113" spans="1:13" x14ac:dyDescent="0.25">
      <c r="A1113" s="16" t="str">
        <f t="shared" si="118"/>
        <v>June</v>
      </c>
      <c r="B1113" s="31">
        <v>43999</v>
      </c>
      <c r="C1113" s="32" t="s">
        <v>5</v>
      </c>
      <c r="D1113" s="9" t="str">
        <f t="shared" si="119"/>
        <v>43999 - T1</v>
      </c>
      <c r="E1113" s="32" t="s">
        <v>13</v>
      </c>
      <c r="F1113" s="2">
        <v>8000055</v>
      </c>
      <c r="G1113" s="4" t="str">
        <f>IFERROR(VLOOKUP(F1113,Lists!$C:$D,2,0), "N/A")</f>
        <v>916.BF FLIPZ 25 LB BULK MILK CHOC</v>
      </c>
      <c r="H1113" s="26">
        <f>IFERROR(VLOOKUP(F1113,Lists!$C:$F,4,0),0)</f>
        <v>1.9508160000000001</v>
      </c>
      <c r="I1113" s="7">
        <f t="shared" si="117"/>
        <v>4021</v>
      </c>
      <c r="J1113" s="6">
        <f>160*25</f>
        <v>4000</v>
      </c>
      <c r="K1113" s="33">
        <v>21</v>
      </c>
      <c r="L1113" s="5">
        <f t="shared" si="120"/>
        <v>5.2500000000000003E-3</v>
      </c>
      <c r="M1113" s="26">
        <f t="shared" si="121"/>
        <v>40.967136000000004</v>
      </c>
    </row>
    <row r="1114" spans="1:13" x14ac:dyDescent="0.25">
      <c r="A1114" s="16" t="str">
        <f t="shared" si="118"/>
        <v>June</v>
      </c>
      <c r="B1114" s="31">
        <v>43999</v>
      </c>
      <c r="C1114" s="32" t="s">
        <v>5</v>
      </c>
      <c r="D1114" s="9" t="str">
        <f t="shared" si="119"/>
        <v>43999 - T1</v>
      </c>
      <c r="E1114" s="32" t="s">
        <v>15</v>
      </c>
      <c r="G1114" s="4" t="str">
        <f>IFERROR(VLOOKUP(F1114,Lists!$C:$D,2,0), "N/A")</f>
        <v>N/A</v>
      </c>
      <c r="H1114" s="26">
        <f>IFERROR(VLOOKUP(F1114,Lists!$C:$F,4,0),0)</f>
        <v>0</v>
      </c>
      <c r="I1114" s="7">
        <f t="shared" si="117"/>
        <v>112</v>
      </c>
      <c r="K1114" s="33">
        <v>112</v>
      </c>
      <c r="L1114" s="5">
        <f t="shared" si="120"/>
        <v>1</v>
      </c>
      <c r="M1114" s="26">
        <f t="shared" si="121"/>
        <v>0</v>
      </c>
    </row>
    <row r="1115" spans="1:13" x14ac:dyDescent="0.25">
      <c r="A1115" s="16" t="str">
        <f t="shared" si="118"/>
        <v>June</v>
      </c>
      <c r="B1115" s="31">
        <v>43999</v>
      </c>
      <c r="C1115" s="32" t="s">
        <v>6</v>
      </c>
      <c r="D1115" s="9" t="str">
        <f t="shared" si="119"/>
        <v>43999 - T2</v>
      </c>
      <c r="E1115" s="32" t="s">
        <v>9</v>
      </c>
      <c r="F1115" s="2">
        <v>8000039</v>
      </c>
      <c r="G1115" s="4" t="str">
        <f>IFERROR(VLOOKUP(F1115,Lists!$C:$D,2,0), "N/A")</f>
        <v>TURTLES MILK CHOC ORIG MINI</v>
      </c>
      <c r="H1115" s="26">
        <f>IFERROR(VLOOKUP(F1115,Lists!$C:$F,4,0),0)</f>
        <v>2.08013</v>
      </c>
      <c r="I1115" s="7">
        <f t="shared" si="117"/>
        <v>5858</v>
      </c>
      <c r="J1115" s="6">
        <v>5760</v>
      </c>
      <c r="K1115" s="33">
        <v>98</v>
      </c>
      <c r="L1115" s="5">
        <f t="shared" si="120"/>
        <v>1.7013888888888887E-2</v>
      </c>
      <c r="M1115" s="26">
        <f t="shared" si="121"/>
        <v>203.85274000000001</v>
      </c>
    </row>
    <row r="1116" spans="1:13" x14ac:dyDescent="0.25">
      <c r="A1116" s="16" t="str">
        <f t="shared" si="118"/>
        <v>June</v>
      </c>
      <c r="B1116" s="31">
        <v>43999</v>
      </c>
      <c r="C1116" s="32" t="s">
        <v>6</v>
      </c>
      <c r="D1116" s="9" t="str">
        <f t="shared" si="119"/>
        <v>43999 - T2</v>
      </c>
      <c r="E1116" s="32" t="s">
        <v>13</v>
      </c>
      <c r="F1116" s="2">
        <v>8000055</v>
      </c>
      <c r="G1116" s="4" t="str">
        <f>IFERROR(VLOOKUP(F1116,Lists!$C:$D,2,0), "N/A")</f>
        <v>916.BF FLIPZ 25 LB BULK MILK CHOC</v>
      </c>
      <c r="H1116" s="26">
        <f>IFERROR(VLOOKUP(F1116,Lists!$C:$F,4,0),0)</f>
        <v>1.9508160000000001</v>
      </c>
      <c r="I1116" s="7">
        <f t="shared" si="117"/>
        <v>2008</v>
      </c>
      <c r="J1116" s="6">
        <f>80*25</f>
        <v>2000</v>
      </c>
      <c r="K1116" s="33">
        <v>8</v>
      </c>
      <c r="L1116" s="5">
        <f t="shared" si="120"/>
        <v>4.0000000000000001E-3</v>
      </c>
      <c r="M1116" s="26">
        <f t="shared" si="121"/>
        <v>15.606528000000001</v>
      </c>
    </row>
    <row r="1117" spans="1:13" x14ac:dyDescent="0.25">
      <c r="A1117" s="16" t="str">
        <f t="shared" si="118"/>
        <v>June</v>
      </c>
      <c r="B1117" s="31">
        <v>43999</v>
      </c>
      <c r="C1117" s="32" t="s">
        <v>6</v>
      </c>
      <c r="D1117" s="9" t="str">
        <f t="shared" si="119"/>
        <v>43999 - T2</v>
      </c>
      <c r="E1117" s="32" t="s">
        <v>15</v>
      </c>
      <c r="G1117" s="4" t="str">
        <f>IFERROR(VLOOKUP(F1117,Lists!$C:$D,2,0), "N/A")</f>
        <v>N/A</v>
      </c>
      <c r="H1117" s="26">
        <f>IFERROR(VLOOKUP(F1117,Lists!$C:$F,4,0),0)</f>
        <v>0</v>
      </c>
      <c r="I1117" s="7">
        <f t="shared" si="117"/>
        <v>13</v>
      </c>
      <c r="K1117" s="33">
        <v>13</v>
      </c>
      <c r="L1117" s="5">
        <f t="shared" si="120"/>
        <v>1</v>
      </c>
      <c r="M1117" s="26">
        <f t="shared" si="121"/>
        <v>0</v>
      </c>
    </row>
    <row r="1118" spans="1:13" x14ac:dyDescent="0.25">
      <c r="A1118" s="16" t="str">
        <f t="shared" si="118"/>
        <v>June</v>
      </c>
      <c r="B1118" s="31">
        <v>44000</v>
      </c>
      <c r="C1118" s="32" t="s">
        <v>5</v>
      </c>
      <c r="D1118" s="9" t="str">
        <f t="shared" si="119"/>
        <v>44000 - T1</v>
      </c>
      <c r="E1118" s="32" t="s">
        <v>9</v>
      </c>
      <c r="F1118" s="2">
        <v>8000038</v>
      </c>
      <c r="G1118" s="4" t="str">
        <f>IFERROR(VLOOKUP(F1118,Lists!$C:$D,2,0), "N/A")</f>
        <v>TURTLES MILK CHOC PEC BITE SZ</v>
      </c>
      <c r="H1118" s="26">
        <f>IFERROR(VLOOKUP(F1118,Lists!$C:$F,4,0),0)</f>
        <v>1.96</v>
      </c>
      <c r="I1118" s="7">
        <f t="shared" si="117"/>
        <v>2659.84</v>
      </c>
      <c r="J1118" s="6">
        <v>2007.84</v>
      </c>
      <c r="K1118" s="33">
        <v>652</v>
      </c>
      <c r="L1118" s="5">
        <f t="shared" si="120"/>
        <v>0.32472706988604672</v>
      </c>
      <c r="M1118" s="26">
        <f t="shared" si="121"/>
        <v>1277.92</v>
      </c>
    </row>
    <row r="1119" spans="1:13" x14ac:dyDescent="0.25">
      <c r="A1119" s="16" t="str">
        <f t="shared" si="118"/>
        <v>June</v>
      </c>
      <c r="B1119" s="31">
        <v>44000</v>
      </c>
      <c r="C1119" s="32" t="s">
        <v>5</v>
      </c>
      <c r="D1119" s="9" t="str">
        <f t="shared" si="119"/>
        <v>44000 - T1</v>
      </c>
      <c r="E1119" s="32" t="s">
        <v>12</v>
      </c>
      <c r="F1119" s="2">
        <v>8000031</v>
      </c>
      <c r="G1119" s="4" t="str">
        <f>IFERROR(VLOOKUP(F1119,Lists!$C:$D,2,0), "N/A")</f>
        <v>WIP.DCP FLIPZ  DARK CHOC PRETZEL</v>
      </c>
      <c r="H1119" s="26">
        <f>IFERROR(VLOOKUP(F1119,Lists!$C:$F,4,0),0)</f>
        <v>1.4516300000000002</v>
      </c>
      <c r="I1119" s="7">
        <f t="shared" si="117"/>
        <v>4051</v>
      </c>
      <c r="J1119" s="6">
        <f>160*25</f>
        <v>4000</v>
      </c>
      <c r="K1119" s="33">
        <v>51</v>
      </c>
      <c r="L1119" s="5">
        <f t="shared" si="120"/>
        <v>1.2749999999999999E-2</v>
      </c>
      <c r="M1119" s="26">
        <f t="shared" si="121"/>
        <v>74.033130000000014</v>
      </c>
    </row>
    <row r="1120" spans="1:13" x14ac:dyDescent="0.25">
      <c r="A1120" s="16" t="str">
        <f t="shared" si="118"/>
        <v>June</v>
      </c>
      <c r="B1120" s="31">
        <v>44000</v>
      </c>
      <c r="C1120" s="32" t="s">
        <v>5</v>
      </c>
      <c r="D1120" s="9" t="str">
        <f t="shared" si="119"/>
        <v>44000 - T1</v>
      </c>
      <c r="E1120" s="32" t="s">
        <v>13</v>
      </c>
      <c r="F1120" s="2">
        <v>8000055</v>
      </c>
      <c r="G1120" s="4" t="str">
        <f>IFERROR(VLOOKUP(F1120,Lists!$C:$D,2,0), "N/A")</f>
        <v>916.BF FLIPZ 25 LB BULK MILK CHOC</v>
      </c>
      <c r="H1120" s="26">
        <f>IFERROR(VLOOKUP(F1120,Lists!$C:$F,4,0),0)</f>
        <v>1.9508160000000001</v>
      </c>
      <c r="I1120" s="7">
        <f t="shared" si="117"/>
        <v>5026</v>
      </c>
      <c r="J1120" s="6">
        <f>200*25</f>
        <v>5000</v>
      </c>
      <c r="K1120" s="33">
        <v>26</v>
      </c>
      <c r="L1120" s="5">
        <f t="shared" si="120"/>
        <v>5.1999999999999998E-3</v>
      </c>
      <c r="M1120" s="26">
        <f t="shared" si="121"/>
        <v>50.721216000000005</v>
      </c>
    </row>
    <row r="1121" spans="1:13" x14ac:dyDescent="0.25">
      <c r="A1121" s="16" t="str">
        <f t="shared" si="118"/>
        <v>June</v>
      </c>
      <c r="B1121" s="31">
        <v>44000</v>
      </c>
      <c r="C1121" s="32" t="s">
        <v>6</v>
      </c>
      <c r="D1121" s="9" t="str">
        <f t="shared" si="119"/>
        <v>44000 - T2</v>
      </c>
      <c r="E1121" s="32" t="s">
        <v>9</v>
      </c>
      <c r="F1121" s="2">
        <v>8000038</v>
      </c>
      <c r="G1121" s="4" t="str">
        <f>IFERROR(VLOOKUP(F1121,Lists!$C:$D,2,0), "N/A")</f>
        <v>TURTLES MILK CHOC PEC BITE SZ</v>
      </c>
      <c r="H1121" s="26">
        <f>IFERROR(VLOOKUP(F1121,Lists!$C:$F,4,0),0)</f>
        <v>1.96</v>
      </c>
      <c r="I1121" s="7">
        <f t="shared" si="117"/>
        <v>7180.36</v>
      </c>
      <c r="J1121" s="6">
        <v>6591.36</v>
      </c>
      <c r="K1121" s="33">
        <v>589</v>
      </c>
      <c r="L1121" s="5">
        <f t="shared" si="120"/>
        <v>8.9359403825614137E-2</v>
      </c>
      <c r="M1121" s="26">
        <f t="shared" si="121"/>
        <v>1154.44</v>
      </c>
    </row>
    <row r="1122" spans="1:13" x14ac:dyDescent="0.25">
      <c r="A1122" s="16" t="str">
        <f t="shared" si="118"/>
        <v>June</v>
      </c>
      <c r="B1122" s="31">
        <v>44000</v>
      </c>
      <c r="C1122" s="32" t="s">
        <v>6</v>
      </c>
      <c r="D1122" s="9" t="str">
        <f t="shared" si="119"/>
        <v>44000 - T2</v>
      </c>
      <c r="E1122" s="32" t="s">
        <v>15</v>
      </c>
      <c r="G1122" s="4" t="str">
        <f>IFERROR(VLOOKUP(F1122,Lists!$C:$D,2,0), "N/A")</f>
        <v>N/A</v>
      </c>
      <c r="H1122" s="26">
        <f>IFERROR(VLOOKUP(F1122,Lists!$C:$F,4,0),0)</f>
        <v>0</v>
      </c>
      <c r="I1122" s="7">
        <f t="shared" si="117"/>
        <v>5</v>
      </c>
      <c r="K1122" s="33">
        <v>5</v>
      </c>
      <c r="L1122" s="5">
        <f t="shared" si="120"/>
        <v>1</v>
      </c>
      <c r="M1122" s="26">
        <f t="shared" si="121"/>
        <v>0</v>
      </c>
    </row>
    <row r="1123" spans="1:13" x14ac:dyDescent="0.25">
      <c r="A1123" s="16" t="str">
        <f t="shared" si="118"/>
        <v>June</v>
      </c>
      <c r="B1123" s="31">
        <v>44001</v>
      </c>
      <c r="C1123" s="32" t="s">
        <v>7</v>
      </c>
      <c r="D1123" s="9" t="str">
        <f t="shared" si="119"/>
        <v>44001 - T3</v>
      </c>
      <c r="E1123" s="32" t="s">
        <v>9</v>
      </c>
      <c r="F1123" s="2">
        <v>8000038</v>
      </c>
      <c r="G1123" s="4" t="s">
        <v>21</v>
      </c>
      <c r="H1123" s="26">
        <f>IFERROR(VLOOKUP(F1123,Lists!$C:$F,4,0),0)</f>
        <v>1.96</v>
      </c>
      <c r="I1123" s="7">
        <f t="shared" si="117"/>
        <v>11307</v>
      </c>
      <c r="J1123" s="6">
        <v>10871</v>
      </c>
      <c r="K1123" s="33">
        <v>436</v>
      </c>
      <c r="L1123" s="5">
        <f t="shared" si="120"/>
        <v>4.0106705914819241E-2</v>
      </c>
      <c r="M1123" s="26">
        <f t="shared" si="121"/>
        <v>854.56</v>
      </c>
    </row>
    <row r="1124" spans="1:13" x14ac:dyDescent="0.25">
      <c r="A1124" s="16" t="str">
        <f t="shared" si="118"/>
        <v>June</v>
      </c>
      <c r="B1124" s="31">
        <v>44001</v>
      </c>
      <c r="C1124" s="32" t="s">
        <v>7</v>
      </c>
      <c r="D1124" s="9" t="str">
        <f t="shared" si="119"/>
        <v>44001 - T3</v>
      </c>
      <c r="E1124" s="32" t="s">
        <v>11</v>
      </c>
      <c r="F1124" s="2">
        <v>8000034</v>
      </c>
      <c r="G1124" s="4" t="str">
        <f>IFERROR(VLOOKUP(F1124,Lists!$C:$D,2,0), "N/A")</f>
        <v>KS MILK CHOC MACADAMIA</v>
      </c>
      <c r="H1124" s="26">
        <f>IFERROR(VLOOKUP(F1124,Lists!$C:$F,4,0),0)</f>
        <v>3.8943099999999999</v>
      </c>
      <c r="I1124" s="7">
        <f t="shared" si="117"/>
        <v>8109</v>
      </c>
      <c r="J1124" s="6">
        <v>8000</v>
      </c>
      <c r="K1124" s="33">
        <v>109</v>
      </c>
      <c r="L1124" s="5">
        <f t="shared" si="120"/>
        <v>1.3625E-2</v>
      </c>
      <c r="M1124" s="26">
        <f t="shared" si="121"/>
        <v>424.47978999999998</v>
      </c>
    </row>
    <row r="1125" spans="1:13" x14ac:dyDescent="0.25">
      <c r="A1125" s="16" t="str">
        <f t="shared" si="118"/>
        <v>June</v>
      </c>
      <c r="B1125" s="31">
        <v>44001</v>
      </c>
      <c r="C1125" s="32" t="s">
        <v>7</v>
      </c>
      <c r="D1125" s="9" t="str">
        <f t="shared" si="119"/>
        <v>44001 - T3</v>
      </c>
      <c r="E1125" s="32" t="s">
        <v>13</v>
      </c>
      <c r="F1125" s="2">
        <v>8000055</v>
      </c>
      <c r="G1125" s="4" t="str">
        <f>IFERROR(VLOOKUP(F1125,Lists!$C:$D,2,0), "N/A")</f>
        <v>916.BF FLIPZ 25 LB BULK MILK CHOC</v>
      </c>
      <c r="H1125" s="26">
        <f>IFERROR(VLOOKUP(F1125,Lists!$C:$F,4,0),0)</f>
        <v>1.9508160000000001</v>
      </c>
      <c r="I1125" s="7">
        <f t="shared" si="117"/>
        <v>1028</v>
      </c>
      <c r="J1125" s="6">
        <v>1000</v>
      </c>
      <c r="K1125" s="33">
        <v>28</v>
      </c>
      <c r="L1125" s="5">
        <f t="shared" si="120"/>
        <v>2.8000000000000001E-2</v>
      </c>
      <c r="M1125" s="26">
        <f t="shared" si="121"/>
        <v>54.622848000000005</v>
      </c>
    </row>
    <row r="1126" spans="1:13" x14ac:dyDescent="0.25">
      <c r="A1126" s="16" t="str">
        <f t="shared" si="118"/>
        <v>June</v>
      </c>
      <c r="B1126" s="31">
        <v>44001</v>
      </c>
      <c r="C1126" s="32" t="s">
        <v>7</v>
      </c>
      <c r="D1126" s="9" t="str">
        <f t="shared" si="119"/>
        <v>44001 - T3</v>
      </c>
      <c r="E1126" s="32" t="s">
        <v>15</v>
      </c>
      <c r="G1126" s="4" t="str">
        <f>IFERROR(VLOOKUP(F1126,Lists!$C:$D,2,0), "N/A")</f>
        <v>N/A</v>
      </c>
      <c r="H1126" s="26">
        <f>IFERROR(VLOOKUP(F1126,Lists!$C:$F,4,0),0)</f>
        <v>0</v>
      </c>
      <c r="I1126" s="7">
        <f t="shared" si="117"/>
        <v>20</v>
      </c>
      <c r="K1126" s="33">
        <v>20</v>
      </c>
      <c r="L1126" s="5">
        <f t="shared" si="120"/>
        <v>1</v>
      </c>
      <c r="M1126" s="26">
        <f t="shared" si="121"/>
        <v>0</v>
      </c>
    </row>
    <row r="1127" spans="1:13" x14ac:dyDescent="0.25">
      <c r="A1127" s="16" t="str">
        <f t="shared" si="118"/>
        <v>June</v>
      </c>
      <c r="B1127" s="31">
        <v>44001</v>
      </c>
      <c r="C1127" s="32" t="s">
        <v>8</v>
      </c>
      <c r="D1127" s="9" t="str">
        <f t="shared" si="119"/>
        <v>44001 - T4</v>
      </c>
      <c r="E1127" s="32" t="s">
        <v>9</v>
      </c>
      <c r="F1127" s="2">
        <v>8000038</v>
      </c>
      <c r="G1127" s="4" t="str">
        <f>IFERROR(VLOOKUP(F1127,Lists!$C:$D,2,0), "N/A")</f>
        <v>TURTLES MILK CHOC PEC BITE SZ</v>
      </c>
      <c r="H1127" s="26">
        <f>IFERROR(VLOOKUP(F1127,Lists!$C:$F,4,0),0)</f>
        <v>1.96</v>
      </c>
      <c r="I1127" s="7">
        <f t="shared" si="117"/>
        <v>10214</v>
      </c>
      <c r="J1127" s="6">
        <v>9735</v>
      </c>
      <c r="K1127" s="33">
        <v>479</v>
      </c>
      <c r="L1127" s="5">
        <f t="shared" si="120"/>
        <v>4.9203903441191577E-2</v>
      </c>
      <c r="M1127" s="26">
        <f t="shared" si="121"/>
        <v>938.84</v>
      </c>
    </row>
    <row r="1128" spans="1:13" x14ac:dyDescent="0.25">
      <c r="A1128" s="16" t="str">
        <f t="shared" si="118"/>
        <v>June</v>
      </c>
      <c r="B1128" s="31">
        <v>44001</v>
      </c>
      <c r="C1128" s="32" t="s">
        <v>8</v>
      </c>
      <c r="D1128" s="9" t="str">
        <f t="shared" si="119"/>
        <v>44001 - T4</v>
      </c>
      <c r="E1128" s="32" t="s">
        <v>11</v>
      </c>
      <c r="F1128" s="2">
        <v>8000034</v>
      </c>
      <c r="G1128" s="4" t="str">
        <f>IFERROR(VLOOKUP(F1128,Lists!$C:$D,2,0), "N/A")</f>
        <v>KS MILK CHOC MACADAMIA</v>
      </c>
      <c r="H1128" s="26">
        <f>IFERROR(VLOOKUP(F1128,Lists!$C:$F,4,0),0)</f>
        <v>3.8943099999999999</v>
      </c>
      <c r="I1128" s="7">
        <f t="shared" si="117"/>
        <v>10644</v>
      </c>
      <c r="J1128" s="6">
        <v>10400</v>
      </c>
      <c r="K1128" s="33">
        <v>244</v>
      </c>
      <c r="L1128" s="5">
        <f t="shared" si="120"/>
        <v>2.3461538461538461E-2</v>
      </c>
      <c r="M1128" s="26">
        <f t="shared" si="121"/>
        <v>950.21163999999999</v>
      </c>
    </row>
    <row r="1129" spans="1:13" x14ac:dyDescent="0.25">
      <c r="A1129" s="16" t="str">
        <f t="shared" si="118"/>
        <v>June</v>
      </c>
      <c r="B1129" s="31">
        <v>44002</v>
      </c>
      <c r="C1129" s="32" t="s">
        <v>7</v>
      </c>
      <c r="D1129" s="9" t="str">
        <f t="shared" si="119"/>
        <v>44002 - T3</v>
      </c>
      <c r="E1129" s="32" t="s">
        <v>9</v>
      </c>
      <c r="F1129" s="2">
        <v>8000038</v>
      </c>
      <c r="G1129" s="4" t="str">
        <f>IFERROR(VLOOKUP(F1129,Lists!$C:$D,2,0), "N/A")</f>
        <v>TURTLES MILK CHOC PEC BITE SZ</v>
      </c>
      <c r="H1129" s="26">
        <f>IFERROR(VLOOKUP(F1129,Lists!$C:$F,4,0),0)</f>
        <v>1.96</v>
      </c>
      <c r="I1129" s="7">
        <f t="shared" si="117"/>
        <v>10295</v>
      </c>
      <c r="J1129" s="6">
        <v>9892</v>
      </c>
      <c r="K1129" s="33">
        <v>403</v>
      </c>
      <c r="L1129" s="5">
        <f t="shared" si="120"/>
        <v>4.073999191265669E-2</v>
      </c>
      <c r="M1129" s="26">
        <f t="shared" si="121"/>
        <v>789.88</v>
      </c>
    </row>
    <row r="1130" spans="1:13" x14ac:dyDescent="0.25">
      <c r="A1130" s="16" t="str">
        <f t="shared" si="118"/>
        <v>June</v>
      </c>
      <c r="B1130" s="31">
        <v>44002</v>
      </c>
      <c r="C1130" s="32" t="s">
        <v>7</v>
      </c>
      <c r="D1130" s="9" t="str">
        <f t="shared" si="119"/>
        <v>44002 - T3</v>
      </c>
      <c r="E1130" s="32" t="s">
        <v>11</v>
      </c>
      <c r="F1130" s="2">
        <v>8000034</v>
      </c>
      <c r="G1130" s="4" t="str">
        <f>IFERROR(VLOOKUP(F1130,Lists!$C:$D,2,0), "N/A")</f>
        <v>KS MILK CHOC MACADAMIA</v>
      </c>
      <c r="H1130" s="26">
        <f>IFERROR(VLOOKUP(F1130,Lists!$C:$F,4,0),0)</f>
        <v>3.8943099999999999</v>
      </c>
      <c r="I1130" s="7">
        <f t="shared" si="117"/>
        <v>10494</v>
      </c>
      <c r="J1130" s="6">
        <v>10400</v>
      </c>
      <c r="K1130" s="33">
        <v>94</v>
      </c>
      <c r="L1130" s="5">
        <f t="shared" si="120"/>
        <v>9.0384615384615386E-3</v>
      </c>
      <c r="M1130" s="26">
        <f t="shared" si="121"/>
        <v>366.06513999999999</v>
      </c>
    </row>
    <row r="1131" spans="1:13" x14ac:dyDescent="0.25">
      <c r="A1131" s="16" t="str">
        <f t="shared" si="118"/>
        <v>June</v>
      </c>
      <c r="B1131" s="31">
        <v>44002</v>
      </c>
      <c r="C1131" s="32" t="s">
        <v>7</v>
      </c>
      <c r="D1131" s="9" t="str">
        <f t="shared" si="119"/>
        <v>44002 - T3</v>
      </c>
      <c r="E1131" s="32" t="s">
        <v>12</v>
      </c>
      <c r="F1131" s="2">
        <v>8000031</v>
      </c>
      <c r="G1131" s="4" t="str">
        <f>IFERROR(VLOOKUP(F1131,Lists!$C:$D,2,0), "N/A")</f>
        <v>WIP.DCP FLIPZ  DARK CHOC PRETZEL</v>
      </c>
      <c r="H1131" s="26">
        <f>IFERROR(VLOOKUP(F1131,Lists!$C:$F,4,0),0)</f>
        <v>1.4516300000000002</v>
      </c>
      <c r="I1131" s="7">
        <f t="shared" si="117"/>
        <v>3307</v>
      </c>
      <c r="J1131" s="6">
        <v>3300</v>
      </c>
      <c r="K1131" s="33">
        <v>7</v>
      </c>
      <c r="L1131" s="5">
        <f t="shared" si="120"/>
        <v>2.1212121212121214E-3</v>
      </c>
      <c r="M1131" s="26">
        <f t="shared" si="121"/>
        <v>10.161410000000002</v>
      </c>
    </row>
    <row r="1132" spans="1:13" x14ac:dyDescent="0.25">
      <c r="A1132" s="16" t="str">
        <f t="shared" si="118"/>
        <v>June</v>
      </c>
      <c r="B1132" s="31">
        <v>44002</v>
      </c>
      <c r="C1132" s="32" t="s">
        <v>7</v>
      </c>
      <c r="D1132" s="9" t="str">
        <f t="shared" si="119"/>
        <v>44002 - T3</v>
      </c>
      <c r="E1132" s="32" t="s">
        <v>15</v>
      </c>
      <c r="G1132" s="4" t="str">
        <f>IFERROR(VLOOKUP(F1132,Lists!$C:$D,2,0), "N/A")</f>
        <v>N/A</v>
      </c>
      <c r="H1132" s="26">
        <f>IFERROR(VLOOKUP(F1132,Lists!$C:$F,4,0),0)</f>
        <v>0</v>
      </c>
      <c r="I1132" s="7">
        <f t="shared" si="117"/>
        <v>100</v>
      </c>
      <c r="K1132" s="33">
        <v>100</v>
      </c>
      <c r="L1132" s="5">
        <f t="shared" si="120"/>
        <v>1</v>
      </c>
      <c r="M1132" s="26">
        <f t="shared" si="121"/>
        <v>0</v>
      </c>
    </row>
    <row r="1133" spans="1:13" x14ac:dyDescent="0.25">
      <c r="A1133" s="16" t="str">
        <f t="shared" si="118"/>
        <v>June</v>
      </c>
      <c r="B1133" s="31">
        <v>44002</v>
      </c>
      <c r="C1133" s="32" t="s">
        <v>8</v>
      </c>
      <c r="D1133" s="9" t="str">
        <f t="shared" si="119"/>
        <v>44002 - T4</v>
      </c>
      <c r="E1133" s="32" t="s">
        <v>11</v>
      </c>
      <c r="F1133" s="2">
        <v>8000034</v>
      </c>
      <c r="G1133" s="4" t="str">
        <f>IFERROR(VLOOKUP(F1133,Lists!$C:$D,2,0), "N/A")</f>
        <v>KS MILK CHOC MACADAMIA</v>
      </c>
      <c r="H1133" s="26">
        <f>IFERROR(VLOOKUP(F1133,Lists!$C:$F,4,0),0)</f>
        <v>3.8943099999999999</v>
      </c>
      <c r="I1133" s="7">
        <f t="shared" si="117"/>
        <v>11230</v>
      </c>
      <c r="J1133" s="6">
        <v>11200</v>
      </c>
      <c r="K1133" s="33">
        <v>30</v>
      </c>
      <c r="L1133" s="5">
        <f t="shared" si="120"/>
        <v>2.6785714285714286E-3</v>
      </c>
      <c r="M1133" s="26">
        <f t="shared" si="121"/>
        <v>116.8293</v>
      </c>
    </row>
    <row r="1134" spans="1:13" x14ac:dyDescent="0.25">
      <c r="A1134" s="16" t="str">
        <f t="shared" si="118"/>
        <v>June</v>
      </c>
      <c r="B1134" s="31">
        <v>44002</v>
      </c>
      <c r="C1134" s="32" t="s">
        <v>8</v>
      </c>
      <c r="D1134" s="9" t="str">
        <f t="shared" si="119"/>
        <v>44002 - T4</v>
      </c>
      <c r="E1134" s="32" t="s">
        <v>12</v>
      </c>
      <c r="F1134" s="2">
        <v>8000031</v>
      </c>
      <c r="G1134" s="4" t="str">
        <f>IFERROR(VLOOKUP(F1134,Lists!$C:$D,2,0), "N/A")</f>
        <v>WIP.DCP FLIPZ  DARK CHOC PRETZEL</v>
      </c>
      <c r="H1134" s="26">
        <f>IFERROR(VLOOKUP(F1134,Lists!$C:$F,4,0),0)</f>
        <v>1.4516300000000002</v>
      </c>
      <c r="I1134" s="7">
        <f t="shared" ref="I1134:I1197" si="122">J1134+K1134</f>
        <v>8025</v>
      </c>
      <c r="J1134" s="6">
        <v>8000</v>
      </c>
      <c r="K1134" s="33">
        <v>25</v>
      </c>
      <c r="L1134" s="5">
        <f t="shared" si="120"/>
        <v>3.1250000000000002E-3</v>
      </c>
      <c r="M1134" s="26">
        <f t="shared" si="121"/>
        <v>36.290750000000003</v>
      </c>
    </row>
    <row r="1135" spans="1:13" x14ac:dyDescent="0.25">
      <c r="A1135" s="16" t="str">
        <f t="shared" si="118"/>
        <v>June</v>
      </c>
      <c r="B1135" s="31">
        <v>44002</v>
      </c>
      <c r="C1135" s="32" t="s">
        <v>8</v>
      </c>
      <c r="D1135" s="9" t="str">
        <f t="shared" si="119"/>
        <v>44002 - T4</v>
      </c>
      <c r="E1135" s="32" t="s">
        <v>15</v>
      </c>
      <c r="G1135" s="4" t="str">
        <f>IFERROR(VLOOKUP(F1135,Lists!$C:$D,2,0), "N/A")</f>
        <v>N/A</v>
      </c>
      <c r="H1135" s="26">
        <f>IFERROR(VLOOKUP(F1135,Lists!$C:$F,4,0),0)</f>
        <v>0</v>
      </c>
      <c r="I1135" s="7">
        <f t="shared" si="122"/>
        <v>70</v>
      </c>
      <c r="K1135" s="33">
        <v>70</v>
      </c>
      <c r="L1135" s="5">
        <f t="shared" si="120"/>
        <v>1</v>
      </c>
      <c r="M1135" s="26">
        <f t="shared" si="121"/>
        <v>0</v>
      </c>
    </row>
    <row r="1136" spans="1:13" x14ac:dyDescent="0.25">
      <c r="A1136" s="16" t="str">
        <f t="shared" si="118"/>
        <v>June</v>
      </c>
      <c r="B1136" s="31">
        <v>44003</v>
      </c>
      <c r="C1136" s="32" t="s">
        <v>7</v>
      </c>
      <c r="D1136" s="9" t="str">
        <f t="shared" si="119"/>
        <v>44003 - T3</v>
      </c>
      <c r="E1136" s="32" t="s">
        <v>9</v>
      </c>
      <c r="F1136" s="2">
        <v>8000038</v>
      </c>
      <c r="G1136" s="4" t="str">
        <f>IFERROR(VLOOKUP(F1136,Lists!$C:$D,2,0), "N/A")</f>
        <v>TURTLES MILK CHOC PEC BITE SZ</v>
      </c>
      <c r="H1136" s="26">
        <f>IFERROR(VLOOKUP(F1136,Lists!$C:$F,4,0),0)</f>
        <v>1.96</v>
      </c>
      <c r="I1136" s="7">
        <f t="shared" si="122"/>
        <v>4211</v>
      </c>
      <c r="J1136" s="6">
        <v>3711</v>
      </c>
      <c r="K1136" s="33">
        <v>500</v>
      </c>
      <c r="L1136" s="5">
        <f t="shared" si="120"/>
        <v>0.13473457289140395</v>
      </c>
      <c r="M1136" s="26">
        <f t="shared" si="121"/>
        <v>980</v>
      </c>
    </row>
    <row r="1137" spans="1:13" x14ac:dyDescent="0.25">
      <c r="A1137" s="16" t="str">
        <f t="shared" si="118"/>
        <v>June</v>
      </c>
      <c r="B1137" s="31">
        <v>44003</v>
      </c>
      <c r="C1137" s="32" t="s">
        <v>7</v>
      </c>
      <c r="D1137" s="9" t="str">
        <f t="shared" si="119"/>
        <v>44003 - T3</v>
      </c>
      <c r="E1137" s="32" t="s">
        <v>11</v>
      </c>
      <c r="F1137" s="2">
        <v>8000034</v>
      </c>
      <c r="G1137" s="4" t="str">
        <f>IFERROR(VLOOKUP(F1137,Lists!$C:$D,2,0), "N/A")</f>
        <v>KS MILK CHOC MACADAMIA</v>
      </c>
      <c r="H1137" s="26">
        <f>IFERROR(VLOOKUP(F1137,Lists!$C:$F,4,0),0)</f>
        <v>3.8943099999999999</v>
      </c>
      <c r="I1137" s="7">
        <f t="shared" si="122"/>
        <v>10681</v>
      </c>
      <c r="J1137" s="6">
        <v>10400</v>
      </c>
      <c r="K1137" s="33">
        <v>281</v>
      </c>
      <c r="L1137" s="5">
        <f t="shared" si="120"/>
        <v>2.7019230769230768E-2</v>
      </c>
      <c r="M1137" s="26">
        <f t="shared" si="121"/>
        <v>1094.3011099999999</v>
      </c>
    </row>
    <row r="1138" spans="1:13" x14ac:dyDescent="0.25">
      <c r="A1138" s="16" t="str">
        <f t="shared" si="118"/>
        <v>June</v>
      </c>
      <c r="B1138" s="31">
        <v>44003</v>
      </c>
      <c r="C1138" s="32" t="s">
        <v>7</v>
      </c>
      <c r="D1138" s="9" t="str">
        <f t="shared" si="119"/>
        <v>44003 - T3</v>
      </c>
      <c r="E1138" s="32" t="s">
        <v>12</v>
      </c>
      <c r="F1138" s="2">
        <v>8000031</v>
      </c>
      <c r="G1138" s="4" t="str">
        <f>IFERROR(VLOOKUP(F1138,Lists!$C:$D,2,0), "N/A")</f>
        <v>WIP.DCP FLIPZ  DARK CHOC PRETZEL</v>
      </c>
      <c r="H1138" s="26">
        <f>IFERROR(VLOOKUP(F1138,Lists!$C:$F,4,0),0)</f>
        <v>1.4516300000000002</v>
      </c>
      <c r="I1138" s="7">
        <f t="shared" si="122"/>
        <v>9063</v>
      </c>
      <c r="J1138" s="6">
        <v>9000</v>
      </c>
      <c r="K1138" s="33">
        <v>63</v>
      </c>
      <c r="L1138" s="5">
        <f t="shared" si="120"/>
        <v>7.0000000000000001E-3</v>
      </c>
      <c r="M1138" s="26">
        <f t="shared" si="121"/>
        <v>91.452690000000018</v>
      </c>
    </row>
    <row r="1139" spans="1:13" x14ac:dyDescent="0.25">
      <c r="A1139" s="16" t="str">
        <f t="shared" ref="A1139:A1202" si="123">TEXT(B1139,"mmmm")</f>
        <v>June</v>
      </c>
      <c r="B1139" s="31">
        <v>44003</v>
      </c>
      <c r="C1139" s="32" t="s">
        <v>7</v>
      </c>
      <c r="D1139" s="9" t="str">
        <f t="shared" si="119"/>
        <v>44003 - T3</v>
      </c>
      <c r="E1139" s="32" t="s">
        <v>15</v>
      </c>
      <c r="G1139" s="4" t="str">
        <f>IFERROR(VLOOKUP(F1139,Lists!$C:$D,2,0), "N/A")</f>
        <v>N/A</v>
      </c>
      <c r="H1139" s="26">
        <f>IFERROR(VLOOKUP(F1139,Lists!$C:$F,4,0),0)</f>
        <v>0</v>
      </c>
      <c r="I1139" s="7">
        <f t="shared" si="122"/>
        <v>25</v>
      </c>
      <c r="K1139" s="33">
        <v>25</v>
      </c>
      <c r="L1139" s="5">
        <f t="shared" si="120"/>
        <v>1</v>
      </c>
      <c r="M1139" s="26">
        <f t="shared" si="121"/>
        <v>0</v>
      </c>
    </row>
    <row r="1140" spans="1:13" x14ac:dyDescent="0.25">
      <c r="A1140" s="16" t="str">
        <f t="shared" si="123"/>
        <v>June</v>
      </c>
      <c r="B1140" s="31">
        <v>44003</v>
      </c>
      <c r="C1140" s="32" t="s">
        <v>8</v>
      </c>
      <c r="D1140" s="9" t="str">
        <f t="shared" si="119"/>
        <v>44003 - T4</v>
      </c>
      <c r="E1140" s="32" t="s">
        <v>11</v>
      </c>
      <c r="F1140" s="2">
        <v>8000034</v>
      </c>
      <c r="G1140" s="4" t="str">
        <f>IFERROR(VLOOKUP(F1140,Lists!$C:$D,2,0), "N/A")</f>
        <v>KS MILK CHOC MACADAMIA</v>
      </c>
      <c r="H1140" s="26">
        <f>IFERROR(VLOOKUP(F1140,Lists!$C:$F,4,0),0)</f>
        <v>3.8943099999999999</v>
      </c>
      <c r="I1140" s="7">
        <f t="shared" si="122"/>
        <v>8810</v>
      </c>
      <c r="J1140" s="6">
        <v>8800</v>
      </c>
      <c r="K1140" s="33">
        <v>10</v>
      </c>
      <c r="L1140" s="5">
        <f t="shared" si="120"/>
        <v>1.1363636363636363E-3</v>
      </c>
      <c r="M1140" s="26">
        <f t="shared" si="121"/>
        <v>38.943100000000001</v>
      </c>
    </row>
    <row r="1141" spans="1:13" x14ac:dyDescent="0.25">
      <c r="A1141" s="16" t="str">
        <f t="shared" si="123"/>
        <v>June</v>
      </c>
      <c r="B1141" s="31">
        <v>44003</v>
      </c>
      <c r="C1141" s="32" t="s">
        <v>8</v>
      </c>
      <c r="D1141" s="9" t="str">
        <f t="shared" si="119"/>
        <v>44003 - T4</v>
      </c>
      <c r="E1141" s="32" t="s">
        <v>12</v>
      </c>
      <c r="F1141" s="2">
        <v>8000031</v>
      </c>
      <c r="G1141" s="4" t="str">
        <f>IFERROR(VLOOKUP(F1141,Lists!$C:$D,2,0), "N/A")</f>
        <v>WIP.DCP FLIPZ  DARK CHOC PRETZEL</v>
      </c>
      <c r="H1141" s="26">
        <f>IFERROR(VLOOKUP(F1141,Lists!$C:$F,4,0),0)</f>
        <v>1.4516300000000002</v>
      </c>
      <c r="I1141" s="7">
        <f t="shared" si="122"/>
        <v>6072</v>
      </c>
      <c r="J1141" s="6">
        <v>6000</v>
      </c>
      <c r="K1141" s="33">
        <v>72</v>
      </c>
      <c r="L1141" s="5">
        <f t="shared" si="120"/>
        <v>1.2E-2</v>
      </c>
      <c r="M1141" s="26">
        <f t="shared" si="121"/>
        <v>104.51736000000001</v>
      </c>
    </row>
    <row r="1142" spans="1:13" x14ac:dyDescent="0.25">
      <c r="A1142" s="16" t="str">
        <f t="shared" si="123"/>
        <v>June</v>
      </c>
      <c r="B1142" s="31">
        <v>44004</v>
      </c>
      <c r="C1142" s="32" t="s">
        <v>5</v>
      </c>
      <c r="D1142" s="9" t="str">
        <f t="shared" si="119"/>
        <v>44004 - T1</v>
      </c>
      <c r="E1142" s="32" t="s">
        <v>9</v>
      </c>
      <c r="F1142" s="2">
        <v>8000038</v>
      </c>
      <c r="G1142" s="4" t="str">
        <f>IFERROR(VLOOKUP(F1142,Lists!$C:$D,2,0), "N/A")</f>
        <v>TURTLES MILK CHOC PEC BITE SZ</v>
      </c>
      <c r="H1142" s="26">
        <f>IFERROR(VLOOKUP(F1142,Lists!$C:$F,4,0),0)</f>
        <v>1.96</v>
      </c>
      <c r="I1142" s="7">
        <f t="shared" si="122"/>
        <v>10139</v>
      </c>
      <c r="J1142" s="6">
        <v>9583</v>
      </c>
      <c r="K1142" s="33">
        <v>556</v>
      </c>
      <c r="L1142" s="5">
        <f t="shared" si="120"/>
        <v>5.8019409370760722E-2</v>
      </c>
      <c r="M1142" s="26">
        <f t="shared" si="121"/>
        <v>1089.76</v>
      </c>
    </row>
    <row r="1143" spans="1:13" x14ac:dyDescent="0.25">
      <c r="A1143" s="16" t="str">
        <f t="shared" si="123"/>
        <v>June</v>
      </c>
      <c r="B1143" s="31">
        <v>44004</v>
      </c>
      <c r="C1143" s="32" t="s">
        <v>5</v>
      </c>
      <c r="D1143" s="9" t="str">
        <f t="shared" si="119"/>
        <v>44004 - T1</v>
      </c>
      <c r="E1143" s="32" t="s">
        <v>11</v>
      </c>
      <c r="F1143" s="2">
        <v>8000034</v>
      </c>
      <c r="G1143" s="4" t="str">
        <f>IFERROR(VLOOKUP(F1143,Lists!$C:$D,2,0), "N/A")</f>
        <v>KS MILK CHOC MACADAMIA</v>
      </c>
      <c r="H1143" s="26">
        <f>IFERROR(VLOOKUP(F1143,Lists!$C:$F,4,0),0)</f>
        <v>3.8943099999999999</v>
      </c>
      <c r="I1143" s="7">
        <f t="shared" si="122"/>
        <v>4956</v>
      </c>
      <c r="J1143" s="6">
        <v>4800</v>
      </c>
      <c r="K1143" s="33">
        <v>156</v>
      </c>
      <c r="L1143" s="5">
        <f t="shared" si="120"/>
        <v>3.2500000000000001E-2</v>
      </c>
      <c r="M1143" s="26">
        <f t="shared" si="121"/>
        <v>607.51235999999994</v>
      </c>
    </row>
    <row r="1144" spans="1:13" x14ac:dyDescent="0.25">
      <c r="A1144" s="16" t="str">
        <f t="shared" si="123"/>
        <v>June</v>
      </c>
      <c r="B1144" s="31">
        <v>44004</v>
      </c>
      <c r="C1144" s="32" t="s">
        <v>6</v>
      </c>
      <c r="D1144" s="9" t="str">
        <f t="shared" si="119"/>
        <v>44004 - T2</v>
      </c>
      <c r="E1144" s="32" t="s">
        <v>9</v>
      </c>
      <c r="F1144" s="2">
        <v>8000038</v>
      </c>
      <c r="G1144" s="4" t="str">
        <f>IFERROR(VLOOKUP(F1144,Lists!$C:$D,2,0), "N/A")</f>
        <v>TURTLES MILK CHOC PEC BITE SZ</v>
      </c>
      <c r="H1144" s="26">
        <f>IFERROR(VLOOKUP(F1144,Lists!$C:$F,4,0),0)</f>
        <v>1.96</v>
      </c>
      <c r="I1144" s="7">
        <f t="shared" si="122"/>
        <v>9217</v>
      </c>
      <c r="J1144" s="6">
        <v>8863</v>
      </c>
      <c r="K1144" s="33">
        <v>354</v>
      </c>
      <c r="L1144" s="5">
        <f t="shared" si="120"/>
        <v>3.99413291210651E-2</v>
      </c>
      <c r="M1144" s="26">
        <f t="shared" si="121"/>
        <v>693.84</v>
      </c>
    </row>
    <row r="1145" spans="1:13" x14ac:dyDescent="0.25">
      <c r="A1145" s="16" t="str">
        <f t="shared" si="123"/>
        <v>June</v>
      </c>
      <c r="B1145" s="31">
        <v>44004</v>
      </c>
      <c r="C1145" s="32" t="s">
        <v>6</v>
      </c>
      <c r="D1145" s="9" t="str">
        <f t="shared" si="119"/>
        <v>44004 - T2</v>
      </c>
      <c r="E1145" s="32" t="s">
        <v>12</v>
      </c>
      <c r="F1145" s="2">
        <v>8000031</v>
      </c>
      <c r="G1145" s="4" t="str">
        <f>IFERROR(VLOOKUP(F1145,Lists!$C:$D,2,0), "N/A")</f>
        <v>WIP.DCP FLIPZ  DARK CHOC PRETZEL</v>
      </c>
      <c r="H1145" s="26">
        <f>IFERROR(VLOOKUP(F1145,Lists!$C:$F,4,0),0)</f>
        <v>1.4516300000000002</v>
      </c>
      <c r="I1145" s="7">
        <f t="shared" si="122"/>
        <v>6079</v>
      </c>
      <c r="J1145" s="6">
        <v>6000</v>
      </c>
      <c r="K1145" s="33">
        <v>79</v>
      </c>
      <c r="L1145" s="5">
        <f t="shared" si="120"/>
        <v>1.3166666666666667E-2</v>
      </c>
      <c r="M1145" s="26">
        <f t="shared" si="121"/>
        <v>114.67877000000001</v>
      </c>
    </row>
    <row r="1146" spans="1:13" x14ac:dyDescent="0.25">
      <c r="A1146" s="16" t="str">
        <f t="shared" si="123"/>
        <v>June</v>
      </c>
      <c r="B1146" s="31">
        <v>44004</v>
      </c>
      <c r="C1146" s="32" t="s">
        <v>6</v>
      </c>
      <c r="D1146" s="9" t="str">
        <f t="shared" si="119"/>
        <v>44004 - T2</v>
      </c>
      <c r="E1146" s="32" t="s">
        <v>15</v>
      </c>
      <c r="G1146" s="4" t="str">
        <f>IFERROR(VLOOKUP(F1146,Lists!$C:$D,2,0), "N/A")</f>
        <v>N/A</v>
      </c>
      <c r="H1146" s="26">
        <f>IFERROR(VLOOKUP(F1146,Lists!$C:$F,4,0),0)</f>
        <v>0</v>
      </c>
      <c r="I1146" s="7">
        <f t="shared" si="122"/>
        <v>7</v>
      </c>
      <c r="K1146" s="33">
        <v>7</v>
      </c>
      <c r="L1146" s="5">
        <f t="shared" si="120"/>
        <v>1</v>
      </c>
      <c r="M1146" s="26">
        <f t="shared" si="121"/>
        <v>0</v>
      </c>
    </row>
    <row r="1147" spans="1:13" x14ac:dyDescent="0.25">
      <c r="A1147" s="16" t="s">
        <v>567</v>
      </c>
      <c r="B1147" s="31">
        <v>44005</v>
      </c>
      <c r="C1147" s="32" t="s">
        <v>5</v>
      </c>
      <c r="D1147" s="9" t="str">
        <f t="shared" si="119"/>
        <v>44005 - T1</v>
      </c>
      <c r="E1147" s="32" t="s">
        <v>9</v>
      </c>
      <c r="F1147" s="2">
        <v>8000038</v>
      </c>
      <c r="G1147" s="4" t="str">
        <f>IFERROR(VLOOKUP(F1147,Lists!$C:$D,2,0), "N/A")</f>
        <v>TURTLES MILK CHOC PEC BITE SZ</v>
      </c>
      <c r="H1147" s="26">
        <f>IFERROR(VLOOKUP(F1147,Lists!$C:$F,4,0),0)</f>
        <v>1.96</v>
      </c>
      <c r="I1147" s="7">
        <f t="shared" si="122"/>
        <v>10263</v>
      </c>
      <c r="J1147" s="6">
        <v>9887</v>
      </c>
      <c r="K1147" s="33">
        <v>376</v>
      </c>
      <c r="L1147" s="5">
        <f t="shared" si="120"/>
        <v>3.8029736016992007E-2</v>
      </c>
      <c r="M1147" s="26">
        <f t="shared" si="121"/>
        <v>736.96</v>
      </c>
    </row>
    <row r="1148" spans="1:13" x14ac:dyDescent="0.25">
      <c r="A1148" s="16" t="s">
        <v>513</v>
      </c>
      <c r="B1148" s="31">
        <v>44005</v>
      </c>
      <c r="C1148" s="32" t="s">
        <v>5</v>
      </c>
      <c r="D1148" s="9" t="str">
        <f t="shared" si="119"/>
        <v>44005 - T1</v>
      </c>
      <c r="E1148" s="32" t="s">
        <v>12</v>
      </c>
      <c r="F1148" s="2">
        <v>8000031</v>
      </c>
      <c r="G1148" s="4" t="str">
        <f>IFERROR(VLOOKUP(F1148,Lists!$C:$D,2,0), "N/A")</f>
        <v>WIP.DCP FLIPZ  DARK CHOC PRETZEL</v>
      </c>
      <c r="H1148" s="26">
        <f>IFERROR(VLOOKUP(F1148,Lists!$C:$F,4,0),0)</f>
        <v>1.4516300000000002</v>
      </c>
      <c r="I1148" s="7">
        <f t="shared" si="122"/>
        <v>6005</v>
      </c>
      <c r="J1148" s="6">
        <v>6000</v>
      </c>
      <c r="K1148" s="33">
        <v>5</v>
      </c>
      <c r="L1148" s="5">
        <f t="shared" si="120"/>
        <v>8.3333333333333339E-4</v>
      </c>
      <c r="M1148" s="26">
        <f t="shared" si="121"/>
        <v>7.2581500000000005</v>
      </c>
    </row>
    <row r="1149" spans="1:13" x14ac:dyDescent="0.25">
      <c r="A1149" s="16" t="s">
        <v>513</v>
      </c>
      <c r="B1149" s="31">
        <v>44005</v>
      </c>
      <c r="C1149" s="32" t="s">
        <v>5</v>
      </c>
      <c r="D1149" s="9" t="str">
        <f t="shared" si="119"/>
        <v>44005 - T1</v>
      </c>
      <c r="E1149" s="32" t="s">
        <v>15</v>
      </c>
      <c r="G1149" s="4" t="str">
        <f>IFERROR(VLOOKUP(F1149,Lists!$C:$D,2,0), "N/A")</f>
        <v>N/A</v>
      </c>
      <c r="H1149" s="26">
        <f>IFERROR(VLOOKUP(F1149,Lists!$C:$F,4,0),0)</f>
        <v>0</v>
      </c>
      <c r="I1149" s="7">
        <f t="shared" si="122"/>
        <v>0</v>
      </c>
      <c r="L1149" s="5">
        <f t="shared" si="120"/>
        <v>1</v>
      </c>
      <c r="M1149" s="26">
        <f t="shared" si="121"/>
        <v>0</v>
      </c>
    </row>
    <row r="1150" spans="1:13" x14ac:dyDescent="0.25">
      <c r="A1150" s="16" t="s">
        <v>513</v>
      </c>
      <c r="B1150" s="31">
        <v>44005</v>
      </c>
      <c r="C1150" s="32" t="s">
        <v>6</v>
      </c>
      <c r="D1150" s="9" t="str">
        <f t="shared" si="119"/>
        <v>44005 - T2</v>
      </c>
      <c r="E1150" s="32" t="s">
        <v>9</v>
      </c>
      <c r="F1150" s="2">
        <v>8000038</v>
      </c>
      <c r="G1150" s="4" t="str">
        <f>IFERROR(VLOOKUP(F1150,Lists!$C:$D,2,0), "N/A")</f>
        <v>TURTLES MILK CHOC PEC BITE SZ</v>
      </c>
      <c r="H1150" s="26">
        <f>IFERROR(VLOOKUP(F1150,Lists!$C:$F,4,0),0)</f>
        <v>1.96</v>
      </c>
      <c r="I1150" s="7">
        <f t="shared" si="122"/>
        <v>8213</v>
      </c>
      <c r="J1150" s="6">
        <v>7740</v>
      </c>
      <c r="K1150" s="33">
        <v>473</v>
      </c>
      <c r="L1150" s="5">
        <f t="shared" si="120"/>
        <v>6.1111111111111109E-2</v>
      </c>
      <c r="M1150" s="26">
        <f t="shared" si="121"/>
        <v>927.07999999999993</v>
      </c>
    </row>
    <row r="1151" spans="1:13" x14ac:dyDescent="0.25">
      <c r="A1151" s="16" t="s">
        <v>513</v>
      </c>
      <c r="B1151" s="31">
        <v>44005</v>
      </c>
      <c r="C1151" s="32" t="s">
        <v>6</v>
      </c>
      <c r="D1151" s="9" t="str">
        <f t="shared" si="119"/>
        <v>44005 - T2</v>
      </c>
      <c r="E1151" s="32" t="s">
        <v>12</v>
      </c>
      <c r="F1151" s="2">
        <v>8000031</v>
      </c>
      <c r="G1151" s="4" t="str">
        <f>IFERROR(VLOOKUP(F1151,Lists!$C:$D,2,0), "N/A")</f>
        <v>WIP.DCP FLIPZ  DARK CHOC PRETZEL</v>
      </c>
      <c r="H1151" s="26">
        <f>IFERROR(VLOOKUP(F1151,Lists!$C:$F,4,0),0)</f>
        <v>1.4516300000000002</v>
      </c>
      <c r="I1151" s="7">
        <f t="shared" si="122"/>
        <v>7010</v>
      </c>
      <c r="J1151" s="6">
        <v>7000</v>
      </c>
      <c r="K1151" s="33">
        <v>10</v>
      </c>
      <c r="L1151" s="5">
        <f t="shared" si="120"/>
        <v>1.4285714285714286E-3</v>
      </c>
      <c r="M1151" s="26">
        <f t="shared" si="121"/>
        <v>14.516300000000001</v>
      </c>
    </row>
    <row r="1152" spans="1:13" x14ac:dyDescent="0.25">
      <c r="A1152" s="16" t="s">
        <v>513</v>
      </c>
      <c r="B1152" s="31">
        <v>44005</v>
      </c>
      <c r="C1152" s="32" t="s">
        <v>6</v>
      </c>
      <c r="D1152" s="9" t="str">
        <f t="shared" si="119"/>
        <v>44005 - T2</v>
      </c>
      <c r="E1152" s="32" t="s">
        <v>15</v>
      </c>
      <c r="G1152" s="4" t="str">
        <f>IFERROR(VLOOKUP(F1152,Lists!$C:$D,2,0), "N/A")</f>
        <v>N/A</v>
      </c>
      <c r="H1152" s="26">
        <f>IFERROR(VLOOKUP(F1152,Lists!$C:$F,4,0),0)</f>
        <v>0</v>
      </c>
      <c r="I1152" s="7">
        <f t="shared" si="122"/>
        <v>0</v>
      </c>
      <c r="L1152" s="5">
        <f t="shared" si="120"/>
        <v>1</v>
      </c>
      <c r="M1152" s="26">
        <f t="shared" si="121"/>
        <v>0</v>
      </c>
    </row>
    <row r="1153" spans="1:13" x14ac:dyDescent="0.25">
      <c r="A1153" s="16" t="str">
        <f t="shared" si="123"/>
        <v>June</v>
      </c>
      <c r="B1153" s="31">
        <v>44005</v>
      </c>
      <c r="C1153" s="32" t="s">
        <v>6</v>
      </c>
      <c r="D1153" s="9" t="str">
        <f t="shared" si="119"/>
        <v>44005 - T2</v>
      </c>
      <c r="E1153" s="32" t="s">
        <v>10</v>
      </c>
      <c r="F1153" s="2">
        <v>8000055</v>
      </c>
      <c r="G1153" s="4" t="str">
        <f>IFERROR(VLOOKUP(F1153,Lists!$C:$D,2,0), "N/A")</f>
        <v>916.BF FLIPZ 25 LB BULK MILK CHOC</v>
      </c>
      <c r="H1153" s="26">
        <f>IFERROR(VLOOKUP(F1153,Lists!$C:$F,4,0),0)</f>
        <v>1.9508160000000001</v>
      </c>
      <c r="I1153" s="7">
        <f t="shared" si="122"/>
        <v>5031</v>
      </c>
      <c r="J1153" s="6">
        <v>5000</v>
      </c>
      <c r="K1153" s="33">
        <v>31</v>
      </c>
      <c r="L1153" s="5">
        <f t="shared" si="120"/>
        <v>6.1999999999999998E-3</v>
      </c>
      <c r="M1153" s="26">
        <f t="shared" si="121"/>
        <v>60.475296</v>
      </c>
    </row>
    <row r="1154" spans="1:13" x14ac:dyDescent="0.25">
      <c r="A1154" s="16" t="str">
        <f t="shared" si="123"/>
        <v>June</v>
      </c>
      <c r="B1154" s="31">
        <v>44006</v>
      </c>
      <c r="C1154" s="32" t="s">
        <v>7</v>
      </c>
      <c r="D1154" s="9" t="str">
        <f t="shared" si="119"/>
        <v>44006 - T3</v>
      </c>
      <c r="E1154" s="32" t="s">
        <v>9</v>
      </c>
      <c r="F1154" s="2">
        <v>8000035</v>
      </c>
      <c r="G1154" s="4" t="str">
        <f>IFERROR(VLOOKUP(F1154,Lists!$C:$D,2,0), "N/A")</f>
        <v>TURTLES MILK CHOC ORIGINAL</v>
      </c>
      <c r="H1154" s="26">
        <f>IFERROR(VLOOKUP(F1154,Lists!$C:$F,4,0),0)</f>
        <v>1.91178</v>
      </c>
      <c r="I1154" s="7">
        <f t="shared" si="122"/>
        <v>10185</v>
      </c>
      <c r="J1154" s="6">
        <v>9702</v>
      </c>
      <c r="K1154" s="33">
        <v>483</v>
      </c>
      <c r="L1154" s="5">
        <f t="shared" si="120"/>
        <v>4.9783549783549784E-2</v>
      </c>
      <c r="M1154" s="26">
        <f t="shared" si="121"/>
        <v>923.38973999999996</v>
      </c>
    </row>
    <row r="1155" spans="1:13" x14ac:dyDescent="0.25">
      <c r="A1155" s="16" t="str">
        <f t="shared" si="123"/>
        <v>June</v>
      </c>
      <c r="B1155" s="31">
        <v>44006</v>
      </c>
      <c r="C1155" s="32" t="s">
        <v>7</v>
      </c>
      <c r="D1155" s="9" t="str">
        <f t="shared" si="119"/>
        <v>44006 - T3</v>
      </c>
      <c r="E1155" s="32" t="s">
        <v>10</v>
      </c>
      <c r="F1155" s="2">
        <v>8000055</v>
      </c>
      <c r="G1155" s="4" t="str">
        <f>IFERROR(VLOOKUP(F1155,Lists!$C:$D,2,0), "N/A")</f>
        <v>916.BF FLIPZ 25 LB BULK MILK CHOC</v>
      </c>
      <c r="H1155" s="26">
        <f>IFERROR(VLOOKUP(F1155,Lists!$C:$F,4,0),0)</f>
        <v>1.9508160000000001</v>
      </c>
      <c r="I1155" s="7">
        <f t="shared" si="122"/>
        <v>10036</v>
      </c>
      <c r="J1155" s="6">
        <v>10000</v>
      </c>
      <c r="K1155" s="33">
        <v>36</v>
      </c>
      <c r="L1155" s="5">
        <f t="shared" si="120"/>
        <v>3.5999999999999999E-3</v>
      </c>
      <c r="M1155" s="26">
        <f t="shared" si="121"/>
        <v>70.229376000000002</v>
      </c>
    </row>
    <row r="1156" spans="1:13" x14ac:dyDescent="0.25">
      <c r="A1156" s="16" t="str">
        <f t="shared" si="123"/>
        <v>June</v>
      </c>
      <c r="B1156" s="31">
        <v>44006</v>
      </c>
      <c r="C1156" s="32" t="s">
        <v>7</v>
      </c>
      <c r="D1156" s="9" t="str">
        <f t="shared" si="119"/>
        <v>44006 - T3</v>
      </c>
      <c r="E1156" s="32" t="s">
        <v>12</v>
      </c>
      <c r="F1156" s="2">
        <v>8000031</v>
      </c>
      <c r="G1156" s="4" t="str">
        <f>IFERROR(VLOOKUP(F1156,Lists!$C:$D,2,0), "N/A")</f>
        <v>WIP.DCP FLIPZ  DARK CHOC PRETZEL</v>
      </c>
      <c r="H1156" s="26">
        <f>IFERROR(VLOOKUP(F1156,Lists!$C:$F,4,0),0)</f>
        <v>1.4516300000000002</v>
      </c>
      <c r="I1156" s="7">
        <f t="shared" si="122"/>
        <v>8040</v>
      </c>
      <c r="J1156" s="6">
        <v>8000</v>
      </c>
      <c r="K1156" s="33">
        <v>40</v>
      </c>
      <c r="L1156" s="5">
        <f t="shared" si="120"/>
        <v>5.0000000000000001E-3</v>
      </c>
      <c r="M1156" s="26">
        <f t="shared" si="121"/>
        <v>58.065200000000004</v>
      </c>
    </row>
    <row r="1157" spans="1:13" x14ac:dyDescent="0.25">
      <c r="A1157" s="16" t="str">
        <f t="shared" si="123"/>
        <v>June</v>
      </c>
      <c r="B1157" s="31">
        <v>44006</v>
      </c>
      <c r="C1157" s="32" t="s">
        <v>8</v>
      </c>
      <c r="D1157" s="9" t="str">
        <f t="shared" si="119"/>
        <v>44006 - T4</v>
      </c>
      <c r="E1157" s="32" t="s">
        <v>9</v>
      </c>
      <c r="F1157" s="2">
        <v>8000035</v>
      </c>
      <c r="G1157" s="4" t="str">
        <f>IFERROR(VLOOKUP(F1157,Lists!$C:$D,2,0), "N/A")</f>
        <v>TURTLES MILK CHOC ORIGINAL</v>
      </c>
      <c r="H1157" s="26">
        <f>IFERROR(VLOOKUP(F1157,Lists!$C:$F,4,0),0)</f>
        <v>1.91178</v>
      </c>
      <c r="I1157" s="7">
        <f t="shared" si="122"/>
        <v>9556</v>
      </c>
      <c r="J1157" s="6">
        <v>9077</v>
      </c>
      <c r="K1157" s="33">
        <v>479</v>
      </c>
      <c r="L1157" s="5">
        <f t="shared" si="120"/>
        <v>5.2770739231023468E-2</v>
      </c>
      <c r="M1157" s="26">
        <f t="shared" si="121"/>
        <v>915.74261999999999</v>
      </c>
    </row>
    <row r="1158" spans="1:13" x14ac:dyDescent="0.25">
      <c r="A1158" s="16" t="str">
        <f t="shared" si="123"/>
        <v>June</v>
      </c>
      <c r="B1158" s="31">
        <v>44006</v>
      </c>
      <c r="C1158" s="32" t="s">
        <v>8</v>
      </c>
      <c r="D1158" s="9" t="str">
        <f t="shared" si="119"/>
        <v>44006 - T4</v>
      </c>
      <c r="E1158" s="32" t="s">
        <v>10</v>
      </c>
      <c r="F1158" s="2">
        <v>8000055</v>
      </c>
      <c r="G1158" s="4" t="str">
        <f>IFERROR(VLOOKUP(F1158,Lists!$C:$D,2,0), "N/A")</f>
        <v>916.BF FLIPZ 25 LB BULK MILK CHOC</v>
      </c>
      <c r="H1158" s="26">
        <f>IFERROR(VLOOKUP(F1158,Lists!$C:$F,4,0),0)</f>
        <v>1.9508160000000001</v>
      </c>
      <c r="I1158" s="7">
        <f t="shared" si="122"/>
        <v>6685</v>
      </c>
      <c r="J1158" s="6">
        <v>6625</v>
      </c>
      <c r="K1158" s="33">
        <v>60</v>
      </c>
      <c r="L1158" s="5">
        <f t="shared" si="120"/>
        <v>9.0566037735849061E-3</v>
      </c>
      <c r="M1158" s="26">
        <f t="shared" si="121"/>
        <v>117.04896000000001</v>
      </c>
    </row>
    <row r="1159" spans="1:13" x14ac:dyDescent="0.25">
      <c r="A1159" s="16" t="str">
        <f t="shared" si="123"/>
        <v>June</v>
      </c>
      <c r="B1159" s="31">
        <v>44006</v>
      </c>
      <c r="C1159" s="32" t="s">
        <v>8</v>
      </c>
      <c r="D1159" s="9" t="str">
        <f t="shared" si="119"/>
        <v>44006 - T4</v>
      </c>
      <c r="E1159" s="32" t="s">
        <v>12</v>
      </c>
      <c r="F1159" s="2">
        <v>8000031</v>
      </c>
      <c r="G1159" s="4" t="str">
        <f>IFERROR(VLOOKUP(F1159,Lists!$C:$D,2,0), "N/A")</f>
        <v>WIP.DCP FLIPZ  DARK CHOC PRETZEL</v>
      </c>
      <c r="H1159" s="26">
        <f>IFERROR(VLOOKUP(F1159,Lists!$C:$F,4,0),0)</f>
        <v>1.4516300000000002</v>
      </c>
      <c r="I1159" s="7">
        <f t="shared" si="122"/>
        <v>8044</v>
      </c>
      <c r="J1159" s="6">
        <v>8000</v>
      </c>
      <c r="K1159" s="33">
        <v>44</v>
      </c>
      <c r="L1159" s="5">
        <f t="shared" si="120"/>
        <v>5.4999999999999997E-3</v>
      </c>
      <c r="M1159" s="26">
        <f t="shared" si="121"/>
        <v>63.87172000000001</v>
      </c>
    </row>
    <row r="1160" spans="1:13" x14ac:dyDescent="0.25">
      <c r="A1160" s="16" t="str">
        <f t="shared" si="123"/>
        <v>June</v>
      </c>
      <c r="B1160" s="31">
        <v>44007</v>
      </c>
      <c r="C1160" s="32" t="s">
        <v>7</v>
      </c>
      <c r="D1160" s="9" t="str">
        <f t="shared" si="119"/>
        <v>44007 - T3</v>
      </c>
      <c r="E1160" s="32" t="s">
        <v>9</v>
      </c>
      <c r="F1160" s="2">
        <v>8000035</v>
      </c>
      <c r="G1160" s="4" t="str">
        <f>IFERROR(VLOOKUP(F1160,Lists!$C:$D,2,0), "N/A")</f>
        <v>TURTLES MILK CHOC ORIGINAL</v>
      </c>
      <c r="H1160" s="26">
        <f>IFERROR(VLOOKUP(F1160,Lists!$C:$F,4,0),0)</f>
        <v>1.91178</v>
      </c>
      <c r="I1160" s="7">
        <f t="shared" si="122"/>
        <v>14907</v>
      </c>
      <c r="J1160" s="6">
        <v>14035</v>
      </c>
      <c r="K1160" s="33">
        <v>872</v>
      </c>
      <c r="L1160" s="5">
        <f t="shared" si="120"/>
        <v>6.2130388314926968E-2</v>
      </c>
      <c r="M1160" s="26">
        <f t="shared" si="121"/>
        <v>1667.0721599999999</v>
      </c>
    </row>
    <row r="1161" spans="1:13" x14ac:dyDescent="0.25">
      <c r="A1161" s="16" t="str">
        <f t="shared" si="123"/>
        <v>June</v>
      </c>
      <c r="B1161" s="31">
        <v>44007</v>
      </c>
      <c r="C1161" s="32" t="s">
        <v>7</v>
      </c>
      <c r="D1161" s="9" t="str">
        <f t="shared" ref="D1161:D1224" si="124">CONCATENATE(B1161," - ",C1161)</f>
        <v>44007 - T3</v>
      </c>
      <c r="E1161" s="32" t="s">
        <v>10</v>
      </c>
      <c r="F1161" s="2">
        <v>8000040</v>
      </c>
      <c r="G1161" s="4" t="str">
        <f>IFERROR(VLOOKUP(F1161,Lists!$C:$D,2,0), "N/A")</f>
        <v>WIP.MSM FLIPZ MILK CHOC SUPER MINI</v>
      </c>
      <c r="H1161" s="26">
        <f>IFERROR(VLOOKUP(F1161,Lists!$C:$F,4,0),0)</f>
        <v>1.21353</v>
      </c>
      <c r="I1161" s="7">
        <f t="shared" si="122"/>
        <v>6565</v>
      </c>
      <c r="J1161" s="6">
        <v>6550</v>
      </c>
      <c r="K1161" s="33">
        <v>15</v>
      </c>
      <c r="L1161" s="5">
        <f t="shared" ref="L1161:L1224" si="125">IFERROR((K1161/J1161),1)</f>
        <v>2.2900763358778627E-3</v>
      </c>
      <c r="M1161" s="26">
        <f t="shared" ref="M1161:M1224" si="126">K1161*H1161</f>
        <v>18.202950000000001</v>
      </c>
    </row>
    <row r="1162" spans="1:13" x14ac:dyDescent="0.25">
      <c r="A1162" s="16" t="str">
        <f t="shared" si="123"/>
        <v>June</v>
      </c>
      <c r="B1162" s="31">
        <v>44007</v>
      </c>
      <c r="C1162" s="32" t="s">
        <v>7</v>
      </c>
      <c r="D1162" s="9" t="str">
        <f t="shared" si="124"/>
        <v>44007 - T3</v>
      </c>
      <c r="E1162" s="32" t="s">
        <v>12</v>
      </c>
      <c r="F1162" s="2">
        <v>8000031</v>
      </c>
      <c r="G1162" s="4" t="str">
        <f>IFERROR(VLOOKUP(F1162,Lists!$C:$D,2,0), "N/A")</f>
        <v>WIP.DCP FLIPZ  DARK CHOC PRETZEL</v>
      </c>
      <c r="H1162" s="26">
        <f>IFERROR(VLOOKUP(F1162,Lists!$C:$F,4,0),0)</f>
        <v>1.4516300000000002</v>
      </c>
      <c r="I1162" s="7">
        <f t="shared" si="122"/>
        <v>8661</v>
      </c>
      <c r="J1162" s="6">
        <v>8550</v>
      </c>
      <c r="K1162" s="33">
        <v>111</v>
      </c>
      <c r="L1162" s="5">
        <f t="shared" si="125"/>
        <v>1.2982456140350877E-2</v>
      </c>
      <c r="M1162" s="26">
        <f t="shared" si="126"/>
        <v>161.13093000000003</v>
      </c>
    </row>
    <row r="1163" spans="1:13" x14ac:dyDescent="0.25">
      <c r="A1163" s="16" t="str">
        <f t="shared" si="123"/>
        <v>June</v>
      </c>
      <c r="B1163" s="31">
        <v>44007</v>
      </c>
      <c r="C1163" s="32" t="s">
        <v>8</v>
      </c>
      <c r="D1163" s="9" t="str">
        <f t="shared" si="124"/>
        <v>44007 - T4</v>
      </c>
      <c r="E1163" s="32" t="s">
        <v>9</v>
      </c>
      <c r="F1163" s="2">
        <v>8000035</v>
      </c>
      <c r="G1163" s="4" t="str">
        <f>IFERROR(VLOOKUP(F1163,Lists!$C:$D,2,0), "N/A")</f>
        <v>TURTLES MILK CHOC ORIGINAL</v>
      </c>
      <c r="H1163" s="26">
        <f>IFERROR(VLOOKUP(F1163,Lists!$C:$F,4,0),0)</f>
        <v>1.91178</v>
      </c>
      <c r="I1163" s="7">
        <f t="shared" si="122"/>
        <v>14083</v>
      </c>
      <c r="J1163" s="6">
        <v>13702</v>
      </c>
      <c r="K1163" s="33">
        <v>381</v>
      </c>
      <c r="L1163" s="5">
        <f t="shared" si="125"/>
        <v>2.7806159684717561E-2</v>
      </c>
      <c r="M1163" s="26">
        <f t="shared" si="126"/>
        <v>728.38818000000003</v>
      </c>
    </row>
    <row r="1164" spans="1:13" x14ac:dyDescent="0.25">
      <c r="A1164" s="16" t="str">
        <f t="shared" si="123"/>
        <v>June</v>
      </c>
      <c r="B1164" s="31">
        <v>44007</v>
      </c>
      <c r="C1164" s="32" t="s">
        <v>8</v>
      </c>
      <c r="D1164" s="9" t="str">
        <f t="shared" si="124"/>
        <v>44007 - T4</v>
      </c>
      <c r="E1164" s="32" t="s">
        <v>12</v>
      </c>
      <c r="F1164" s="2">
        <v>8000031</v>
      </c>
      <c r="G1164" s="4" t="str">
        <f>IFERROR(VLOOKUP(F1164,Lists!$C:$D,2,0), "N/A")</f>
        <v>WIP.DCP FLIPZ  DARK CHOC PRETZEL</v>
      </c>
      <c r="H1164" s="26">
        <f>IFERROR(VLOOKUP(F1164,Lists!$C:$F,4,0),0)</f>
        <v>1.4516300000000002</v>
      </c>
      <c r="I1164" s="7">
        <f t="shared" si="122"/>
        <v>8027</v>
      </c>
      <c r="J1164" s="6">
        <v>8000</v>
      </c>
      <c r="K1164" s="33">
        <v>27</v>
      </c>
      <c r="L1164" s="5">
        <f t="shared" si="125"/>
        <v>3.375E-3</v>
      </c>
      <c r="M1164" s="26">
        <f t="shared" si="126"/>
        <v>39.194010000000006</v>
      </c>
    </row>
    <row r="1165" spans="1:13" x14ac:dyDescent="0.25">
      <c r="A1165" s="16" t="s">
        <v>513</v>
      </c>
      <c r="B1165" s="31">
        <v>44007</v>
      </c>
      <c r="C1165" s="32" t="s">
        <v>8</v>
      </c>
      <c r="D1165" s="9" t="str">
        <f t="shared" si="124"/>
        <v>44007 - T4</v>
      </c>
      <c r="E1165" s="32" t="s">
        <v>10</v>
      </c>
      <c r="F1165" s="2">
        <v>8000040</v>
      </c>
      <c r="G1165" s="4" t="str">
        <f>IFERROR(VLOOKUP(F1165,Lists!$C:$D,2,0), "N/A")</f>
        <v>WIP.MSM FLIPZ MILK CHOC SUPER MINI</v>
      </c>
      <c r="H1165" s="26">
        <f>IFERROR(VLOOKUP(F1165,Lists!$C:$F,4,0),0)</f>
        <v>1.21353</v>
      </c>
      <c r="I1165" s="7">
        <f t="shared" si="122"/>
        <v>4020</v>
      </c>
      <c r="J1165" s="6">
        <v>4000</v>
      </c>
      <c r="K1165" s="33">
        <v>20</v>
      </c>
      <c r="L1165" s="5">
        <f t="shared" si="125"/>
        <v>5.0000000000000001E-3</v>
      </c>
      <c r="M1165" s="26">
        <f t="shared" si="126"/>
        <v>24.270600000000002</v>
      </c>
    </row>
    <row r="1166" spans="1:13" x14ac:dyDescent="0.25">
      <c r="A1166" s="16" t="str">
        <f t="shared" si="123"/>
        <v>June</v>
      </c>
      <c r="B1166" s="31">
        <v>44008</v>
      </c>
      <c r="C1166" s="32" t="s">
        <v>5</v>
      </c>
      <c r="D1166" s="9" t="str">
        <f t="shared" si="124"/>
        <v>44008 - T1</v>
      </c>
      <c r="E1166" s="32" t="s">
        <v>9</v>
      </c>
      <c r="F1166" s="2">
        <v>8000035</v>
      </c>
      <c r="G1166" s="4" t="str">
        <f>IFERROR(VLOOKUP(F1166,Lists!$C:$D,2,0), "N/A")</f>
        <v>TURTLES MILK CHOC ORIGINAL</v>
      </c>
      <c r="H1166" s="26">
        <f>IFERROR(VLOOKUP(F1166,Lists!$C:$F,4,0),0)</f>
        <v>1.91178</v>
      </c>
      <c r="I1166" s="7">
        <f t="shared" si="122"/>
        <v>10539</v>
      </c>
      <c r="J1166" s="6">
        <v>9964</v>
      </c>
      <c r="K1166" s="33">
        <v>575</v>
      </c>
      <c r="L1166" s="5">
        <f t="shared" si="125"/>
        <v>5.7707747892412689E-2</v>
      </c>
      <c r="M1166" s="26">
        <f t="shared" si="126"/>
        <v>1099.2735</v>
      </c>
    </row>
    <row r="1167" spans="1:13" x14ac:dyDescent="0.25">
      <c r="A1167" s="16" t="str">
        <f t="shared" si="123"/>
        <v>June</v>
      </c>
      <c r="B1167" s="31">
        <v>44008</v>
      </c>
      <c r="C1167" s="32" t="s">
        <v>5</v>
      </c>
      <c r="D1167" s="9" t="str">
        <f t="shared" si="124"/>
        <v>44008 - T1</v>
      </c>
      <c r="E1167" s="32" t="s">
        <v>10</v>
      </c>
      <c r="F1167" s="2">
        <v>8000040</v>
      </c>
      <c r="G1167" s="4" t="str">
        <f>IFERROR(VLOOKUP(F1167,Lists!$C:$D,2,0), "N/A")</f>
        <v>WIP.MSM FLIPZ MILK CHOC SUPER MINI</v>
      </c>
      <c r="H1167" s="26">
        <f>IFERROR(VLOOKUP(F1167,Lists!$C:$F,4,0),0)</f>
        <v>1.21353</v>
      </c>
      <c r="I1167" s="7">
        <f t="shared" si="122"/>
        <v>7039</v>
      </c>
      <c r="J1167" s="6">
        <v>7000</v>
      </c>
      <c r="K1167" s="33">
        <v>39</v>
      </c>
      <c r="L1167" s="5">
        <f t="shared" si="125"/>
        <v>5.5714285714285718E-3</v>
      </c>
      <c r="M1167" s="26">
        <f t="shared" si="126"/>
        <v>47.327669999999998</v>
      </c>
    </row>
    <row r="1168" spans="1:13" x14ac:dyDescent="0.25">
      <c r="A1168" s="16" t="str">
        <f t="shared" si="123"/>
        <v>June</v>
      </c>
      <c r="B1168" s="31">
        <v>44008</v>
      </c>
      <c r="C1168" s="32" t="s">
        <v>5</v>
      </c>
      <c r="D1168" s="9" t="str">
        <f t="shared" si="124"/>
        <v>44008 - T1</v>
      </c>
      <c r="E1168" s="32" t="s">
        <v>11</v>
      </c>
      <c r="F1168" s="2">
        <v>8000034</v>
      </c>
      <c r="G1168" s="4" t="str">
        <f>IFERROR(VLOOKUP(F1168,Lists!$C:$D,2,0), "N/A")</f>
        <v>KS MILK CHOC MACADAMIA</v>
      </c>
      <c r="H1168" s="26">
        <f>IFERROR(VLOOKUP(F1168,Lists!$C:$F,4,0),0)</f>
        <v>3.8943099999999999</v>
      </c>
      <c r="I1168" s="7">
        <f t="shared" si="122"/>
        <v>9061</v>
      </c>
      <c r="J1168" s="6">
        <v>8800</v>
      </c>
      <c r="K1168" s="33">
        <v>261</v>
      </c>
      <c r="L1168" s="5">
        <f t="shared" si="125"/>
        <v>2.9659090909090909E-2</v>
      </c>
      <c r="M1168" s="26">
        <f t="shared" si="126"/>
        <v>1016.41491</v>
      </c>
    </row>
    <row r="1169" spans="1:13" x14ac:dyDescent="0.25">
      <c r="A1169" s="16" t="str">
        <f t="shared" si="123"/>
        <v>June</v>
      </c>
      <c r="B1169" s="31">
        <v>44008</v>
      </c>
      <c r="C1169" s="32" t="s">
        <v>5</v>
      </c>
      <c r="D1169" s="9" t="str">
        <f t="shared" si="124"/>
        <v>44008 - T1</v>
      </c>
      <c r="E1169" s="32" t="s">
        <v>12</v>
      </c>
      <c r="F1169" s="2">
        <v>8000031</v>
      </c>
      <c r="G1169" s="4" t="str">
        <f>IFERROR(VLOOKUP(F1169,Lists!$C:$D,2,0), "N/A")</f>
        <v>WIP.DCP FLIPZ  DARK CHOC PRETZEL</v>
      </c>
      <c r="H1169" s="26">
        <f>IFERROR(VLOOKUP(F1169,Lists!$C:$F,4,0),0)</f>
        <v>1.4516300000000002</v>
      </c>
      <c r="I1169" s="7">
        <f t="shared" si="122"/>
        <v>6062</v>
      </c>
      <c r="J1169" s="6">
        <v>6000</v>
      </c>
      <c r="K1169" s="33">
        <v>62</v>
      </c>
      <c r="L1169" s="5">
        <f t="shared" si="125"/>
        <v>1.0333333333333333E-2</v>
      </c>
      <c r="M1169" s="26">
        <f t="shared" si="126"/>
        <v>90.00106000000001</v>
      </c>
    </row>
    <row r="1170" spans="1:13" x14ac:dyDescent="0.25">
      <c r="A1170" s="16" t="str">
        <f t="shared" si="123"/>
        <v>June</v>
      </c>
      <c r="B1170" s="31">
        <v>44008</v>
      </c>
      <c r="C1170" s="32" t="s">
        <v>6</v>
      </c>
      <c r="D1170" s="9" t="str">
        <f t="shared" si="124"/>
        <v>44008 - T2</v>
      </c>
      <c r="E1170" s="32" t="s">
        <v>9</v>
      </c>
      <c r="F1170" s="2">
        <v>8000035</v>
      </c>
      <c r="G1170" s="4" t="str">
        <f>IFERROR(VLOOKUP(F1170,Lists!$C:$D,2,0), "N/A")</f>
        <v>TURTLES MILK CHOC ORIGINAL</v>
      </c>
      <c r="H1170" s="26">
        <f>IFERROR(VLOOKUP(F1170,Lists!$C:$F,4,0),0)</f>
        <v>1.91178</v>
      </c>
      <c r="I1170" s="7">
        <f t="shared" si="122"/>
        <v>14122</v>
      </c>
      <c r="J1170" s="6">
        <v>13526</v>
      </c>
      <c r="K1170" s="33">
        <v>596</v>
      </c>
      <c r="L1170" s="5">
        <f t="shared" si="125"/>
        <v>4.4063285524175662E-2</v>
      </c>
      <c r="M1170" s="26">
        <f t="shared" si="126"/>
        <v>1139.4208800000001</v>
      </c>
    </row>
    <row r="1171" spans="1:13" x14ac:dyDescent="0.25">
      <c r="A1171" s="16" t="str">
        <f t="shared" si="123"/>
        <v>June</v>
      </c>
      <c r="B1171" s="31">
        <v>44008</v>
      </c>
      <c r="C1171" s="32" t="s">
        <v>6</v>
      </c>
      <c r="D1171" s="9" t="str">
        <f t="shared" si="124"/>
        <v>44008 - T2</v>
      </c>
      <c r="E1171" s="32" t="s">
        <v>10</v>
      </c>
      <c r="F1171" s="2">
        <v>8000040</v>
      </c>
      <c r="G1171" s="4" t="str">
        <f>IFERROR(VLOOKUP(F1171,Lists!$C:$D,2,0), "N/A")</f>
        <v>WIP.MSM FLIPZ MILK CHOC SUPER MINI</v>
      </c>
      <c r="H1171" s="26">
        <f>IFERROR(VLOOKUP(F1171,Lists!$C:$F,4,0),0)</f>
        <v>1.21353</v>
      </c>
      <c r="I1171" s="7">
        <f t="shared" si="122"/>
        <v>11012</v>
      </c>
      <c r="J1171" s="6">
        <v>11000</v>
      </c>
      <c r="K1171" s="33">
        <v>12</v>
      </c>
      <c r="L1171" s="5">
        <f t="shared" si="125"/>
        <v>1.090909090909091E-3</v>
      </c>
      <c r="M1171" s="26">
        <f t="shared" si="126"/>
        <v>14.56236</v>
      </c>
    </row>
    <row r="1172" spans="1:13" x14ac:dyDescent="0.25">
      <c r="A1172" s="16" t="str">
        <f t="shared" si="123"/>
        <v>June</v>
      </c>
      <c r="B1172" s="31">
        <v>44008</v>
      </c>
      <c r="C1172" s="32" t="s">
        <v>6</v>
      </c>
      <c r="D1172" s="9" t="str">
        <f t="shared" si="124"/>
        <v>44008 - T2</v>
      </c>
      <c r="E1172" s="32" t="s">
        <v>11</v>
      </c>
      <c r="F1172" s="2">
        <v>8000034</v>
      </c>
      <c r="G1172" s="4" t="str">
        <f>IFERROR(VLOOKUP(F1172,Lists!$C:$D,2,0), "N/A")</f>
        <v>KS MILK CHOC MACADAMIA</v>
      </c>
      <c r="H1172" s="26">
        <f>IFERROR(VLOOKUP(F1172,Lists!$C:$F,4,0),0)</f>
        <v>3.8943099999999999</v>
      </c>
      <c r="I1172" s="7">
        <f t="shared" si="122"/>
        <v>11485</v>
      </c>
      <c r="J1172" s="6">
        <v>11200</v>
      </c>
      <c r="K1172" s="33">
        <v>285</v>
      </c>
      <c r="L1172" s="5">
        <f t="shared" si="125"/>
        <v>2.5446428571428571E-2</v>
      </c>
      <c r="M1172" s="26">
        <f t="shared" si="126"/>
        <v>1109.87835</v>
      </c>
    </row>
    <row r="1173" spans="1:13" x14ac:dyDescent="0.25">
      <c r="A1173" s="16" t="str">
        <f t="shared" si="123"/>
        <v>June</v>
      </c>
      <c r="B1173" s="31">
        <v>44008</v>
      </c>
      <c r="C1173" s="32" t="s">
        <v>6</v>
      </c>
      <c r="D1173" s="9" t="str">
        <f t="shared" si="124"/>
        <v>44008 - T2</v>
      </c>
      <c r="E1173" s="32" t="s">
        <v>15</v>
      </c>
      <c r="G1173" s="4" t="str">
        <f>IFERROR(VLOOKUP(F1173,Lists!$C:$D,2,0), "N/A")</f>
        <v>N/A</v>
      </c>
      <c r="H1173" s="26">
        <f>IFERROR(VLOOKUP(F1173,Lists!$C:$F,4,0),0)</f>
        <v>0</v>
      </c>
      <c r="I1173" s="7">
        <f t="shared" si="122"/>
        <v>16</v>
      </c>
      <c r="K1173" s="33">
        <v>16</v>
      </c>
      <c r="L1173" s="5">
        <f t="shared" si="125"/>
        <v>1</v>
      </c>
      <c r="M1173" s="26">
        <f t="shared" si="126"/>
        <v>0</v>
      </c>
    </row>
    <row r="1174" spans="1:13" x14ac:dyDescent="0.25">
      <c r="A1174" s="16" t="str">
        <f t="shared" si="123"/>
        <v>June</v>
      </c>
      <c r="B1174" s="31">
        <v>44009</v>
      </c>
      <c r="C1174" s="32" t="s">
        <v>5</v>
      </c>
      <c r="D1174" s="9" t="str">
        <f t="shared" si="124"/>
        <v>44009 - T1</v>
      </c>
      <c r="E1174" s="32" t="s">
        <v>9</v>
      </c>
      <c r="F1174" s="2">
        <v>8000035</v>
      </c>
      <c r="G1174" s="4" t="str">
        <f>IFERROR(VLOOKUP(F1174,Lists!$C:$D,2,0), "N/A")</f>
        <v>TURTLES MILK CHOC ORIGINAL</v>
      </c>
      <c r="H1174" s="26">
        <f>IFERROR(VLOOKUP(F1174,Lists!$C:$F,4,0),0)</f>
        <v>1.91178</v>
      </c>
      <c r="I1174" s="7">
        <f t="shared" si="122"/>
        <v>13036</v>
      </c>
      <c r="J1174" s="6">
        <v>12102</v>
      </c>
      <c r="K1174" s="33">
        <v>934</v>
      </c>
      <c r="L1174" s="5">
        <f t="shared" si="125"/>
        <v>7.7177326061807966E-2</v>
      </c>
      <c r="M1174" s="26">
        <f t="shared" si="126"/>
        <v>1785.6025200000001</v>
      </c>
    </row>
    <row r="1175" spans="1:13" x14ac:dyDescent="0.25">
      <c r="A1175" s="16" t="str">
        <f t="shared" si="123"/>
        <v>June</v>
      </c>
      <c r="B1175" s="31">
        <v>44009</v>
      </c>
      <c r="C1175" s="32" t="s">
        <v>5</v>
      </c>
      <c r="D1175" s="9" t="str">
        <f t="shared" si="124"/>
        <v>44009 - T1</v>
      </c>
      <c r="E1175" s="32" t="s">
        <v>10</v>
      </c>
      <c r="F1175" s="2">
        <v>8000040</v>
      </c>
      <c r="G1175" s="4" t="str">
        <f>IFERROR(VLOOKUP(F1175,Lists!$C:$D,2,0), "N/A")</f>
        <v>WIP.MSM FLIPZ MILK CHOC SUPER MINI</v>
      </c>
      <c r="H1175" s="26">
        <f>IFERROR(VLOOKUP(F1175,Lists!$C:$F,4,0),0)</f>
        <v>1.21353</v>
      </c>
      <c r="I1175" s="7">
        <f t="shared" si="122"/>
        <v>8110</v>
      </c>
      <c r="J1175" s="6">
        <v>8000</v>
      </c>
      <c r="K1175" s="33">
        <v>110</v>
      </c>
      <c r="L1175" s="5">
        <f t="shared" si="125"/>
        <v>1.375E-2</v>
      </c>
      <c r="M1175" s="26">
        <f t="shared" si="126"/>
        <v>133.48830000000001</v>
      </c>
    </row>
    <row r="1176" spans="1:13" x14ac:dyDescent="0.25">
      <c r="A1176" s="16" t="str">
        <f t="shared" si="123"/>
        <v>June</v>
      </c>
      <c r="B1176" s="31">
        <v>44009</v>
      </c>
      <c r="C1176" s="32" t="s">
        <v>5</v>
      </c>
      <c r="D1176" s="9" t="str">
        <f t="shared" si="124"/>
        <v>44009 - T1</v>
      </c>
      <c r="E1176" s="32" t="s">
        <v>11</v>
      </c>
      <c r="F1176" s="2">
        <v>8000034</v>
      </c>
      <c r="G1176" s="4" t="str">
        <f>IFERROR(VLOOKUP(F1176,Lists!$C:$D,2,0), "N/A")</f>
        <v>KS MILK CHOC MACADAMIA</v>
      </c>
      <c r="H1176" s="26">
        <f>IFERROR(VLOOKUP(F1176,Lists!$C:$F,4,0),0)</f>
        <v>3.8943099999999999</v>
      </c>
      <c r="I1176" s="7">
        <f t="shared" si="122"/>
        <v>12327</v>
      </c>
      <c r="J1176" s="6">
        <v>12000</v>
      </c>
      <c r="K1176" s="33">
        <v>327</v>
      </c>
      <c r="L1176" s="5">
        <f t="shared" si="125"/>
        <v>2.725E-2</v>
      </c>
      <c r="M1176" s="26">
        <f t="shared" si="126"/>
        <v>1273.4393700000001</v>
      </c>
    </row>
    <row r="1177" spans="1:13" x14ac:dyDescent="0.25">
      <c r="A1177" s="16" t="str">
        <f t="shared" si="123"/>
        <v>June</v>
      </c>
      <c r="B1177" s="31">
        <v>44009</v>
      </c>
      <c r="C1177" s="32" t="s">
        <v>6</v>
      </c>
      <c r="D1177" s="9" t="str">
        <f t="shared" si="124"/>
        <v>44009 - T2</v>
      </c>
      <c r="E1177" s="32" t="s">
        <v>9</v>
      </c>
      <c r="F1177" s="2">
        <v>8000035</v>
      </c>
      <c r="G1177" s="4" t="str">
        <f>IFERROR(VLOOKUP(F1177,Lists!$C:$D,2,0), "N/A")</f>
        <v>TURTLES MILK CHOC ORIGINAL</v>
      </c>
      <c r="H1177" s="26">
        <f>IFERROR(VLOOKUP(F1177,Lists!$C:$F,4,0),0)</f>
        <v>1.91178</v>
      </c>
      <c r="I1177" s="7">
        <f t="shared" si="122"/>
        <v>15827</v>
      </c>
      <c r="J1177" s="6">
        <v>15446</v>
      </c>
      <c r="K1177" s="33">
        <v>381</v>
      </c>
      <c r="L1177" s="5">
        <f t="shared" si="125"/>
        <v>2.4666580344425742E-2</v>
      </c>
      <c r="M1177" s="26">
        <f t="shared" si="126"/>
        <v>728.38818000000003</v>
      </c>
    </row>
    <row r="1178" spans="1:13" x14ac:dyDescent="0.25">
      <c r="A1178" s="16" t="str">
        <f t="shared" si="123"/>
        <v>June</v>
      </c>
      <c r="B1178" s="31">
        <v>44009</v>
      </c>
      <c r="C1178" s="32" t="s">
        <v>6</v>
      </c>
      <c r="D1178" s="9" t="str">
        <f t="shared" si="124"/>
        <v>44009 - T2</v>
      </c>
      <c r="E1178" s="32" t="s">
        <v>10</v>
      </c>
      <c r="F1178" s="2">
        <v>8000040</v>
      </c>
      <c r="G1178" s="4" t="str">
        <f>IFERROR(VLOOKUP(F1178,Lists!$C:$D,2,0), "N/A")</f>
        <v>WIP.MSM FLIPZ MILK CHOC SUPER MINI</v>
      </c>
      <c r="H1178" s="26">
        <f>IFERROR(VLOOKUP(F1178,Lists!$C:$F,4,0),0)</f>
        <v>1.21353</v>
      </c>
      <c r="I1178" s="7">
        <f t="shared" si="122"/>
        <v>12637</v>
      </c>
      <c r="J1178" s="6">
        <v>12500</v>
      </c>
      <c r="K1178" s="33">
        <v>137</v>
      </c>
      <c r="L1178" s="5">
        <f t="shared" si="125"/>
        <v>1.0959999999999999E-2</v>
      </c>
      <c r="M1178" s="26">
        <f t="shared" si="126"/>
        <v>166.25361000000001</v>
      </c>
    </row>
    <row r="1179" spans="1:13" x14ac:dyDescent="0.25">
      <c r="A1179" s="16" t="str">
        <f t="shared" si="123"/>
        <v>June</v>
      </c>
      <c r="B1179" s="31">
        <v>44009</v>
      </c>
      <c r="C1179" s="32" t="s">
        <v>6</v>
      </c>
      <c r="D1179" s="9" t="str">
        <f t="shared" si="124"/>
        <v>44009 - T2</v>
      </c>
      <c r="E1179" s="32" t="s">
        <v>11</v>
      </c>
      <c r="F1179" s="2">
        <v>8000034</v>
      </c>
      <c r="G1179" s="4" t="str">
        <f>IFERROR(VLOOKUP(F1179,Lists!$C:$D,2,0), "N/A")</f>
        <v>KS MILK CHOC MACADAMIA</v>
      </c>
      <c r="H1179" s="26">
        <f>IFERROR(VLOOKUP(F1179,Lists!$C:$F,4,0),0)</f>
        <v>3.8943099999999999</v>
      </c>
      <c r="I1179" s="7">
        <f t="shared" si="122"/>
        <v>12253</v>
      </c>
      <c r="J1179" s="6">
        <v>12000</v>
      </c>
      <c r="K1179" s="33">
        <v>253</v>
      </c>
      <c r="L1179" s="5">
        <f t="shared" si="125"/>
        <v>2.1083333333333332E-2</v>
      </c>
      <c r="M1179" s="26">
        <f t="shared" si="126"/>
        <v>985.26042999999993</v>
      </c>
    </row>
    <row r="1180" spans="1:13" x14ac:dyDescent="0.25">
      <c r="A1180" s="16" t="str">
        <f t="shared" si="123"/>
        <v>June</v>
      </c>
      <c r="B1180" s="31">
        <v>44009</v>
      </c>
      <c r="C1180" s="32" t="s">
        <v>6</v>
      </c>
      <c r="D1180" s="9" t="str">
        <f t="shared" si="124"/>
        <v>44009 - T2</v>
      </c>
      <c r="E1180" s="32" t="s">
        <v>15</v>
      </c>
      <c r="G1180" s="4" t="str">
        <f>IFERROR(VLOOKUP(F1180,Lists!$C:$D,2,0), "N/A")</f>
        <v>N/A</v>
      </c>
      <c r="H1180" s="26">
        <f>IFERROR(VLOOKUP(F1180,Lists!$C:$F,4,0),0)</f>
        <v>0</v>
      </c>
      <c r="I1180" s="7">
        <f t="shared" si="122"/>
        <v>6</v>
      </c>
      <c r="K1180" s="33">
        <v>6</v>
      </c>
      <c r="L1180" s="5">
        <f t="shared" si="125"/>
        <v>1</v>
      </c>
      <c r="M1180" s="26">
        <f t="shared" si="126"/>
        <v>0</v>
      </c>
    </row>
    <row r="1181" spans="1:13" x14ac:dyDescent="0.25">
      <c r="A1181" s="16" t="str">
        <f t="shared" si="123"/>
        <v>June</v>
      </c>
      <c r="B1181" s="31">
        <v>44010</v>
      </c>
      <c r="C1181" s="32" t="s">
        <v>5</v>
      </c>
      <c r="D1181" s="9" t="str">
        <f t="shared" si="124"/>
        <v>44010 - T1</v>
      </c>
      <c r="E1181" s="32" t="s">
        <v>9</v>
      </c>
      <c r="F1181" s="2">
        <v>8000035</v>
      </c>
      <c r="G1181" s="4" t="str">
        <f>IFERROR(VLOOKUP(F1181,Lists!$C:$D,2,0), "N/A")</f>
        <v>TURTLES MILK CHOC ORIGINAL</v>
      </c>
      <c r="H1181" s="26">
        <f>IFERROR(VLOOKUP(F1181,Lists!$C:$F,4,0),0)</f>
        <v>1.91178</v>
      </c>
      <c r="I1181" s="7">
        <f t="shared" si="122"/>
        <v>13979</v>
      </c>
      <c r="J1181" s="6">
        <v>12830</v>
      </c>
      <c r="K1181" s="33">
        <v>1149</v>
      </c>
      <c r="L1181" s="5">
        <f t="shared" si="125"/>
        <v>8.9555728760717074E-2</v>
      </c>
      <c r="M1181" s="26">
        <f t="shared" si="126"/>
        <v>2196.6352200000001</v>
      </c>
    </row>
    <row r="1182" spans="1:13" x14ac:dyDescent="0.25">
      <c r="A1182" s="16" t="str">
        <f t="shared" si="123"/>
        <v>June</v>
      </c>
      <c r="B1182" s="31">
        <v>44010</v>
      </c>
      <c r="C1182" s="32" t="s">
        <v>5</v>
      </c>
      <c r="D1182" s="9" t="str">
        <f t="shared" si="124"/>
        <v>44010 - T1</v>
      </c>
      <c r="E1182" s="32" t="s">
        <v>10</v>
      </c>
      <c r="F1182" s="2">
        <v>8000040</v>
      </c>
      <c r="G1182" s="4" t="str">
        <f>IFERROR(VLOOKUP(F1182,Lists!$C:$D,2,0), "N/A")</f>
        <v>WIP.MSM FLIPZ MILK CHOC SUPER MINI</v>
      </c>
      <c r="H1182" s="26">
        <f>IFERROR(VLOOKUP(F1182,Lists!$C:$F,4,0),0)</f>
        <v>1.21353</v>
      </c>
      <c r="I1182" s="7">
        <f t="shared" si="122"/>
        <v>7047</v>
      </c>
      <c r="J1182" s="6">
        <v>7000</v>
      </c>
      <c r="K1182" s="33">
        <v>47</v>
      </c>
      <c r="L1182" s="5">
        <f t="shared" si="125"/>
        <v>6.7142857142857143E-3</v>
      </c>
      <c r="M1182" s="26">
        <f t="shared" si="126"/>
        <v>57.035910000000001</v>
      </c>
    </row>
    <row r="1183" spans="1:13" x14ac:dyDescent="0.25">
      <c r="A1183" s="16" t="str">
        <f t="shared" si="123"/>
        <v>June</v>
      </c>
      <c r="B1183" s="31">
        <v>44010</v>
      </c>
      <c r="C1183" s="32" t="s">
        <v>5</v>
      </c>
      <c r="D1183" s="9" t="str">
        <f t="shared" si="124"/>
        <v>44010 - T1</v>
      </c>
      <c r="E1183" s="32" t="s">
        <v>11</v>
      </c>
      <c r="F1183" s="2">
        <v>8000034</v>
      </c>
      <c r="G1183" s="4" t="str">
        <f>IFERROR(VLOOKUP(F1183,Lists!$C:$D,2,0), "N/A")</f>
        <v>KS MILK CHOC MACADAMIA</v>
      </c>
      <c r="H1183" s="26">
        <f>IFERROR(VLOOKUP(F1183,Lists!$C:$F,4,0),0)</f>
        <v>3.8943099999999999</v>
      </c>
      <c r="I1183" s="7">
        <f t="shared" si="122"/>
        <v>12242</v>
      </c>
      <c r="J1183" s="6">
        <v>12000</v>
      </c>
      <c r="K1183" s="33">
        <v>242</v>
      </c>
      <c r="L1183" s="5">
        <f t="shared" si="125"/>
        <v>2.0166666666666666E-2</v>
      </c>
      <c r="M1183" s="26">
        <f t="shared" si="126"/>
        <v>942.42301999999995</v>
      </c>
    </row>
    <row r="1184" spans="1:13" x14ac:dyDescent="0.25">
      <c r="A1184" s="16" t="str">
        <f t="shared" si="123"/>
        <v>June</v>
      </c>
      <c r="B1184" s="31">
        <v>44010</v>
      </c>
      <c r="C1184" s="32" t="s">
        <v>5</v>
      </c>
      <c r="D1184" s="9" t="str">
        <f t="shared" si="124"/>
        <v>44010 - T1</v>
      </c>
      <c r="E1184" s="32" t="s">
        <v>12</v>
      </c>
      <c r="F1184" s="2">
        <v>8000055</v>
      </c>
      <c r="G1184" s="4" t="str">
        <f>IFERROR(VLOOKUP(F1184,Lists!$C:$D,2,0), "N/A")</f>
        <v>916.BF FLIPZ 25 LB BULK MILK CHOC</v>
      </c>
      <c r="H1184" s="26">
        <f>IFERROR(VLOOKUP(F1184,Lists!$C:$F,4,0),0)</f>
        <v>1.9508160000000001</v>
      </c>
      <c r="I1184" s="7">
        <f t="shared" si="122"/>
        <v>4082</v>
      </c>
      <c r="J1184" s="6">
        <v>4075</v>
      </c>
      <c r="K1184" s="33">
        <v>7</v>
      </c>
      <c r="L1184" s="5">
        <f t="shared" si="125"/>
        <v>1.7177914110429449E-3</v>
      </c>
      <c r="M1184" s="26">
        <f t="shared" si="126"/>
        <v>13.655712000000001</v>
      </c>
    </row>
    <row r="1185" spans="1:13" x14ac:dyDescent="0.25">
      <c r="A1185" s="16" t="str">
        <f t="shared" si="123"/>
        <v>June</v>
      </c>
      <c r="B1185" s="31">
        <v>44010</v>
      </c>
      <c r="C1185" s="32" t="s">
        <v>6</v>
      </c>
      <c r="D1185" s="9" t="str">
        <f t="shared" si="124"/>
        <v>44010 - T2</v>
      </c>
      <c r="E1185" s="32" t="s">
        <v>9</v>
      </c>
      <c r="F1185" s="2">
        <v>8000035</v>
      </c>
      <c r="G1185" s="4" t="str">
        <f>IFERROR(VLOOKUP(F1185,Lists!$C:$D,2,0), "N/A")</f>
        <v>TURTLES MILK CHOC ORIGINAL</v>
      </c>
      <c r="H1185" s="26">
        <f>IFERROR(VLOOKUP(F1185,Lists!$C:$F,4,0),0)</f>
        <v>1.91178</v>
      </c>
      <c r="I1185" s="7">
        <f t="shared" si="122"/>
        <v>15567</v>
      </c>
      <c r="J1185" s="6">
        <v>14969</v>
      </c>
      <c r="K1185" s="33">
        <v>598</v>
      </c>
      <c r="L1185" s="5">
        <f t="shared" si="125"/>
        <v>3.9949228405371101E-2</v>
      </c>
      <c r="M1185" s="26">
        <f t="shared" si="126"/>
        <v>1143.2444399999999</v>
      </c>
    </row>
    <row r="1186" spans="1:13" x14ac:dyDescent="0.25">
      <c r="A1186" s="16" t="str">
        <f t="shared" si="123"/>
        <v>June</v>
      </c>
      <c r="B1186" s="31">
        <v>44010</v>
      </c>
      <c r="C1186" s="32" t="s">
        <v>6</v>
      </c>
      <c r="D1186" s="9" t="str">
        <f t="shared" si="124"/>
        <v>44010 - T2</v>
      </c>
      <c r="E1186" s="32" t="s">
        <v>10</v>
      </c>
      <c r="F1186" s="2">
        <v>8000040</v>
      </c>
      <c r="G1186" s="4" t="str">
        <f>IFERROR(VLOOKUP(F1186,Lists!$C:$D,2,0), "N/A")</f>
        <v>WIP.MSM FLIPZ MILK CHOC SUPER MINI</v>
      </c>
      <c r="H1186" s="26">
        <f>IFERROR(VLOOKUP(F1186,Lists!$C:$F,4,0),0)</f>
        <v>1.21353</v>
      </c>
      <c r="I1186" s="7">
        <f t="shared" si="122"/>
        <v>11093</v>
      </c>
      <c r="J1186" s="6">
        <v>11000</v>
      </c>
      <c r="K1186" s="33">
        <v>93</v>
      </c>
      <c r="L1186" s="5">
        <f t="shared" si="125"/>
        <v>8.4545454545454542E-3</v>
      </c>
      <c r="M1186" s="26">
        <f t="shared" si="126"/>
        <v>112.85829</v>
      </c>
    </row>
    <row r="1187" spans="1:13" x14ac:dyDescent="0.25">
      <c r="A1187" s="16" t="str">
        <f t="shared" si="123"/>
        <v>June</v>
      </c>
      <c r="B1187" s="31">
        <v>44010</v>
      </c>
      <c r="C1187" s="32" t="s">
        <v>6</v>
      </c>
      <c r="D1187" s="9" t="str">
        <f t="shared" si="124"/>
        <v>44010 - T2</v>
      </c>
      <c r="E1187" s="32" t="s">
        <v>11</v>
      </c>
      <c r="F1187" s="2">
        <v>8000034</v>
      </c>
      <c r="G1187" s="4" t="str">
        <f>IFERROR(VLOOKUP(F1187,Lists!$C:$D,2,0), "N/A")</f>
        <v>KS MILK CHOC MACADAMIA</v>
      </c>
      <c r="H1187" s="26">
        <f>IFERROR(VLOOKUP(F1187,Lists!$C:$F,4,0),0)</f>
        <v>3.8943099999999999</v>
      </c>
      <c r="I1187" s="7">
        <f t="shared" si="122"/>
        <v>4156</v>
      </c>
      <c r="J1187" s="6">
        <v>4000</v>
      </c>
      <c r="K1187" s="33">
        <v>156</v>
      </c>
      <c r="L1187" s="5">
        <f t="shared" si="125"/>
        <v>3.9E-2</v>
      </c>
      <c r="M1187" s="26">
        <f t="shared" si="126"/>
        <v>607.51235999999994</v>
      </c>
    </row>
    <row r="1188" spans="1:13" x14ac:dyDescent="0.25">
      <c r="A1188" s="16" t="str">
        <f t="shared" si="123"/>
        <v>June</v>
      </c>
      <c r="B1188" s="31">
        <v>44011</v>
      </c>
      <c r="C1188" s="32" t="s">
        <v>7</v>
      </c>
      <c r="D1188" s="9" t="str">
        <f t="shared" si="124"/>
        <v>44011 - T3</v>
      </c>
      <c r="E1188" s="32" t="s">
        <v>9</v>
      </c>
      <c r="F1188" s="2">
        <v>8000035</v>
      </c>
      <c r="G1188" s="4" t="str">
        <f>IFERROR(VLOOKUP(F1188,Lists!$C:$D,2,0), "N/A")</f>
        <v>TURTLES MILK CHOC ORIGINAL</v>
      </c>
      <c r="H1188" s="26">
        <f>IFERROR(VLOOKUP(F1188,Lists!$C:$F,4,0),0)</f>
        <v>1.91178</v>
      </c>
      <c r="I1188" s="7">
        <f t="shared" si="122"/>
        <v>19095</v>
      </c>
      <c r="J1188" s="6">
        <v>18619</v>
      </c>
      <c r="K1188" s="33">
        <v>476</v>
      </c>
      <c r="L1188" s="5">
        <f t="shared" si="125"/>
        <v>2.5565282775659271E-2</v>
      </c>
      <c r="M1188" s="26">
        <f t="shared" si="126"/>
        <v>910.00728000000004</v>
      </c>
    </row>
    <row r="1189" spans="1:13" x14ac:dyDescent="0.25">
      <c r="A1189" s="16" t="str">
        <f t="shared" si="123"/>
        <v>June</v>
      </c>
      <c r="B1189" s="31">
        <v>44011</v>
      </c>
      <c r="C1189" s="32" t="s">
        <v>7</v>
      </c>
      <c r="D1189" s="9" t="str">
        <f t="shared" si="124"/>
        <v>44011 - T3</v>
      </c>
      <c r="E1189" s="32" t="s">
        <v>10</v>
      </c>
      <c r="F1189" s="2">
        <v>8000040</v>
      </c>
      <c r="G1189" s="4" t="str">
        <f>IFERROR(VLOOKUP(F1189,Lists!$C:$D,2,0), "N/A")</f>
        <v>WIP.MSM FLIPZ MILK CHOC SUPER MINI</v>
      </c>
      <c r="H1189" s="26">
        <f>IFERROR(VLOOKUP(F1189,Lists!$C:$F,4,0),0)</f>
        <v>1.21353</v>
      </c>
      <c r="I1189" s="7">
        <f t="shared" si="122"/>
        <v>8071</v>
      </c>
      <c r="J1189" s="6">
        <v>8000</v>
      </c>
      <c r="K1189" s="33">
        <v>71</v>
      </c>
      <c r="L1189" s="5">
        <f t="shared" si="125"/>
        <v>8.8749999999999992E-3</v>
      </c>
      <c r="M1189" s="26">
        <f t="shared" si="126"/>
        <v>86.160629999999998</v>
      </c>
    </row>
    <row r="1190" spans="1:13" x14ac:dyDescent="0.25">
      <c r="A1190" s="16" t="str">
        <f t="shared" si="123"/>
        <v>June</v>
      </c>
      <c r="B1190" s="31">
        <v>44011</v>
      </c>
      <c r="C1190" s="32" t="s">
        <v>7</v>
      </c>
      <c r="D1190" s="9" t="str">
        <f t="shared" si="124"/>
        <v>44011 - T3</v>
      </c>
      <c r="E1190" s="32" t="s">
        <v>11</v>
      </c>
      <c r="F1190" s="2">
        <v>8000034</v>
      </c>
      <c r="G1190" s="4" t="str">
        <f>IFERROR(VLOOKUP(F1190,Lists!$C:$D,2,0), "N/A")</f>
        <v>KS MILK CHOC MACADAMIA</v>
      </c>
      <c r="H1190" s="26">
        <f>IFERROR(VLOOKUP(F1190,Lists!$C:$F,4,0),0)</f>
        <v>3.8943099999999999</v>
      </c>
      <c r="I1190" s="7">
        <f t="shared" si="122"/>
        <v>12032</v>
      </c>
      <c r="J1190" s="6">
        <v>12000</v>
      </c>
      <c r="K1190" s="33">
        <v>32</v>
      </c>
      <c r="L1190" s="5">
        <f t="shared" si="125"/>
        <v>2.6666666666666666E-3</v>
      </c>
      <c r="M1190" s="26">
        <f t="shared" si="126"/>
        <v>124.61792</v>
      </c>
    </row>
    <row r="1191" spans="1:13" x14ac:dyDescent="0.25">
      <c r="A1191" s="16" t="str">
        <f t="shared" si="123"/>
        <v>June</v>
      </c>
      <c r="B1191" s="31">
        <v>44011</v>
      </c>
      <c r="C1191" s="32" t="s">
        <v>7</v>
      </c>
      <c r="D1191" s="9" t="str">
        <f t="shared" si="124"/>
        <v>44011 - T3</v>
      </c>
      <c r="E1191" s="32" t="s">
        <v>12</v>
      </c>
      <c r="F1191" s="2">
        <v>8000055</v>
      </c>
      <c r="G1191" s="4" t="str">
        <f>IFERROR(VLOOKUP(F1191,Lists!$C:$D,2,0), "N/A")</f>
        <v>916.BF FLIPZ 25 LB BULK MILK CHOC</v>
      </c>
      <c r="H1191" s="26">
        <f>IFERROR(VLOOKUP(F1191,Lists!$C:$F,4,0),0)</f>
        <v>1.9508160000000001</v>
      </c>
      <c r="I1191" s="7">
        <f t="shared" si="122"/>
        <v>7107</v>
      </c>
      <c r="J1191" s="6">
        <v>7000</v>
      </c>
      <c r="K1191" s="33">
        <v>107</v>
      </c>
      <c r="L1191" s="5">
        <f t="shared" si="125"/>
        <v>1.5285714285714286E-2</v>
      </c>
      <c r="M1191" s="26">
        <f t="shared" si="126"/>
        <v>208.737312</v>
      </c>
    </row>
    <row r="1192" spans="1:13" x14ac:dyDescent="0.25">
      <c r="A1192" s="16" t="str">
        <f t="shared" si="123"/>
        <v>June</v>
      </c>
      <c r="B1192" s="31">
        <v>44011</v>
      </c>
      <c r="C1192" s="32" t="s">
        <v>8</v>
      </c>
      <c r="D1192" s="9" t="str">
        <f t="shared" si="124"/>
        <v>44011 - T4</v>
      </c>
      <c r="E1192" s="32" t="s">
        <v>9</v>
      </c>
      <c r="F1192" s="2">
        <v>8000035</v>
      </c>
      <c r="G1192" s="4" t="str">
        <f>IFERROR(VLOOKUP(F1192,Lists!$C:$D,2,0), "N/A")</f>
        <v>TURTLES MILK CHOC ORIGINAL</v>
      </c>
      <c r="H1192" s="26">
        <f>IFERROR(VLOOKUP(F1192,Lists!$C:$F,4,0),0)</f>
        <v>1.91178</v>
      </c>
      <c r="I1192" s="7">
        <f t="shared" si="122"/>
        <v>16086</v>
      </c>
      <c r="J1192" s="6">
        <v>15752</v>
      </c>
      <c r="K1192" s="33">
        <v>334</v>
      </c>
      <c r="L1192" s="5">
        <f t="shared" si="125"/>
        <v>2.1203656678517015E-2</v>
      </c>
      <c r="M1192" s="26">
        <f t="shared" si="126"/>
        <v>638.53452000000004</v>
      </c>
    </row>
    <row r="1193" spans="1:13" x14ac:dyDescent="0.25">
      <c r="A1193" s="16" t="str">
        <f t="shared" si="123"/>
        <v>June</v>
      </c>
      <c r="B1193" s="31">
        <v>44011</v>
      </c>
      <c r="C1193" s="32" t="s">
        <v>8</v>
      </c>
      <c r="D1193" s="9" t="str">
        <f t="shared" si="124"/>
        <v>44011 - T4</v>
      </c>
      <c r="E1193" s="32" t="s">
        <v>10</v>
      </c>
      <c r="F1193" s="2">
        <v>8000040</v>
      </c>
      <c r="G1193" s="4" t="str">
        <f>IFERROR(VLOOKUP(F1193,Lists!$C:$D,2,0), "N/A")</f>
        <v>WIP.MSM FLIPZ MILK CHOC SUPER MINI</v>
      </c>
      <c r="H1193" s="26">
        <f>IFERROR(VLOOKUP(F1193,Lists!$C:$F,4,0),0)</f>
        <v>1.21353</v>
      </c>
      <c r="I1193" s="7">
        <f t="shared" si="122"/>
        <v>3</v>
      </c>
      <c r="J1193" s="6">
        <v>0</v>
      </c>
      <c r="K1193" s="33">
        <v>3</v>
      </c>
      <c r="L1193" s="5">
        <f t="shared" si="125"/>
        <v>1</v>
      </c>
      <c r="M1193" s="26">
        <f t="shared" si="126"/>
        <v>3.64059</v>
      </c>
    </row>
    <row r="1194" spans="1:13" x14ac:dyDescent="0.25">
      <c r="A1194" s="16" t="str">
        <f t="shared" si="123"/>
        <v>June</v>
      </c>
      <c r="B1194" s="31">
        <v>44011</v>
      </c>
      <c r="C1194" s="32" t="s">
        <v>8</v>
      </c>
      <c r="D1194" s="9" t="str">
        <f t="shared" si="124"/>
        <v>44011 - T4</v>
      </c>
      <c r="E1194" s="32" t="s">
        <v>11</v>
      </c>
      <c r="F1194" s="2">
        <v>8000034</v>
      </c>
      <c r="G1194" s="4" t="str">
        <f>IFERROR(VLOOKUP(F1194,Lists!$C:$D,2,0), "N/A")</f>
        <v>KS MILK CHOC MACADAMIA</v>
      </c>
      <c r="H1194" s="26">
        <f>IFERROR(VLOOKUP(F1194,Lists!$C:$F,4,0),0)</f>
        <v>3.8943099999999999</v>
      </c>
      <c r="I1194" s="7">
        <f t="shared" si="122"/>
        <v>11455</v>
      </c>
      <c r="J1194" s="6">
        <v>11200</v>
      </c>
      <c r="K1194" s="33">
        <v>255</v>
      </c>
      <c r="L1194" s="5">
        <f t="shared" si="125"/>
        <v>2.2767857142857142E-2</v>
      </c>
      <c r="M1194" s="26">
        <f t="shared" si="126"/>
        <v>993.04904999999997</v>
      </c>
    </row>
    <row r="1195" spans="1:13" x14ac:dyDescent="0.25">
      <c r="A1195" s="16" t="str">
        <f t="shared" si="123"/>
        <v>June</v>
      </c>
      <c r="B1195" s="31">
        <v>44011</v>
      </c>
      <c r="C1195" s="32" t="s">
        <v>8</v>
      </c>
      <c r="D1195" s="9" t="str">
        <f t="shared" si="124"/>
        <v>44011 - T4</v>
      </c>
      <c r="E1195" s="32" t="s">
        <v>12</v>
      </c>
      <c r="F1195" s="2">
        <v>8000055</v>
      </c>
      <c r="G1195" s="4" t="str">
        <f>IFERROR(VLOOKUP(F1195,Lists!$C:$D,2,0), "N/A")</f>
        <v>916.BF FLIPZ 25 LB BULK MILK CHOC</v>
      </c>
      <c r="H1195" s="26">
        <f>IFERROR(VLOOKUP(F1195,Lists!$C:$F,4,0),0)</f>
        <v>1.9508160000000001</v>
      </c>
      <c r="I1195" s="7">
        <f t="shared" si="122"/>
        <v>2007</v>
      </c>
      <c r="J1195" s="6">
        <v>2000</v>
      </c>
      <c r="K1195" s="33">
        <v>7</v>
      </c>
      <c r="L1195" s="5">
        <f t="shared" si="125"/>
        <v>3.5000000000000001E-3</v>
      </c>
      <c r="M1195" s="26">
        <f t="shared" si="126"/>
        <v>13.655712000000001</v>
      </c>
    </row>
    <row r="1196" spans="1:13" x14ac:dyDescent="0.25">
      <c r="A1196" s="16" t="str">
        <f t="shared" si="123"/>
        <v>June</v>
      </c>
      <c r="B1196" s="31">
        <v>44012</v>
      </c>
      <c r="C1196" s="32" t="s">
        <v>7</v>
      </c>
      <c r="D1196" s="9" t="str">
        <f t="shared" si="124"/>
        <v>44012 - T3</v>
      </c>
      <c r="E1196" s="32" t="s">
        <v>11</v>
      </c>
      <c r="F1196" s="2">
        <v>8000034</v>
      </c>
      <c r="G1196" s="4" t="str">
        <f>IFERROR(VLOOKUP(F1196,Lists!$C:$D,2,0), "N/A")</f>
        <v>KS MILK CHOC MACADAMIA</v>
      </c>
      <c r="H1196" s="26">
        <f>IFERROR(VLOOKUP(F1196,Lists!$C:$F,4,0),0)</f>
        <v>3.8943099999999999</v>
      </c>
      <c r="I1196" s="7">
        <f t="shared" si="122"/>
        <v>11240</v>
      </c>
      <c r="J1196" s="6">
        <v>11200</v>
      </c>
      <c r="K1196" s="33">
        <v>40</v>
      </c>
      <c r="L1196" s="5">
        <f t="shared" si="125"/>
        <v>3.5714285714285713E-3</v>
      </c>
      <c r="M1196" s="26">
        <f t="shared" si="126"/>
        <v>155.7724</v>
      </c>
    </row>
    <row r="1197" spans="1:13" x14ac:dyDescent="0.25">
      <c r="A1197" s="16" t="str">
        <f t="shared" si="123"/>
        <v>June</v>
      </c>
      <c r="B1197" s="31">
        <v>44012</v>
      </c>
      <c r="C1197" s="32" t="s">
        <v>7</v>
      </c>
      <c r="D1197" s="9" t="str">
        <f t="shared" si="124"/>
        <v>44012 - T3</v>
      </c>
      <c r="E1197" s="32" t="s">
        <v>12</v>
      </c>
      <c r="F1197" s="2">
        <v>8000055</v>
      </c>
      <c r="G1197" s="4" t="str">
        <f>IFERROR(VLOOKUP(F1197,Lists!$C:$D,2,0), "N/A")</f>
        <v>916.BF FLIPZ 25 LB BULK MILK CHOC</v>
      </c>
      <c r="H1197" s="26">
        <f>IFERROR(VLOOKUP(F1197,Lists!$C:$F,4,0),0)</f>
        <v>1.9508160000000001</v>
      </c>
      <c r="I1197" s="7">
        <f t="shared" si="122"/>
        <v>9068</v>
      </c>
      <c r="J1197" s="6">
        <f>360*25</f>
        <v>9000</v>
      </c>
      <c r="K1197" s="33">
        <v>68</v>
      </c>
      <c r="L1197" s="5">
        <f t="shared" si="125"/>
        <v>7.5555555555555558E-3</v>
      </c>
      <c r="M1197" s="26">
        <f t="shared" si="126"/>
        <v>132.65548800000002</v>
      </c>
    </row>
    <row r="1198" spans="1:13" x14ac:dyDescent="0.25">
      <c r="A1198" s="16" t="str">
        <f t="shared" si="123"/>
        <v>June</v>
      </c>
      <c r="B1198" s="31">
        <v>44012</v>
      </c>
      <c r="C1198" s="32" t="s">
        <v>7</v>
      </c>
      <c r="D1198" s="9" t="str">
        <f t="shared" si="124"/>
        <v>44012 - T3</v>
      </c>
      <c r="E1198" s="32" t="s">
        <v>15</v>
      </c>
      <c r="G1198" s="4" t="str">
        <f>IFERROR(VLOOKUP(F1198,Lists!$C:$D,2,0), "N/A")</f>
        <v>N/A</v>
      </c>
      <c r="H1198" s="26">
        <f>IFERROR(VLOOKUP(F1198,Lists!$C:$F,4,0),0)</f>
        <v>0</v>
      </c>
      <c r="I1198" s="7">
        <f t="shared" ref="I1198:I1261" si="127">J1198+K1198</f>
        <v>77</v>
      </c>
      <c r="K1198" s="33">
        <v>77</v>
      </c>
      <c r="L1198" s="5">
        <f t="shared" si="125"/>
        <v>1</v>
      </c>
      <c r="M1198" s="26">
        <f t="shared" si="126"/>
        <v>0</v>
      </c>
    </row>
    <row r="1199" spans="1:13" x14ac:dyDescent="0.25">
      <c r="A1199" s="16" t="str">
        <f t="shared" si="123"/>
        <v>June</v>
      </c>
      <c r="B1199" s="31">
        <v>44012</v>
      </c>
      <c r="C1199" s="32" t="s">
        <v>8</v>
      </c>
      <c r="D1199" s="9" t="str">
        <f t="shared" si="124"/>
        <v>44012 - T4</v>
      </c>
      <c r="E1199" s="32" t="s">
        <v>11</v>
      </c>
      <c r="F1199" s="2">
        <v>8000034</v>
      </c>
      <c r="G1199" s="4" t="str">
        <f>IFERROR(VLOOKUP(F1199,Lists!$C:$D,2,0), "N/A")</f>
        <v>KS MILK CHOC MACADAMIA</v>
      </c>
      <c r="H1199" s="26">
        <f>IFERROR(VLOOKUP(F1199,Lists!$C:$F,4,0),0)</f>
        <v>3.8943099999999999</v>
      </c>
      <c r="I1199" s="7">
        <f t="shared" si="127"/>
        <v>8022</v>
      </c>
      <c r="J1199" s="6">
        <v>8000</v>
      </c>
      <c r="K1199" s="33">
        <v>22</v>
      </c>
      <c r="L1199" s="5">
        <f t="shared" si="125"/>
        <v>2.7499999999999998E-3</v>
      </c>
      <c r="M1199" s="26">
        <f t="shared" si="126"/>
        <v>85.674819999999997</v>
      </c>
    </row>
    <row r="1200" spans="1:13" x14ac:dyDescent="0.25">
      <c r="A1200" s="16" t="str">
        <f t="shared" si="123"/>
        <v>June</v>
      </c>
      <c r="B1200" s="31">
        <v>44012</v>
      </c>
      <c r="C1200" s="32" t="s">
        <v>8</v>
      </c>
      <c r="D1200" s="9" t="str">
        <f t="shared" si="124"/>
        <v>44012 - T4</v>
      </c>
      <c r="E1200" s="32" t="s">
        <v>12</v>
      </c>
      <c r="F1200" s="2">
        <v>8000055</v>
      </c>
      <c r="G1200" s="4" t="str">
        <f>IFERROR(VLOOKUP(F1200,Lists!$C:$D,2,0), "N/A")</f>
        <v>916.BF FLIPZ 25 LB BULK MILK CHOC</v>
      </c>
      <c r="H1200" s="26">
        <f>IFERROR(VLOOKUP(F1200,Lists!$C:$F,4,0),0)</f>
        <v>1.9508160000000001</v>
      </c>
      <c r="I1200" s="7">
        <f t="shared" si="127"/>
        <v>9045</v>
      </c>
      <c r="J1200" s="6">
        <v>9000</v>
      </c>
      <c r="K1200" s="33">
        <v>45</v>
      </c>
      <c r="L1200" s="5">
        <f t="shared" si="125"/>
        <v>5.0000000000000001E-3</v>
      </c>
      <c r="M1200" s="26">
        <f t="shared" si="126"/>
        <v>87.786720000000003</v>
      </c>
    </row>
    <row r="1201" spans="1:13" x14ac:dyDescent="0.25">
      <c r="A1201" s="16" t="str">
        <f t="shared" si="123"/>
        <v>July</v>
      </c>
      <c r="B1201" s="31">
        <v>44013</v>
      </c>
      <c r="C1201" s="32" t="s">
        <v>5</v>
      </c>
      <c r="D1201" s="9" t="str">
        <f t="shared" si="124"/>
        <v>44013 - T1</v>
      </c>
      <c r="E1201" s="32" t="s">
        <v>10</v>
      </c>
      <c r="F1201" s="2">
        <v>8000040</v>
      </c>
      <c r="G1201" s="4" t="str">
        <f>IFERROR(VLOOKUP(F1201,Lists!$C:$D,2,0), "N/A")</f>
        <v>WIP.MSM FLIPZ MILK CHOC SUPER MINI</v>
      </c>
      <c r="H1201" s="26">
        <f>IFERROR(VLOOKUP(F1201,Lists!$C:$F,4,0),0)</f>
        <v>1.21353</v>
      </c>
      <c r="I1201" s="7">
        <f t="shared" si="127"/>
        <v>7127</v>
      </c>
      <c r="J1201" s="6">
        <f>280*25</f>
        <v>7000</v>
      </c>
      <c r="K1201" s="33">
        <v>127</v>
      </c>
      <c r="L1201" s="5">
        <f t="shared" si="125"/>
        <v>1.8142857142857141E-2</v>
      </c>
      <c r="M1201" s="26">
        <f t="shared" si="126"/>
        <v>154.11831000000001</v>
      </c>
    </row>
    <row r="1202" spans="1:13" x14ac:dyDescent="0.25">
      <c r="A1202" s="16" t="str">
        <f t="shared" si="123"/>
        <v>July</v>
      </c>
      <c r="B1202" s="31">
        <v>44013</v>
      </c>
      <c r="C1202" s="32" t="s">
        <v>5</v>
      </c>
      <c r="D1202" s="9" t="str">
        <f t="shared" si="124"/>
        <v>44013 - T1</v>
      </c>
      <c r="E1202" s="32" t="s">
        <v>11</v>
      </c>
      <c r="F1202" s="2">
        <v>8000034</v>
      </c>
      <c r="G1202" s="4" t="str">
        <f>IFERROR(VLOOKUP(F1202,Lists!$C:$D,2,0), "N/A")</f>
        <v>KS MILK CHOC MACADAMIA</v>
      </c>
      <c r="H1202" s="26">
        <f>IFERROR(VLOOKUP(F1202,Lists!$C:$F,4,0),0)</f>
        <v>3.8943099999999999</v>
      </c>
      <c r="I1202" s="7">
        <f t="shared" si="127"/>
        <v>13116</v>
      </c>
      <c r="J1202" s="6">
        <v>12800</v>
      </c>
      <c r="K1202" s="33">
        <v>316</v>
      </c>
      <c r="L1202" s="5">
        <f t="shared" si="125"/>
        <v>2.4687500000000001E-2</v>
      </c>
      <c r="M1202" s="26">
        <f t="shared" si="126"/>
        <v>1230.60196</v>
      </c>
    </row>
    <row r="1203" spans="1:13" x14ac:dyDescent="0.25">
      <c r="A1203" s="16" t="str">
        <f t="shared" ref="A1203:A1266" si="128">TEXT(B1203,"mmmm")</f>
        <v>July</v>
      </c>
      <c r="B1203" s="31">
        <v>44013</v>
      </c>
      <c r="C1203" s="32" t="s">
        <v>5</v>
      </c>
      <c r="D1203" s="9" t="str">
        <f t="shared" si="124"/>
        <v>44013 - T1</v>
      </c>
      <c r="E1203" s="32" t="s">
        <v>12</v>
      </c>
      <c r="F1203" s="2">
        <v>8000055</v>
      </c>
      <c r="G1203" s="4" t="str">
        <f>IFERROR(VLOOKUP(F1203,Lists!$C:$D,2,0), "N/A")</f>
        <v>916.BF FLIPZ 25 LB BULK MILK CHOC</v>
      </c>
      <c r="H1203" s="26">
        <f>IFERROR(VLOOKUP(F1203,Lists!$C:$F,4,0),0)</f>
        <v>1.9508160000000001</v>
      </c>
      <c r="I1203" s="7">
        <f t="shared" si="127"/>
        <v>9110</v>
      </c>
      <c r="J1203" s="6">
        <f>360*25</f>
        <v>9000</v>
      </c>
      <c r="K1203" s="33">
        <v>110</v>
      </c>
      <c r="L1203" s="5">
        <f t="shared" si="125"/>
        <v>1.2222222222222223E-2</v>
      </c>
      <c r="M1203" s="26">
        <f t="shared" si="126"/>
        <v>214.58976000000001</v>
      </c>
    </row>
    <row r="1204" spans="1:13" x14ac:dyDescent="0.25">
      <c r="A1204" s="16" t="str">
        <f t="shared" si="128"/>
        <v>July</v>
      </c>
      <c r="B1204" s="31">
        <v>44013</v>
      </c>
      <c r="C1204" s="32" t="s">
        <v>5</v>
      </c>
      <c r="D1204" s="9" t="str">
        <f t="shared" si="124"/>
        <v>44013 - T1</v>
      </c>
      <c r="E1204" s="32" t="s">
        <v>15</v>
      </c>
      <c r="G1204" s="4" t="str">
        <f>IFERROR(VLOOKUP(F1204,Lists!$C:$D,2,0), "N/A")</f>
        <v>N/A</v>
      </c>
      <c r="H1204" s="26">
        <f>IFERROR(VLOOKUP(F1204,Lists!$C:$F,4,0),0)</f>
        <v>0</v>
      </c>
      <c r="I1204" s="7">
        <f t="shared" si="127"/>
        <v>8</v>
      </c>
      <c r="K1204" s="33">
        <v>8</v>
      </c>
      <c r="L1204" s="5">
        <f t="shared" si="125"/>
        <v>1</v>
      </c>
      <c r="M1204" s="26">
        <f t="shared" si="126"/>
        <v>0</v>
      </c>
    </row>
    <row r="1205" spans="1:13" x14ac:dyDescent="0.25">
      <c r="A1205" s="16" t="str">
        <f t="shared" si="128"/>
        <v>July</v>
      </c>
      <c r="B1205" s="31">
        <v>44013</v>
      </c>
      <c r="C1205" s="32" t="s">
        <v>6</v>
      </c>
      <c r="D1205" s="9" t="str">
        <f t="shared" si="124"/>
        <v>44013 - T2</v>
      </c>
      <c r="E1205" s="32" t="s">
        <v>9</v>
      </c>
      <c r="G1205" s="4" t="str">
        <f>IFERROR(VLOOKUP(F1205,Lists!$C:$D,2,0), "N/A")</f>
        <v>N/A</v>
      </c>
      <c r="H1205" s="26">
        <f>IFERROR(VLOOKUP(F1205,Lists!$C:$F,4,0),0)</f>
        <v>0</v>
      </c>
      <c r="I1205" s="7">
        <f t="shared" si="127"/>
        <v>198</v>
      </c>
      <c r="K1205" s="33">
        <v>198</v>
      </c>
      <c r="L1205" s="5">
        <f t="shared" si="125"/>
        <v>1</v>
      </c>
      <c r="M1205" s="26">
        <f t="shared" si="126"/>
        <v>0</v>
      </c>
    </row>
    <row r="1206" spans="1:13" x14ac:dyDescent="0.25">
      <c r="A1206" s="16" t="str">
        <f t="shared" si="128"/>
        <v>July</v>
      </c>
      <c r="B1206" s="31">
        <v>44013</v>
      </c>
      <c r="C1206" s="32" t="s">
        <v>6</v>
      </c>
      <c r="D1206" s="9" t="str">
        <f t="shared" si="124"/>
        <v>44013 - T2</v>
      </c>
      <c r="E1206" s="32" t="s">
        <v>10</v>
      </c>
      <c r="F1206" s="2">
        <v>8000040</v>
      </c>
      <c r="G1206" s="4" t="str">
        <f>IFERROR(VLOOKUP(F1206,Lists!$C:$D,2,0), "N/A")</f>
        <v>WIP.MSM FLIPZ MILK CHOC SUPER MINI</v>
      </c>
      <c r="H1206" s="26">
        <f>IFERROR(VLOOKUP(F1206,Lists!$C:$F,4,0),0)</f>
        <v>1.21353</v>
      </c>
      <c r="I1206" s="7">
        <f t="shared" si="127"/>
        <v>9014</v>
      </c>
      <c r="J1206" s="6">
        <f>360*25</f>
        <v>9000</v>
      </c>
      <c r="K1206" s="33">
        <v>14</v>
      </c>
      <c r="L1206" s="5">
        <f t="shared" si="125"/>
        <v>1.5555555555555555E-3</v>
      </c>
      <c r="M1206" s="26">
        <f t="shared" si="126"/>
        <v>16.989419999999999</v>
      </c>
    </row>
    <row r="1207" spans="1:13" x14ac:dyDescent="0.25">
      <c r="A1207" s="16" t="str">
        <f t="shared" si="128"/>
        <v>July</v>
      </c>
      <c r="B1207" s="31">
        <v>44013</v>
      </c>
      <c r="C1207" s="32" t="s">
        <v>6</v>
      </c>
      <c r="D1207" s="9" t="str">
        <f t="shared" si="124"/>
        <v>44013 - T2</v>
      </c>
      <c r="E1207" s="32" t="s">
        <v>11</v>
      </c>
      <c r="F1207" s="2">
        <v>8000034</v>
      </c>
      <c r="G1207" s="4" t="str">
        <f>IFERROR(VLOOKUP(F1207,Lists!$C:$D,2,0), "N/A")</f>
        <v>KS MILK CHOC MACADAMIA</v>
      </c>
      <c r="H1207" s="26">
        <f>IFERROR(VLOOKUP(F1207,Lists!$C:$F,4,0),0)</f>
        <v>3.8943099999999999</v>
      </c>
      <c r="I1207" s="7">
        <f t="shared" si="127"/>
        <v>10847</v>
      </c>
      <c r="J1207" s="6">
        <v>10400</v>
      </c>
      <c r="K1207" s="33">
        <v>447</v>
      </c>
      <c r="L1207" s="5">
        <f t="shared" si="125"/>
        <v>4.2980769230769232E-2</v>
      </c>
      <c r="M1207" s="26">
        <f t="shared" si="126"/>
        <v>1740.75657</v>
      </c>
    </row>
    <row r="1208" spans="1:13" x14ac:dyDescent="0.25">
      <c r="A1208" s="16" t="str">
        <f t="shared" si="128"/>
        <v>July</v>
      </c>
      <c r="B1208" s="31">
        <v>44013</v>
      </c>
      <c r="C1208" s="32" t="s">
        <v>6</v>
      </c>
      <c r="D1208" s="9" t="str">
        <f t="shared" si="124"/>
        <v>44013 - T2</v>
      </c>
      <c r="E1208" s="32" t="s">
        <v>15</v>
      </c>
      <c r="G1208" s="4" t="str">
        <f>IFERROR(VLOOKUP(F1208,Lists!$C:$D,2,0), "N/A")</f>
        <v>N/A</v>
      </c>
      <c r="H1208" s="26">
        <f>IFERROR(VLOOKUP(F1208,Lists!$C:$F,4,0),0)</f>
        <v>0</v>
      </c>
      <c r="I1208" s="7">
        <f t="shared" si="127"/>
        <v>7</v>
      </c>
      <c r="K1208" s="33">
        <v>7</v>
      </c>
      <c r="L1208" s="5">
        <f t="shared" si="125"/>
        <v>1</v>
      </c>
      <c r="M1208" s="26">
        <f t="shared" si="126"/>
        <v>0</v>
      </c>
    </row>
    <row r="1209" spans="1:13" x14ac:dyDescent="0.25">
      <c r="A1209" s="16" t="str">
        <f t="shared" ref="A1209" si="129">TEXT(B1209,"mmmm")</f>
        <v>July</v>
      </c>
      <c r="B1209" s="31">
        <v>44013</v>
      </c>
      <c r="C1209" s="32" t="s">
        <v>6</v>
      </c>
      <c r="D1209" s="9" t="str">
        <f t="shared" si="124"/>
        <v>44013 - T2</v>
      </c>
      <c r="E1209" s="32" t="s">
        <v>12</v>
      </c>
      <c r="F1209" s="2">
        <v>8000055</v>
      </c>
      <c r="G1209" s="4" t="str">
        <f>IFERROR(VLOOKUP(F1209,Lists!$C:$D,2,0), "N/A")</f>
        <v>916.BF FLIPZ 25 LB BULK MILK CHOC</v>
      </c>
      <c r="H1209" s="26">
        <f>IFERROR(VLOOKUP(F1209,Lists!$C:$F,4,0),0)</f>
        <v>1.9508160000000001</v>
      </c>
      <c r="I1209" s="7">
        <f t="shared" si="127"/>
        <v>9046</v>
      </c>
      <c r="J1209" s="6">
        <f>360*25</f>
        <v>9000</v>
      </c>
      <c r="K1209" s="33">
        <v>46</v>
      </c>
      <c r="L1209" s="5">
        <f t="shared" si="125"/>
        <v>5.1111111111111114E-3</v>
      </c>
      <c r="M1209" s="26">
        <f t="shared" si="126"/>
        <v>89.737536000000006</v>
      </c>
    </row>
    <row r="1210" spans="1:13" x14ac:dyDescent="0.25">
      <c r="A1210" s="16" t="str">
        <f t="shared" si="128"/>
        <v>July</v>
      </c>
      <c r="B1210" s="31">
        <v>44014</v>
      </c>
      <c r="C1210" s="32" t="s">
        <v>5</v>
      </c>
      <c r="D1210" s="9" t="str">
        <f t="shared" si="124"/>
        <v>44014 - T1</v>
      </c>
      <c r="E1210" s="32" t="s">
        <v>9</v>
      </c>
      <c r="F1210" s="2">
        <v>8000413</v>
      </c>
      <c r="G1210" s="4" t="str">
        <f>IFERROR(VLOOKUP(F1210,Lists!$C:$D,2,0), "N/A")</f>
        <v>WIP.DALM</v>
      </c>
      <c r="H1210" s="26">
        <f>IFERROR(VLOOKUP(F1210,Lists!$C:$F,4,0),0)</f>
        <v>0</v>
      </c>
      <c r="I1210" s="7">
        <f t="shared" si="127"/>
        <v>749</v>
      </c>
      <c r="J1210" s="6">
        <v>0</v>
      </c>
      <c r="K1210" s="33">
        <v>749</v>
      </c>
      <c r="L1210" s="5">
        <f t="shared" si="125"/>
        <v>1</v>
      </c>
      <c r="M1210" s="26">
        <f t="shared" si="126"/>
        <v>0</v>
      </c>
    </row>
    <row r="1211" spans="1:13" x14ac:dyDescent="0.25">
      <c r="A1211" s="16" t="str">
        <f t="shared" si="128"/>
        <v>July</v>
      </c>
      <c r="B1211" s="31">
        <v>44014</v>
      </c>
      <c r="C1211" s="32" t="s">
        <v>5</v>
      </c>
      <c r="D1211" s="9" t="str">
        <f t="shared" si="124"/>
        <v>44014 - T1</v>
      </c>
      <c r="E1211" s="32" t="s">
        <v>11</v>
      </c>
      <c r="F1211" s="2">
        <v>8000034</v>
      </c>
      <c r="G1211" s="4" t="str">
        <f>IFERROR(VLOOKUP(F1211,Lists!$C:$D,2,0), "N/A")</f>
        <v>KS MILK CHOC MACADAMIA</v>
      </c>
      <c r="H1211" s="26">
        <f>IFERROR(VLOOKUP(F1211,Lists!$C:$F,4,0),0)</f>
        <v>3.8943099999999999</v>
      </c>
      <c r="I1211" s="7">
        <f t="shared" si="127"/>
        <v>12438</v>
      </c>
      <c r="J1211" s="6">
        <v>12000</v>
      </c>
      <c r="K1211" s="33">
        <v>438</v>
      </c>
      <c r="L1211" s="5">
        <f t="shared" si="125"/>
        <v>3.6499999999999998E-2</v>
      </c>
      <c r="M1211" s="26">
        <f t="shared" si="126"/>
        <v>1705.70778</v>
      </c>
    </row>
    <row r="1212" spans="1:13" x14ac:dyDescent="0.25">
      <c r="A1212" s="16" t="str">
        <f t="shared" si="128"/>
        <v>July</v>
      </c>
      <c r="B1212" s="31">
        <v>44014</v>
      </c>
      <c r="C1212" s="32" t="s">
        <v>5</v>
      </c>
      <c r="D1212" s="9" t="str">
        <f t="shared" si="124"/>
        <v>44014 - T1</v>
      </c>
      <c r="E1212" s="32" t="s">
        <v>12</v>
      </c>
      <c r="F1212" s="2">
        <v>8000055</v>
      </c>
      <c r="G1212" s="4" t="str">
        <f>IFERROR(VLOOKUP(F1212,Lists!$C:$D,2,0), "N/A")</f>
        <v>916.BF FLIPZ 25 LB BULK MILK CHOC</v>
      </c>
      <c r="H1212" s="26">
        <f>IFERROR(VLOOKUP(F1212,Lists!$C:$F,4,0),0)</f>
        <v>1.9508160000000001</v>
      </c>
      <c r="I1212" s="7">
        <f t="shared" si="127"/>
        <v>9045</v>
      </c>
      <c r="J1212" s="6">
        <f>360*25</f>
        <v>9000</v>
      </c>
      <c r="K1212" s="33">
        <v>45</v>
      </c>
      <c r="L1212" s="5">
        <f t="shared" si="125"/>
        <v>5.0000000000000001E-3</v>
      </c>
      <c r="M1212" s="26">
        <f t="shared" si="126"/>
        <v>87.786720000000003</v>
      </c>
    </row>
    <row r="1213" spans="1:13" x14ac:dyDescent="0.25">
      <c r="A1213" s="16" t="str">
        <f t="shared" si="128"/>
        <v>July</v>
      </c>
      <c r="B1213" s="31">
        <v>44014</v>
      </c>
      <c r="C1213" s="32" t="s">
        <v>5</v>
      </c>
      <c r="D1213" s="9" t="str">
        <f t="shared" si="124"/>
        <v>44014 - T1</v>
      </c>
      <c r="E1213" s="32" t="s">
        <v>15</v>
      </c>
      <c r="G1213" s="4" t="str">
        <f>IFERROR(VLOOKUP(F1213,Lists!$C:$D,2,0), "N/A")</f>
        <v>N/A</v>
      </c>
      <c r="H1213" s="26">
        <f>IFERROR(VLOOKUP(F1213,Lists!$C:$F,4,0),0)</f>
        <v>0</v>
      </c>
      <c r="I1213" s="7">
        <f t="shared" si="127"/>
        <v>10</v>
      </c>
      <c r="K1213" s="33">
        <v>10</v>
      </c>
      <c r="L1213" s="5">
        <f t="shared" si="125"/>
        <v>1</v>
      </c>
      <c r="M1213" s="26">
        <f t="shared" si="126"/>
        <v>0</v>
      </c>
    </row>
    <row r="1214" spans="1:13" x14ac:dyDescent="0.25">
      <c r="A1214" s="16" t="str">
        <f t="shared" si="128"/>
        <v>July</v>
      </c>
      <c r="B1214" s="31">
        <v>44014</v>
      </c>
      <c r="C1214" s="32" t="s">
        <v>5</v>
      </c>
      <c r="D1214" s="9" t="str">
        <f t="shared" si="124"/>
        <v>44014 - T1</v>
      </c>
      <c r="E1214" s="32" t="s">
        <v>10</v>
      </c>
      <c r="F1214" s="2">
        <v>8000040</v>
      </c>
      <c r="G1214" s="4" t="str">
        <f>IFERROR(VLOOKUP(F1214,Lists!$C:$D,2,0), "N/A")</f>
        <v>WIP.MSM FLIPZ MILK CHOC SUPER MINI</v>
      </c>
      <c r="H1214" s="26">
        <f>IFERROR(VLOOKUP(F1214,Lists!$C:$F,4,0),0)</f>
        <v>1.21353</v>
      </c>
      <c r="I1214" s="7">
        <f t="shared" si="127"/>
        <v>12061</v>
      </c>
      <c r="J1214" s="6">
        <f>480*25</f>
        <v>12000</v>
      </c>
      <c r="K1214" s="33">
        <v>61</v>
      </c>
      <c r="L1214" s="5">
        <f t="shared" si="125"/>
        <v>5.0833333333333329E-3</v>
      </c>
      <c r="M1214" s="26">
        <f t="shared" si="126"/>
        <v>74.025329999999997</v>
      </c>
    </row>
    <row r="1215" spans="1:13" x14ac:dyDescent="0.25">
      <c r="A1215" s="16" t="str">
        <f t="shared" si="128"/>
        <v>July</v>
      </c>
      <c r="B1215" s="31">
        <v>44014</v>
      </c>
      <c r="C1215" s="32" t="s">
        <v>6</v>
      </c>
      <c r="D1215" s="9" t="str">
        <f t="shared" si="124"/>
        <v>44014 - T2</v>
      </c>
      <c r="E1215" s="32" t="s">
        <v>9</v>
      </c>
      <c r="F1215" s="2">
        <v>8000413</v>
      </c>
      <c r="G1215" s="4" t="str">
        <f>IFERROR(VLOOKUP(F1215,Lists!$C:$D,2,0), "N/A")</f>
        <v>WIP.DALM</v>
      </c>
      <c r="H1215" s="26">
        <f>IFERROR(VLOOKUP(F1215,Lists!$C:$F,4,0),0)</f>
        <v>0</v>
      </c>
      <c r="I1215" s="7">
        <f t="shared" si="127"/>
        <v>12237.8</v>
      </c>
      <c r="J1215" s="6">
        <v>11404.8</v>
      </c>
      <c r="K1215" s="33">
        <v>833</v>
      </c>
      <c r="L1215" s="5">
        <f t="shared" si="125"/>
        <v>7.303942199775533E-2</v>
      </c>
      <c r="M1215" s="26">
        <f t="shared" si="126"/>
        <v>0</v>
      </c>
    </row>
    <row r="1216" spans="1:13" x14ac:dyDescent="0.25">
      <c r="A1216" s="16" t="str">
        <f t="shared" si="128"/>
        <v>July</v>
      </c>
      <c r="B1216" s="31">
        <v>44014</v>
      </c>
      <c r="C1216" s="32" t="s">
        <v>6</v>
      </c>
      <c r="D1216" s="9" t="str">
        <f t="shared" si="124"/>
        <v>44014 - T2</v>
      </c>
      <c r="E1216" s="32" t="s">
        <v>10</v>
      </c>
      <c r="F1216" s="2">
        <v>8000040</v>
      </c>
      <c r="G1216" s="4" t="str">
        <f>IFERROR(VLOOKUP(F1216,Lists!$C:$D,2,0), "N/A")</f>
        <v>WIP.MSM FLIPZ MILK CHOC SUPER MINI</v>
      </c>
      <c r="H1216" s="26">
        <f>IFERROR(VLOOKUP(F1216,Lists!$C:$F,4,0),0)</f>
        <v>1.21353</v>
      </c>
      <c r="I1216" s="7">
        <f t="shared" si="127"/>
        <v>9044</v>
      </c>
      <c r="J1216" s="6">
        <f>360*25</f>
        <v>9000</v>
      </c>
      <c r="K1216" s="33">
        <v>44</v>
      </c>
      <c r="L1216" s="5">
        <f t="shared" si="125"/>
        <v>4.8888888888888888E-3</v>
      </c>
      <c r="M1216" s="26">
        <f t="shared" si="126"/>
        <v>53.395319999999998</v>
      </c>
    </row>
    <row r="1217" spans="1:13" x14ac:dyDescent="0.25">
      <c r="A1217" s="16" t="str">
        <f t="shared" si="128"/>
        <v>July</v>
      </c>
      <c r="B1217" s="31">
        <v>44014</v>
      </c>
      <c r="C1217" s="32" t="s">
        <v>6</v>
      </c>
      <c r="D1217" s="9" t="str">
        <f t="shared" si="124"/>
        <v>44014 - T2</v>
      </c>
      <c r="E1217" s="32" t="s">
        <v>11</v>
      </c>
      <c r="F1217" s="2">
        <v>8000034</v>
      </c>
      <c r="G1217" s="4" t="str">
        <f>IFERROR(VLOOKUP(F1217,Lists!$C:$D,2,0), "N/A")</f>
        <v>KS MILK CHOC MACADAMIA</v>
      </c>
      <c r="H1217" s="26">
        <f>IFERROR(VLOOKUP(F1217,Lists!$C:$F,4,0),0)</f>
        <v>3.8943099999999999</v>
      </c>
      <c r="I1217" s="7">
        <f t="shared" si="127"/>
        <v>5105</v>
      </c>
      <c r="J1217" s="6">
        <v>4800</v>
      </c>
      <c r="K1217" s="33">
        <v>305</v>
      </c>
      <c r="L1217" s="5">
        <f t="shared" si="125"/>
        <v>6.3541666666666663E-2</v>
      </c>
      <c r="M1217" s="26">
        <f t="shared" si="126"/>
        <v>1187.7645499999999</v>
      </c>
    </row>
    <row r="1218" spans="1:13" x14ac:dyDescent="0.25">
      <c r="A1218" s="16" t="str">
        <f t="shared" si="128"/>
        <v>July</v>
      </c>
      <c r="B1218" s="31">
        <v>44014</v>
      </c>
      <c r="C1218" s="32" t="s">
        <v>6</v>
      </c>
      <c r="D1218" s="9" t="str">
        <f t="shared" si="124"/>
        <v>44014 - T2</v>
      </c>
      <c r="E1218" s="32" t="s">
        <v>12</v>
      </c>
      <c r="F1218" s="2">
        <v>8000055</v>
      </c>
      <c r="G1218" s="4" t="str">
        <f>IFERROR(VLOOKUP(F1218,Lists!$C:$D,2,0), "N/A")</f>
        <v>916.BF FLIPZ 25 LB BULK MILK CHOC</v>
      </c>
      <c r="H1218" s="26">
        <f>IFERROR(VLOOKUP(F1218,Lists!$C:$F,4,0),0)</f>
        <v>1.9508160000000001</v>
      </c>
      <c r="I1218" s="7">
        <f t="shared" si="127"/>
        <v>5070</v>
      </c>
      <c r="J1218" s="6">
        <f>200*25</f>
        <v>5000</v>
      </c>
      <c r="K1218" s="33">
        <v>70</v>
      </c>
      <c r="L1218" s="5">
        <f t="shared" si="125"/>
        <v>1.4E-2</v>
      </c>
      <c r="M1218" s="26">
        <f t="shared" si="126"/>
        <v>136.55712</v>
      </c>
    </row>
    <row r="1219" spans="1:13" x14ac:dyDescent="0.25">
      <c r="A1219" s="16" t="str">
        <f t="shared" si="128"/>
        <v>July</v>
      </c>
      <c r="B1219" s="31">
        <v>44014</v>
      </c>
      <c r="C1219" s="32" t="s">
        <v>6</v>
      </c>
      <c r="D1219" s="9" t="str">
        <f t="shared" si="124"/>
        <v>44014 - T2</v>
      </c>
      <c r="E1219" s="32" t="s">
        <v>15</v>
      </c>
      <c r="G1219" s="4" t="str">
        <f>IFERROR(VLOOKUP(F1219,Lists!$C:$D,2,0), "N/A")</f>
        <v>N/A</v>
      </c>
      <c r="H1219" s="26">
        <f>IFERROR(VLOOKUP(F1219,Lists!$C:$F,4,0),0)</f>
        <v>0</v>
      </c>
      <c r="I1219" s="7">
        <f t="shared" si="127"/>
        <v>6</v>
      </c>
      <c r="K1219" s="33">
        <v>6</v>
      </c>
      <c r="L1219" s="5">
        <f t="shared" si="125"/>
        <v>1</v>
      </c>
      <c r="M1219" s="26">
        <f t="shared" si="126"/>
        <v>0</v>
      </c>
    </row>
    <row r="1220" spans="1:13" x14ac:dyDescent="0.25">
      <c r="A1220" s="16" t="str">
        <f t="shared" si="128"/>
        <v>July</v>
      </c>
      <c r="B1220" s="31">
        <v>44017</v>
      </c>
      <c r="C1220" s="32" t="s">
        <v>5</v>
      </c>
      <c r="D1220" s="9" t="str">
        <f t="shared" si="124"/>
        <v>44017 - T1</v>
      </c>
      <c r="E1220" s="32" t="s">
        <v>12</v>
      </c>
      <c r="F1220" s="2">
        <v>8000055</v>
      </c>
      <c r="G1220" s="4" t="str">
        <f>IFERROR(VLOOKUP(F1220,Lists!$C:$D,2,0), "N/A")</f>
        <v>916.BF FLIPZ 25 LB BULK MILK CHOC</v>
      </c>
      <c r="H1220" s="26">
        <f>IFERROR(VLOOKUP(F1220,Lists!$C:$F,4,0),0)</f>
        <v>1.9508160000000001</v>
      </c>
      <c r="I1220" s="7">
        <f t="shared" si="127"/>
        <v>8018</v>
      </c>
      <c r="J1220" s="6">
        <f>320*25</f>
        <v>8000</v>
      </c>
      <c r="K1220" s="33">
        <v>18</v>
      </c>
      <c r="L1220" s="5">
        <f t="shared" si="125"/>
        <v>2.2499999999999998E-3</v>
      </c>
      <c r="M1220" s="26">
        <f t="shared" si="126"/>
        <v>35.114688000000001</v>
      </c>
    </row>
    <row r="1221" spans="1:13" x14ac:dyDescent="0.25">
      <c r="A1221" s="16" t="str">
        <f t="shared" si="128"/>
        <v>July</v>
      </c>
      <c r="B1221" s="31">
        <v>44017</v>
      </c>
      <c r="C1221" s="32" t="s">
        <v>6</v>
      </c>
      <c r="D1221" s="9" t="str">
        <f t="shared" si="124"/>
        <v>44017 - T2</v>
      </c>
      <c r="E1221" s="32" t="s">
        <v>12</v>
      </c>
      <c r="F1221" s="2">
        <v>8000055</v>
      </c>
      <c r="G1221" s="4" t="str">
        <f>IFERROR(VLOOKUP(F1221,Lists!$C:$D,2,0), "N/A")</f>
        <v>916.BF FLIPZ 25 LB BULK MILK CHOC</v>
      </c>
      <c r="H1221" s="26">
        <f>IFERROR(VLOOKUP(F1221,Lists!$C:$F,4,0),0)</f>
        <v>1.9508160000000001</v>
      </c>
      <c r="I1221" s="7">
        <f t="shared" si="127"/>
        <v>9021</v>
      </c>
      <c r="J1221" s="6">
        <f>360*25</f>
        <v>9000</v>
      </c>
      <c r="K1221" s="33">
        <v>21</v>
      </c>
      <c r="L1221" s="5">
        <f t="shared" si="125"/>
        <v>2.3333333333333335E-3</v>
      </c>
      <c r="M1221" s="26">
        <f t="shared" si="126"/>
        <v>40.967136000000004</v>
      </c>
    </row>
    <row r="1222" spans="1:13" x14ac:dyDescent="0.25">
      <c r="A1222" s="16" t="str">
        <f t="shared" si="128"/>
        <v>July</v>
      </c>
      <c r="B1222" s="31">
        <v>44018</v>
      </c>
      <c r="C1222" s="32" t="s">
        <v>5</v>
      </c>
      <c r="D1222" s="9" t="str">
        <f t="shared" si="124"/>
        <v>44018 - T1</v>
      </c>
      <c r="E1222" s="32" t="s">
        <v>10</v>
      </c>
      <c r="F1222" s="2">
        <v>8000055</v>
      </c>
      <c r="G1222" s="4" t="str">
        <f>IFERROR(VLOOKUP(F1222,Lists!$C:$D,2,0), "N/A")</f>
        <v>916.BF FLIPZ 25 LB BULK MILK CHOC</v>
      </c>
      <c r="H1222" s="26">
        <f>IFERROR(VLOOKUP(F1222,Lists!$C:$F,4,0),0)</f>
        <v>1.9508160000000001</v>
      </c>
      <c r="I1222" s="7">
        <f t="shared" si="127"/>
        <v>3686</v>
      </c>
      <c r="J1222" s="6">
        <v>3500</v>
      </c>
      <c r="K1222" s="33">
        <v>186</v>
      </c>
      <c r="L1222" s="5">
        <f t="shared" si="125"/>
        <v>5.3142857142857144E-2</v>
      </c>
      <c r="M1222" s="26">
        <f t="shared" si="126"/>
        <v>362.85177600000003</v>
      </c>
    </row>
    <row r="1223" spans="1:13" x14ac:dyDescent="0.25">
      <c r="A1223" s="16" t="str">
        <f t="shared" si="128"/>
        <v>July</v>
      </c>
      <c r="B1223" s="31">
        <v>44018</v>
      </c>
      <c r="C1223" s="32" t="s">
        <v>5</v>
      </c>
      <c r="D1223" s="9" t="str">
        <f t="shared" si="124"/>
        <v>44018 - T1</v>
      </c>
      <c r="E1223" s="32" t="s">
        <v>10</v>
      </c>
      <c r="F1223" s="2">
        <v>8000055</v>
      </c>
      <c r="G1223" s="4" t="str">
        <f>IFERROR(VLOOKUP(F1223,Lists!$C:$D,2,0), "N/A")</f>
        <v>916.BF FLIPZ 25 LB BULK MILK CHOC</v>
      </c>
      <c r="H1223" s="26">
        <f>IFERROR(VLOOKUP(F1223,Lists!$C:$F,4,0),0)</f>
        <v>1.9508160000000001</v>
      </c>
      <c r="I1223" s="7">
        <f t="shared" si="127"/>
        <v>3543</v>
      </c>
      <c r="J1223" s="6">
        <v>3500</v>
      </c>
      <c r="K1223" s="33">
        <v>43</v>
      </c>
      <c r="L1223" s="5">
        <f t="shared" si="125"/>
        <v>1.2285714285714285E-2</v>
      </c>
      <c r="M1223" s="26">
        <f t="shared" si="126"/>
        <v>83.88508800000001</v>
      </c>
    </row>
    <row r="1224" spans="1:13" x14ac:dyDescent="0.25">
      <c r="A1224" s="16" t="str">
        <f t="shared" si="128"/>
        <v>July</v>
      </c>
      <c r="B1224" s="31">
        <v>44018</v>
      </c>
      <c r="C1224" s="32" t="s">
        <v>5</v>
      </c>
      <c r="D1224" s="9" t="str">
        <f t="shared" si="124"/>
        <v>44018 - T1</v>
      </c>
      <c r="E1224" s="32" t="s">
        <v>12</v>
      </c>
      <c r="F1224" s="2">
        <v>8000055</v>
      </c>
      <c r="G1224" s="4" t="str">
        <f>IFERROR(VLOOKUP(F1224,Lists!$C:$D,2,0), "N/A")</f>
        <v>916.BF FLIPZ 25 LB BULK MILK CHOC</v>
      </c>
      <c r="H1224" s="26">
        <f>IFERROR(VLOOKUP(F1224,Lists!$C:$F,4,0),0)</f>
        <v>1.9508160000000001</v>
      </c>
      <c r="I1224" s="7">
        <f t="shared" si="127"/>
        <v>9051</v>
      </c>
      <c r="J1224" s="6">
        <f>360*25</f>
        <v>9000</v>
      </c>
      <c r="K1224" s="33">
        <v>51</v>
      </c>
      <c r="L1224" s="5">
        <f t="shared" si="125"/>
        <v>5.6666666666666671E-3</v>
      </c>
      <c r="M1224" s="26">
        <f t="shared" si="126"/>
        <v>99.491616000000008</v>
      </c>
    </row>
    <row r="1225" spans="1:13" x14ac:dyDescent="0.25">
      <c r="A1225" s="16" t="str">
        <f t="shared" si="128"/>
        <v>July</v>
      </c>
      <c r="B1225" s="31">
        <v>44018</v>
      </c>
      <c r="C1225" s="32" t="s">
        <v>5</v>
      </c>
      <c r="D1225" s="9" t="str">
        <f t="shared" ref="D1225:D1287" si="130">CONCATENATE(B1225," - ",C1225)</f>
        <v>44018 - T1</v>
      </c>
      <c r="E1225" s="32" t="s">
        <v>15</v>
      </c>
      <c r="G1225" s="4" t="str">
        <f>IFERROR(VLOOKUP(F1225,Lists!$C:$D,2,0), "N/A")</f>
        <v>N/A</v>
      </c>
      <c r="H1225" s="26">
        <f>IFERROR(VLOOKUP(F1225,Lists!$C:$F,4,0),0)</f>
        <v>0</v>
      </c>
      <c r="I1225" s="7">
        <f t="shared" si="127"/>
        <v>20</v>
      </c>
      <c r="K1225" s="33">
        <v>20</v>
      </c>
      <c r="L1225" s="5">
        <f t="shared" ref="L1225:L1287" si="131">IFERROR((K1225/J1225),1)</f>
        <v>1</v>
      </c>
      <c r="M1225" s="26">
        <f t="shared" ref="M1225:M1287" si="132">K1225*H1225</f>
        <v>0</v>
      </c>
    </row>
    <row r="1226" spans="1:13" x14ac:dyDescent="0.25">
      <c r="A1226" s="16" t="str">
        <f t="shared" si="128"/>
        <v>July</v>
      </c>
      <c r="B1226" s="31">
        <v>44018</v>
      </c>
      <c r="C1226" s="32" t="s">
        <v>6</v>
      </c>
      <c r="D1226" s="9" t="str">
        <f t="shared" si="130"/>
        <v>44018 - T2</v>
      </c>
      <c r="E1226" s="32" t="s">
        <v>10</v>
      </c>
      <c r="F1226" s="2">
        <v>8000055</v>
      </c>
      <c r="G1226" s="4" t="str">
        <f>IFERROR(VLOOKUP(F1226,Lists!$C:$D,2,0), "N/A")</f>
        <v>916.BF FLIPZ 25 LB BULK MILK CHOC</v>
      </c>
      <c r="H1226" s="26">
        <f>IFERROR(VLOOKUP(F1226,Lists!$C:$F,4,0),0)</f>
        <v>1.9508160000000001</v>
      </c>
      <c r="I1226" s="7">
        <f t="shared" si="127"/>
        <v>4212</v>
      </c>
      <c r="J1226" s="6">
        <v>4000</v>
      </c>
      <c r="K1226" s="33">
        <v>212</v>
      </c>
      <c r="L1226" s="5">
        <f t="shared" si="131"/>
        <v>5.2999999999999999E-2</v>
      </c>
      <c r="M1226" s="26">
        <f t="shared" si="132"/>
        <v>413.572992</v>
      </c>
    </row>
    <row r="1227" spans="1:13" x14ac:dyDescent="0.25">
      <c r="A1227" s="16" t="str">
        <f t="shared" si="128"/>
        <v>July</v>
      </c>
      <c r="B1227" s="31">
        <v>44018</v>
      </c>
      <c r="C1227" s="32" t="s">
        <v>6</v>
      </c>
      <c r="D1227" s="9" t="str">
        <f t="shared" si="130"/>
        <v>44018 - T2</v>
      </c>
      <c r="E1227" s="32" t="s">
        <v>10</v>
      </c>
      <c r="F1227" s="2">
        <v>8000055</v>
      </c>
      <c r="G1227" s="4" t="str">
        <f>IFERROR(VLOOKUP(F1227,Lists!$C:$D,2,0), "N/A")</f>
        <v>916.BF FLIPZ 25 LB BULK MILK CHOC</v>
      </c>
      <c r="H1227" s="26">
        <f>IFERROR(VLOOKUP(F1227,Lists!$C:$F,4,0),0)</f>
        <v>1.9508160000000001</v>
      </c>
      <c r="I1227" s="7">
        <f t="shared" si="127"/>
        <v>4010</v>
      </c>
      <c r="J1227" s="6">
        <v>4000</v>
      </c>
      <c r="K1227" s="33">
        <v>10</v>
      </c>
      <c r="L1227" s="5">
        <f t="shared" si="131"/>
        <v>2.5000000000000001E-3</v>
      </c>
      <c r="M1227" s="26">
        <f t="shared" si="132"/>
        <v>19.50816</v>
      </c>
    </row>
    <row r="1228" spans="1:13" x14ac:dyDescent="0.25">
      <c r="A1228" s="16" t="str">
        <f t="shared" si="128"/>
        <v>July</v>
      </c>
      <c r="B1228" s="31">
        <v>44018</v>
      </c>
      <c r="C1228" s="32" t="s">
        <v>6</v>
      </c>
      <c r="D1228" s="9" t="str">
        <f t="shared" si="130"/>
        <v>44018 - T2</v>
      </c>
      <c r="E1228" s="32" t="s">
        <v>15</v>
      </c>
      <c r="G1228" s="4" t="str">
        <f>IFERROR(VLOOKUP(F1228,Lists!$C:$D,2,0), "N/A")</f>
        <v>N/A</v>
      </c>
      <c r="H1228" s="26">
        <f>IFERROR(VLOOKUP(F1228,Lists!$C:$F,4,0),0)</f>
        <v>0</v>
      </c>
      <c r="I1228" s="7">
        <f t="shared" si="127"/>
        <v>10</v>
      </c>
      <c r="K1228" s="33">
        <v>10</v>
      </c>
      <c r="L1228" s="5">
        <f t="shared" si="131"/>
        <v>1</v>
      </c>
      <c r="M1228" s="26">
        <f t="shared" si="132"/>
        <v>0</v>
      </c>
    </row>
    <row r="1229" spans="1:13" x14ac:dyDescent="0.25">
      <c r="A1229" s="16" t="str">
        <f t="shared" si="128"/>
        <v>July</v>
      </c>
      <c r="B1229" s="31">
        <v>44019</v>
      </c>
      <c r="C1229" s="32" t="s">
        <v>5</v>
      </c>
      <c r="D1229" s="9" t="str">
        <f t="shared" si="130"/>
        <v>44019 - T1</v>
      </c>
      <c r="E1229" s="32" t="s">
        <v>9</v>
      </c>
      <c r="F1229" s="2">
        <v>8000035</v>
      </c>
      <c r="G1229" s="4" t="str">
        <f>IFERROR(VLOOKUP(F1229,Lists!$C:$D,2,0), "N/A")</f>
        <v>TURTLES MILK CHOC ORIGINAL</v>
      </c>
      <c r="H1229" s="26">
        <f>IFERROR(VLOOKUP(F1229,Lists!$C:$F,4,0),0)</f>
        <v>1.91178</v>
      </c>
      <c r="I1229" s="7">
        <f t="shared" si="127"/>
        <v>4016.24</v>
      </c>
      <c r="J1229" s="6">
        <v>3226.24</v>
      </c>
      <c r="K1229" s="33">
        <v>790</v>
      </c>
      <c r="L1229" s="5">
        <f t="shared" si="131"/>
        <v>0.24486708986312242</v>
      </c>
      <c r="M1229" s="26">
        <f t="shared" si="132"/>
        <v>1510.3062</v>
      </c>
    </row>
    <row r="1230" spans="1:13" x14ac:dyDescent="0.25">
      <c r="A1230" s="16" t="str">
        <f t="shared" si="128"/>
        <v>July</v>
      </c>
      <c r="B1230" s="31">
        <v>44019</v>
      </c>
      <c r="C1230" s="32" t="s">
        <v>5</v>
      </c>
      <c r="D1230" s="9" t="str">
        <f t="shared" si="130"/>
        <v>44019 - T1</v>
      </c>
      <c r="E1230" s="32" t="s">
        <v>11</v>
      </c>
      <c r="F1230" s="2">
        <v>8000034</v>
      </c>
      <c r="G1230" s="4" t="str">
        <f>IFERROR(VLOOKUP(F1230,Lists!$C:$D,2,0), "N/A")</f>
        <v>KS MILK CHOC MACADAMIA</v>
      </c>
      <c r="H1230" s="26">
        <f>IFERROR(VLOOKUP(F1230,Lists!$C:$F,4,0),0)</f>
        <v>3.8943099999999999</v>
      </c>
      <c r="I1230" s="7">
        <f t="shared" si="127"/>
        <v>4909</v>
      </c>
      <c r="J1230" s="6">
        <v>4800</v>
      </c>
      <c r="K1230" s="33">
        <v>109</v>
      </c>
      <c r="L1230" s="5">
        <f t="shared" si="131"/>
        <v>2.2708333333333334E-2</v>
      </c>
      <c r="M1230" s="26">
        <f t="shared" si="132"/>
        <v>424.47978999999998</v>
      </c>
    </row>
    <row r="1231" spans="1:13" x14ac:dyDescent="0.25">
      <c r="A1231" s="16" t="str">
        <f t="shared" si="128"/>
        <v>July</v>
      </c>
      <c r="B1231" s="31">
        <v>44019</v>
      </c>
      <c r="C1231" s="32" t="s">
        <v>5</v>
      </c>
      <c r="D1231" s="9" t="str">
        <f t="shared" si="130"/>
        <v>44019 - T1</v>
      </c>
      <c r="E1231" s="32" t="s">
        <v>12</v>
      </c>
      <c r="F1231" s="2">
        <v>8000055</v>
      </c>
      <c r="G1231" s="4" t="str">
        <f>IFERROR(VLOOKUP(F1231,Lists!$C:$D,2,0), "N/A")</f>
        <v>916.BF FLIPZ 25 LB BULK MILK CHOC</v>
      </c>
      <c r="H1231" s="26">
        <f>IFERROR(VLOOKUP(F1231,Lists!$C:$F,4,0),0)</f>
        <v>1.9508160000000001</v>
      </c>
      <c r="I1231" s="7">
        <f t="shared" si="127"/>
        <v>8207</v>
      </c>
      <c r="J1231" s="6">
        <f>320*25</f>
        <v>8000</v>
      </c>
      <c r="K1231" s="33">
        <v>207</v>
      </c>
      <c r="L1231" s="5">
        <f t="shared" si="131"/>
        <v>2.5874999999999999E-2</v>
      </c>
      <c r="M1231" s="26">
        <f t="shared" si="132"/>
        <v>403.81891200000001</v>
      </c>
    </row>
    <row r="1232" spans="1:13" x14ac:dyDescent="0.25">
      <c r="A1232" s="16" t="str">
        <f t="shared" si="128"/>
        <v>July</v>
      </c>
      <c r="B1232" s="31">
        <v>44019</v>
      </c>
      <c r="C1232" s="32" t="s">
        <v>5</v>
      </c>
      <c r="D1232" s="9" t="str">
        <f t="shared" si="130"/>
        <v>44019 - T1</v>
      </c>
      <c r="E1232" s="32" t="s">
        <v>15</v>
      </c>
      <c r="G1232" s="4" t="str">
        <f>IFERROR(VLOOKUP(F1232,Lists!$C:$D,2,0), "N/A")</f>
        <v>N/A</v>
      </c>
      <c r="H1232" s="26">
        <f>IFERROR(VLOOKUP(F1232,Lists!$C:$F,4,0),0)</f>
        <v>0</v>
      </c>
      <c r="I1232" s="7">
        <f t="shared" si="127"/>
        <v>15</v>
      </c>
      <c r="K1232" s="33">
        <v>15</v>
      </c>
      <c r="L1232" s="5">
        <f t="shared" si="131"/>
        <v>1</v>
      </c>
      <c r="M1232" s="26">
        <f t="shared" si="132"/>
        <v>0</v>
      </c>
    </row>
    <row r="1233" spans="1:13" x14ac:dyDescent="0.25">
      <c r="A1233" s="16" t="str">
        <f t="shared" si="128"/>
        <v>July</v>
      </c>
      <c r="B1233" s="31">
        <v>44019</v>
      </c>
      <c r="C1233" s="32" t="s">
        <v>6</v>
      </c>
      <c r="D1233" s="9" t="str">
        <f t="shared" si="130"/>
        <v>44019 - T2</v>
      </c>
      <c r="E1233" s="32" t="s">
        <v>9</v>
      </c>
      <c r="F1233" s="2">
        <v>8000035</v>
      </c>
      <c r="G1233" s="4" t="str">
        <f>IFERROR(VLOOKUP(F1233,Lists!$C:$D,2,0), "N/A")</f>
        <v>TURTLES MILK CHOC ORIGINAL</v>
      </c>
      <c r="H1233" s="26">
        <f>IFERROR(VLOOKUP(F1233,Lists!$C:$F,4,0),0)</f>
        <v>1.91178</v>
      </c>
      <c r="I1233" s="7">
        <f t="shared" si="127"/>
        <v>11133.8</v>
      </c>
      <c r="J1233" s="6">
        <v>10584.8</v>
      </c>
      <c r="K1233" s="33">
        <v>549</v>
      </c>
      <c r="L1233" s="5">
        <f t="shared" si="131"/>
        <v>5.1866827904164463E-2</v>
      </c>
      <c r="M1233" s="26">
        <f t="shared" si="132"/>
        <v>1049.5672199999999</v>
      </c>
    </row>
    <row r="1234" spans="1:13" x14ac:dyDescent="0.25">
      <c r="A1234" s="16" t="str">
        <f t="shared" si="128"/>
        <v>July</v>
      </c>
      <c r="B1234" s="31">
        <v>44019</v>
      </c>
      <c r="C1234" s="32" t="s">
        <v>6</v>
      </c>
      <c r="D1234" s="9" t="str">
        <f t="shared" si="130"/>
        <v>44019 - T2</v>
      </c>
      <c r="E1234" s="32" t="s">
        <v>10</v>
      </c>
      <c r="F1234" s="2">
        <v>8000055</v>
      </c>
      <c r="G1234" s="4" t="str">
        <f>IFERROR(VLOOKUP(F1234,Lists!$C:$D,2,0), "N/A")</f>
        <v>916.BF FLIPZ 25 LB BULK MILK CHOC</v>
      </c>
      <c r="H1234" s="26">
        <f>IFERROR(VLOOKUP(F1234,Lists!$C:$F,4,0),0)</f>
        <v>1.9508160000000001</v>
      </c>
      <c r="I1234" s="7">
        <f t="shared" si="127"/>
        <v>10088</v>
      </c>
      <c r="J1234" s="6">
        <f>400*25</f>
        <v>10000</v>
      </c>
      <c r="K1234" s="33">
        <v>88</v>
      </c>
      <c r="L1234" s="5">
        <f t="shared" si="131"/>
        <v>8.8000000000000005E-3</v>
      </c>
      <c r="M1234" s="26">
        <f t="shared" si="132"/>
        <v>171.671808</v>
      </c>
    </row>
    <row r="1235" spans="1:13" x14ac:dyDescent="0.25">
      <c r="A1235" s="16" t="str">
        <f t="shared" si="128"/>
        <v>July</v>
      </c>
      <c r="B1235" s="31">
        <v>44019</v>
      </c>
      <c r="C1235" s="32" t="s">
        <v>6</v>
      </c>
      <c r="D1235" s="9" t="str">
        <f t="shared" si="130"/>
        <v>44019 - T2</v>
      </c>
      <c r="E1235" s="32" t="s">
        <v>11</v>
      </c>
      <c r="F1235" s="2">
        <v>8000034</v>
      </c>
      <c r="G1235" s="4" t="str">
        <f>IFERROR(VLOOKUP(F1235,Lists!$C:$D,2,0), "N/A")</f>
        <v>KS MILK CHOC MACADAMIA</v>
      </c>
      <c r="H1235" s="26">
        <f>IFERROR(VLOOKUP(F1235,Lists!$C:$F,4,0),0)</f>
        <v>3.8943099999999999</v>
      </c>
      <c r="I1235" s="7">
        <f t="shared" si="127"/>
        <v>11257</v>
      </c>
      <c r="J1235" s="6">
        <v>11200</v>
      </c>
      <c r="K1235" s="33">
        <v>57</v>
      </c>
      <c r="L1235" s="5">
        <f t="shared" si="131"/>
        <v>5.0892857142857146E-3</v>
      </c>
      <c r="M1235" s="26">
        <f t="shared" si="132"/>
        <v>221.97567000000001</v>
      </c>
    </row>
    <row r="1236" spans="1:13" x14ac:dyDescent="0.25">
      <c r="A1236" s="16" t="str">
        <f t="shared" si="128"/>
        <v>July</v>
      </c>
      <c r="B1236" s="31">
        <v>44019</v>
      </c>
      <c r="C1236" s="32" t="s">
        <v>6</v>
      </c>
      <c r="D1236" s="9" t="str">
        <f t="shared" si="130"/>
        <v>44019 - T2</v>
      </c>
      <c r="E1236" s="32" t="s">
        <v>15</v>
      </c>
      <c r="G1236" s="4" t="str">
        <f>IFERROR(VLOOKUP(F1236,Lists!$C:$D,2,0), "N/A")</f>
        <v>N/A</v>
      </c>
      <c r="H1236" s="26">
        <f>IFERROR(VLOOKUP(F1236,Lists!$C:$F,4,0),0)</f>
        <v>0</v>
      </c>
      <c r="I1236" s="7">
        <f t="shared" si="127"/>
        <v>5</v>
      </c>
      <c r="K1236" s="33">
        <v>5</v>
      </c>
      <c r="L1236" s="5">
        <f t="shared" si="131"/>
        <v>1</v>
      </c>
      <c r="M1236" s="26">
        <f t="shared" si="132"/>
        <v>0</v>
      </c>
    </row>
    <row r="1237" spans="1:13" x14ac:dyDescent="0.25">
      <c r="A1237" s="16" t="str">
        <f t="shared" si="128"/>
        <v>July</v>
      </c>
      <c r="B1237" s="31">
        <v>44019</v>
      </c>
      <c r="C1237" s="32" t="s">
        <v>6</v>
      </c>
      <c r="D1237" s="9" t="str">
        <f t="shared" si="130"/>
        <v>44019 - T2</v>
      </c>
      <c r="E1237" s="32" t="s">
        <v>12</v>
      </c>
      <c r="F1237" s="2">
        <v>8000055</v>
      </c>
      <c r="G1237" s="4" t="str">
        <f>IFERROR(VLOOKUP(F1237,Lists!$C:$D,2,0), "N/A")</f>
        <v>916.BF FLIPZ 25 LB BULK MILK CHOC</v>
      </c>
      <c r="H1237" s="26">
        <f>IFERROR(VLOOKUP(F1237,Lists!$C:$F,4,0),0)</f>
        <v>1.9508160000000001</v>
      </c>
      <c r="I1237" s="7">
        <f t="shared" si="127"/>
        <v>5214</v>
      </c>
      <c r="J1237" s="6">
        <f>200*25</f>
        <v>5000</v>
      </c>
      <c r="K1237" s="33">
        <v>214</v>
      </c>
      <c r="L1237" s="5">
        <f t="shared" si="131"/>
        <v>4.2799999999999998E-2</v>
      </c>
      <c r="M1237" s="26">
        <f t="shared" si="132"/>
        <v>417.47462400000001</v>
      </c>
    </row>
    <row r="1238" spans="1:13" x14ac:dyDescent="0.25">
      <c r="A1238" s="16" t="str">
        <f t="shared" si="128"/>
        <v>July</v>
      </c>
      <c r="B1238" s="31">
        <v>44020</v>
      </c>
      <c r="C1238" s="32" t="s">
        <v>7</v>
      </c>
      <c r="D1238" s="9" t="str">
        <f t="shared" si="130"/>
        <v>44020 - T3</v>
      </c>
      <c r="E1238" s="32" t="s">
        <v>9</v>
      </c>
      <c r="F1238" s="2">
        <v>8000035</v>
      </c>
      <c r="G1238" s="4" t="str">
        <f>IFERROR(VLOOKUP(F1238,Lists!$C:$D,2,0), "N/A")</f>
        <v>TURTLES MILK CHOC ORIGINAL</v>
      </c>
      <c r="H1238" s="26">
        <f>IFERROR(VLOOKUP(F1238,Lists!$C:$F,4,0),0)</f>
        <v>1.91178</v>
      </c>
      <c r="I1238" s="7">
        <f t="shared" si="127"/>
        <v>11988.53</v>
      </c>
      <c r="J1238" s="6">
        <v>11507.53</v>
      </c>
      <c r="K1238" s="33">
        <v>481</v>
      </c>
      <c r="L1238" s="5">
        <f t="shared" si="131"/>
        <v>4.1798717882986183E-2</v>
      </c>
      <c r="M1238" s="26">
        <f t="shared" si="132"/>
        <v>919.56618000000003</v>
      </c>
    </row>
    <row r="1239" spans="1:13" x14ac:dyDescent="0.25">
      <c r="A1239" s="16" t="str">
        <f t="shared" si="128"/>
        <v>July</v>
      </c>
      <c r="B1239" s="31">
        <v>44020</v>
      </c>
      <c r="C1239" s="32" t="s">
        <v>7</v>
      </c>
      <c r="D1239" s="9" t="str">
        <f t="shared" si="130"/>
        <v>44020 - T3</v>
      </c>
      <c r="E1239" s="32" t="s">
        <v>10</v>
      </c>
      <c r="F1239" s="2">
        <v>8000055</v>
      </c>
      <c r="G1239" s="4" t="str">
        <f>IFERROR(VLOOKUP(F1239,Lists!$C:$D,2,0), "N/A")</f>
        <v>916.BF FLIPZ 25 LB BULK MILK CHOC</v>
      </c>
      <c r="H1239" s="26">
        <f>IFERROR(VLOOKUP(F1239,Lists!$C:$F,4,0),0)</f>
        <v>1.9508160000000001</v>
      </c>
      <c r="I1239" s="7">
        <f t="shared" si="127"/>
        <v>8037</v>
      </c>
      <c r="J1239" s="6">
        <f>320*25</f>
        <v>8000</v>
      </c>
      <c r="K1239" s="33">
        <v>37</v>
      </c>
      <c r="L1239" s="5">
        <f t="shared" si="131"/>
        <v>4.6249999999999998E-3</v>
      </c>
      <c r="M1239" s="26">
        <f t="shared" si="132"/>
        <v>72.180192000000005</v>
      </c>
    </row>
    <row r="1240" spans="1:13" x14ac:dyDescent="0.25">
      <c r="A1240" s="16" t="str">
        <f t="shared" si="128"/>
        <v>July</v>
      </c>
      <c r="B1240" s="31">
        <v>44020</v>
      </c>
      <c r="C1240" s="32" t="s">
        <v>7</v>
      </c>
      <c r="D1240" s="9" t="str">
        <f t="shared" si="130"/>
        <v>44020 - T3</v>
      </c>
      <c r="E1240" s="32" t="s">
        <v>11</v>
      </c>
      <c r="F1240" s="2">
        <v>8000034</v>
      </c>
      <c r="G1240" s="4" t="str">
        <f>IFERROR(VLOOKUP(F1240,Lists!$C:$D,2,0), "N/A")</f>
        <v>KS MILK CHOC MACADAMIA</v>
      </c>
      <c r="H1240" s="26">
        <f>IFERROR(VLOOKUP(F1240,Lists!$C:$F,4,0),0)</f>
        <v>3.8943099999999999</v>
      </c>
      <c r="I1240" s="7">
        <f t="shared" si="127"/>
        <v>10436</v>
      </c>
      <c r="J1240" s="6">
        <v>10400</v>
      </c>
      <c r="K1240" s="33">
        <v>36</v>
      </c>
      <c r="L1240" s="5">
        <f t="shared" si="131"/>
        <v>3.4615384615384616E-3</v>
      </c>
      <c r="M1240" s="26">
        <f t="shared" si="132"/>
        <v>140.19515999999999</v>
      </c>
    </row>
    <row r="1241" spans="1:13" x14ac:dyDescent="0.25">
      <c r="A1241" s="16" t="str">
        <f t="shared" si="128"/>
        <v>July</v>
      </c>
      <c r="B1241" s="31">
        <v>44020</v>
      </c>
      <c r="C1241" s="32" t="s">
        <v>7</v>
      </c>
      <c r="D1241" s="9" t="str">
        <f t="shared" si="130"/>
        <v>44020 - T3</v>
      </c>
      <c r="E1241" s="32" t="s">
        <v>12</v>
      </c>
      <c r="F1241" s="2">
        <v>8000055</v>
      </c>
      <c r="G1241" s="4" t="str">
        <f>IFERROR(VLOOKUP(F1241,Lists!$C:$D,2,0), "N/A")</f>
        <v>916.BF FLIPZ 25 LB BULK MILK CHOC</v>
      </c>
      <c r="H1241" s="26">
        <f>IFERROR(VLOOKUP(F1241,Lists!$C:$F,4,0),0)</f>
        <v>1.9508160000000001</v>
      </c>
      <c r="I1241" s="7">
        <f t="shared" si="127"/>
        <v>7323</v>
      </c>
      <c r="J1241" s="6">
        <f>280*25</f>
        <v>7000</v>
      </c>
      <c r="K1241" s="33">
        <v>323</v>
      </c>
      <c r="L1241" s="5">
        <f t="shared" si="131"/>
        <v>4.6142857142857145E-2</v>
      </c>
      <c r="M1241" s="26">
        <f t="shared" si="132"/>
        <v>630.11356799999999</v>
      </c>
    </row>
    <row r="1242" spans="1:13" x14ac:dyDescent="0.25">
      <c r="A1242" s="16" t="str">
        <f t="shared" si="128"/>
        <v>July</v>
      </c>
      <c r="B1242" s="31">
        <v>44020</v>
      </c>
      <c r="C1242" s="32" t="s">
        <v>7</v>
      </c>
      <c r="D1242" s="9" t="str">
        <f t="shared" si="130"/>
        <v>44020 - T3</v>
      </c>
      <c r="E1242" s="32" t="s">
        <v>15</v>
      </c>
      <c r="G1242" s="4" t="str">
        <f>IFERROR(VLOOKUP(F1242,Lists!$C:$D,2,0), "N/A")</f>
        <v>N/A</v>
      </c>
      <c r="H1242" s="26">
        <f>IFERROR(VLOOKUP(F1242,Lists!$C:$F,4,0),0)</f>
        <v>0</v>
      </c>
      <c r="I1242" s="7">
        <f t="shared" si="127"/>
        <v>5</v>
      </c>
      <c r="K1242" s="33">
        <v>5</v>
      </c>
      <c r="L1242" s="5">
        <f t="shared" si="131"/>
        <v>1</v>
      </c>
      <c r="M1242" s="26">
        <f t="shared" si="132"/>
        <v>0</v>
      </c>
    </row>
    <row r="1243" spans="1:13" x14ac:dyDescent="0.25">
      <c r="A1243" s="16" t="str">
        <f t="shared" si="128"/>
        <v>July</v>
      </c>
      <c r="B1243" s="31">
        <v>44020</v>
      </c>
      <c r="C1243" s="32" t="s">
        <v>8</v>
      </c>
      <c r="D1243" s="9" t="str">
        <f t="shared" si="130"/>
        <v>44020 - T4</v>
      </c>
      <c r="E1243" s="32" t="s">
        <v>9</v>
      </c>
      <c r="F1243" s="2">
        <v>8000035</v>
      </c>
      <c r="G1243" s="4" t="str">
        <f>IFERROR(VLOOKUP(F1243,Lists!$C:$D,2,0), "N/A")</f>
        <v>TURTLES MILK CHOC ORIGINAL</v>
      </c>
      <c r="H1243" s="26">
        <f>IFERROR(VLOOKUP(F1243,Lists!$C:$F,4,0),0)</f>
        <v>1.91178</v>
      </c>
      <c r="I1243" s="7">
        <f t="shared" si="127"/>
        <v>7151</v>
      </c>
      <c r="J1243" s="6">
        <v>6400</v>
      </c>
      <c r="K1243" s="33">
        <v>751</v>
      </c>
      <c r="L1243" s="5">
        <f t="shared" si="131"/>
        <v>0.11734375</v>
      </c>
      <c r="M1243" s="26">
        <f t="shared" si="132"/>
        <v>1435.7467799999999</v>
      </c>
    </row>
    <row r="1244" spans="1:13" x14ac:dyDescent="0.25">
      <c r="A1244" s="16" t="str">
        <f>TEXT(B1244,"mmmm")</f>
        <v>July</v>
      </c>
      <c r="B1244" s="31">
        <v>44020</v>
      </c>
      <c r="C1244" s="32" t="s">
        <v>8</v>
      </c>
      <c r="D1244" s="9" t="str">
        <f t="shared" si="130"/>
        <v>44020 - T4</v>
      </c>
      <c r="E1244" s="32" t="s">
        <v>10</v>
      </c>
      <c r="F1244" s="2">
        <v>8000055</v>
      </c>
      <c r="G1244" s="4" t="str">
        <f>IFERROR(VLOOKUP(F1244,Lists!$C:$D,2,0), "N/A")</f>
        <v>916.BF FLIPZ 25 LB BULK MILK CHOC</v>
      </c>
      <c r="H1244" s="26">
        <f>IFERROR(VLOOKUP(F1244,Lists!$C:$F,4,0),0)</f>
        <v>1.9508160000000001</v>
      </c>
      <c r="I1244" s="7">
        <f t="shared" si="127"/>
        <v>8176</v>
      </c>
      <c r="J1244" s="6">
        <f>320*25</f>
        <v>8000</v>
      </c>
      <c r="K1244" s="33">
        <v>176</v>
      </c>
      <c r="L1244" s="5">
        <f t="shared" si="131"/>
        <v>2.1999999999999999E-2</v>
      </c>
      <c r="M1244" s="26">
        <f t="shared" si="132"/>
        <v>343.343616</v>
      </c>
    </row>
    <row r="1245" spans="1:13" x14ac:dyDescent="0.25">
      <c r="A1245" s="16" t="str">
        <f t="shared" si="128"/>
        <v>July</v>
      </c>
      <c r="B1245" s="31">
        <v>44020</v>
      </c>
      <c r="C1245" s="32" t="s">
        <v>8</v>
      </c>
      <c r="D1245" s="9" t="str">
        <f t="shared" si="130"/>
        <v>44020 - T4</v>
      </c>
      <c r="E1245" s="32" t="s">
        <v>11</v>
      </c>
      <c r="F1245" s="2">
        <v>8000034</v>
      </c>
      <c r="G1245" s="4" t="str">
        <f>IFERROR(VLOOKUP(F1245,Lists!$C:$D,2,0), "N/A")</f>
        <v>KS MILK CHOC MACADAMIA</v>
      </c>
      <c r="H1245" s="26">
        <f>IFERROR(VLOOKUP(F1245,Lists!$C:$F,4,0),0)</f>
        <v>3.8943099999999999</v>
      </c>
      <c r="I1245" s="7">
        <f t="shared" si="127"/>
        <v>12098</v>
      </c>
      <c r="J1245" s="6">
        <v>12000</v>
      </c>
      <c r="K1245" s="33">
        <v>98</v>
      </c>
      <c r="L1245" s="5">
        <f t="shared" si="131"/>
        <v>8.1666666666666658E-3</v>
      </c>
      <c r="M1245" s="26">
        <f t="shared" si="132"/>
        <v>381.64238</v>
      </c>
    </row>
    <row r="1246" spans="1:13" x14ac:dyDescent="0.25">
      <c r="A1246" s="16" t="str">
        <f t="shared" si="128"/>
        <v>July</v>
      </c>
      <c r="B1246" s="31">
        <v>44020</v>
      </c>
      <c r="C1246" s="32" t="s">
        <v>8</v>
      </c>
      <c r="D1246" s="9" t="str">
        <f t="shared" si="130"/>
        <v>44020 - T4</v>
      </c>
      <c r="E1246" s="32" t="s">
        <v>15</v>
      </c>
      <c r="G1246" s="4" t="str">
        <f>IFERROR(VLOOKUP(F1246,Lists!$C:$D,2,0), "N/A")</f>
        <v>N/A</v>
      </c>
      <c r="H1246" s="26">
        <f>IFERROR(VLOOKUP(F1246,Lists!$C:$F,4,0),0)</f>
        <v>0</v>
      </c>
      <c r="I1246" s="7">
        <f t="shared" si="127"/>
        <v>136</v>
      </c>
      <c r="K1246" s="33">
        <v>136</v>
      </c>
      <c r="L1246" s="5">
        <f t="shared" si="131"/>
        <v>1</v>
      </c>
      <c r="M1246" s="26">
        <f t="shared" si="132"/>
        <v>0</v>
      </c>
    </row>
    <row r="1247" spans="1:13" x14ac:dyDescent="0.25">
      <c r="A1247" s="16" t="str">
        <f t="shared" si="128"/>
        <v>July</v>
      </c>
      <c r="B1247" s="31">
        <v>44021</v>
      </c>
      <c r="C1247" s="32" t="s">
        <v>7</v>
      </c>
      <c r="D1247" s="9" t="str">
        <f t="shared" si="130"/>
        <v>44021 - T3</v>
      </c>
      <c r="E1247" s="32" t="s">
        <v>9</v>
      </c>
      <c r="F1247" s="2">
        <v>8000035</v>
      </c>
      <c r="G1247" s="4" t="str">
        <f>IFERROR(VLOOKUP(F1247,Lists!$C:$D,2,0), "N/A")</f>
        <v>TURTLES MILK CHOC ORIGINAL</v>
      </c>
      <c r="H1247" s="26">
        <f>IFERROR(VLOOKUP(F1247,Lists!$C:$F,4,0),0)</f>
        <v>1.91178</v>
      </c>
      <c r="I1247" s="7">
        <f t="shared" si="127"/>
        <v>15116.8</v>
      </c>
      <c r="J1247" s="6">
        <v>14240.8</v>
      </c>
      <c r="K1247" s="33">
        <v>876</v>
      </c>
      <c r="L1247" s="5">
        <f t="shared" si="131"/>
        <v>6.1513398123700921E-2</v>
      </c>
      <c r="M1247" s="26">
        <f t="shared" si="132"/>
        <v>1674.71928</v>
      </c>
    </row>
    <row r="1248" spans="1:13" x14ac:dyDescent="0.25">
      <c r="A1248" s="16" t="str">
        <f t="shared" si="128"/>
        <v>July</v>
      </c>
      <c r="B1248" s="31">
        <v>44021</v>
      </c>
      <c r="C1248" s="32" t="s">
        <v>7</v>
      </c>
      <c r="D1248" s="9" t="str">
        <f t="shared" si="130"/>
        <v>44021 - T3</v>
      </c>
      <c r="E1248" s="32" t="s">
        <v>10</v>
      </c>
      <c r="F1248" s="2">
        <v>8000055</v>
      </c>
      <c r="G1248" s="4" t="str">
        <f>IFERROR(VLOOKUP(F1248,Lists!$C:$D,2,0), "N/A")</f>
        <v>916.BF FLIPZ 25 LB BULK MILK CHOC</v>
      </c>
      <c r="H1248" s="26">
        <f>IFERROR(VLOOKUP(F1248,Lists!$C:$F,4,0),0)</f>
        <v>1.9508160000000001</v>
      </c>
      <c r="I1248" s="7">
        <f t="shared" si="127"/>
        <v>7195</v>
      </c>
      <c r="J1248" s="6">
        <f>280*25</f>
        <v>7000</v>
      </c>
      <c r="K1248" s="33">
        <v>195</v>
      </c>
      <c r="L1248" s="5">
        <f t="shared" si="131"/>
        <v>2.7857142857142858E-2</v>
      </c>
      <c r="M1248" s="26">
        <f t="shared" si="132"/>
        <v>380.40912000000003</v>
      </c>
    </row>
    <row r="1249" spans="1:13" x14ac:dyDescent="0.25">
      <c r="A1249" s="16" t="str">
        <f t="shared" si="128"/>
        <v>July</v>
      </c>
      <c r="B1249" s="31">
        <v>44021</v>
      </c>
      <c r="C1249" s="32" t="s">
        <v>7</v>
      </c>
      <c r="D1249" s="9" t="str">
        <f t="shared" si="130"/>
        <v>44021 - T3</v>
      </c>
      <c r="E1249" s="32" t="s">
        <v>11</v>
      </c>
      <c r="F1249" s="2">
        <v>8000034</v>
      </c>
      <c r="G1249" s="4" t="str">
        <f>IFERROR(VLOOKUP(F1249,Lists!$C:$D,2,0), "N/A")</f>
        <v>KS MILK CHOC MACADAMIA</v>
      </c>
      <c r="H1249" s="26">
        <f>IFERROR(VLOOKUP(F1249,Lists!$C:$F,4,0),0)</f>
        <v>3.8943099999999999</v>
      </c>
      <c r="I1249" s="7">
        <f t="shared" si="127"/>
        <v>12015</v>
      </c>
      <c r="J1249" s="6">
        <v>12000</v>
      </c>
      <c r="K1249" s="33">
        <v>15</v>
      </c>
      <c r="L1249" s="5">
        <f t="shared" si="131"/>
        <v>1.25E-3</v>
      </c>
      <c r="M1249" s="26">
        <f t="shared" si="132"/>
        <v>58.414650000000002</v>
      </c>
    </row>
    <row r="1250" spans="1:13" x14ac:dyDescent="0.25">
      <c r="A1250" s="16" t="str">
        <f t="shared" si="128"/>
        <v>July</v>
      </c>
      <c r="B1250" s="31">
        <v>44021</v>
      </c>
      <c r="C1250" s="32" t="s">
        <v>7</v>
      </c>
      <c r="D1250" s="9" t="str">
        <f t="shared" si="130"/>
        <v>44021 - T3</v>
      </c>
      <c r="E1250" s="32" t="s">
        <v>15</v>
      </c>
      <c r="G1250" s="4" t="str">
        <f>IFERROR(VLOOKUP(F1250,Lists!$C:$D,2,0), "N/A")</f>
        <v>N/A</v>
      </c>
      <c r="H1250" s="26">
        <f>IFERROR(VLOOKUP(F1250,Lists!$C:$F,4,0),0)</f>
        <v>0</v>
      </c>
      <c r="I1250" s="7">
        <f t="shared" si="127"/>
        <v>60</v>
      </c>
      <c r="K1250" s="33">
        <v>60</v>
      </c>
      <c r="L1250" s="5">
        <f t="shared" si="131"/>
        <v>1</v>
      </c>
      <c r="M1250" s="26">
        <f t="shared" si="132"/>
        <v>0</v>
      </c>
    </row>
    <row r="1251" spans="1:13" x14ac:dyDescent="0.25">
      <c r="A1251" s="16" t="str">
        <f t="shared" si="128"/>
        <v>July</v>
      </c>
      <c r="B1251" s="31">
        <v>44021</v>
      </c>
      <c r="C1251" s="32" t="s">
        <v>8</v>
      </c>
      <c r="D1251" s="9" t="str">
        <f t="shared" si="130"/>
        <v>44021 - T4</v>
      </c>
      <c r="E1251" s="32" t="s">
        <v>9</v>
      </c>
      <c r="F1251" s="2">
        <v>8000035</v>
      </c>
      <c r="G1251" s="4" t="str">
        <f>IFERROR(VLOOKUP(F1251,Lists!$C:$D,2,0), "N/A")</f>
        <v>TURTLES MILK CHOC ORIGINAL</v>
      </c>
      <c r="H1251" s="26">
        <f>IFERROR(VLOOKUP(F1251,Lists!$C:$F,4,0),0)</f>
        <v>1.91178</v>
      </c>
      <c r="I1251" s="7">
        <f t="shared" si="127"/>
        <v>12909.2</v>
      </c>
      <c r="J1251" s="6">
        <v>12491.2</v>
      </c>
      <c r="K1251" s="33">
        <v>418</v>
      </c>
      <c r="L1251" s="5">
        <f t="shared" si="131"/>
        <v>3.3463558345074931E-2</v>
      </c>
      <c r="M1251" s="26">
        <f t="shared" si="132"/>
        <v>799.12404000000004</v>
      </c>
    </row>
    <row r="1252" spans="1:13" x14ac:dyDescent="0.25">
      <c r="A1252" s="16" t="str">
        <f t="shared" si="128"/>
        <v>July</v>
      </c>
      <c r="B1252" s="31">
        <v>44021</v>
      </c>
      <c r="C1252" s="32" t="s">
        <v>8</v>
      </c>
      <c r="D1252" s="9" t="str">
        <f t="shared" si="130"/>
        <v>44021 - T4</v>
      </c>
      <c r="E1252" s="32" t="s">
        <v>11</v>
      </c>
      <c r="F1252" s="2">
        <v>8000034</v>
      </c>
      <c r="G1252" s="4" t="str">
        <f>IFERROR(VLOOKUP(F1252,Lists!$C:$D,2,0), "N/A")</f>
        <v>KS MILK CHOC MACADAMIA</v>
      </c>
      <c r="H1252" s="26">
        <f>IFERROR(VLOOKUP(F1252,Lists!$C:$F,4,0),0)</f>
        <v>3.8943099999999999</v>
      </c>
      <c r="I1252" s="7">
        <f t="shared" si="127"/>
        <v>12993</v>
      </c>
      <c r="J1252" s="6">
        <v>12800</v>
      </c>
      <c r="K1252" s="33">
        <v>193</v>
      </c>
      <c r="L1252" s="5">
        <f t="shared" si="131"/>
        <v>1.5078125E-2</v>
      </c>
      <c r="M1252" s="26">
        <f t="shared" si="132"/>
        <v>751.60182999999995</v>
      </c>
    </row>
    <row r="1253" spans="1:13" x14ac:dyDescent="0.25">
      <c r="A1253" s="16" t="str">
        <f t="shared" si="128"/>
        <v>July</v>
      </c>
      <c r="B1253" s="31">
        <v>44021</v>
      </c>
      <c r="C1253" s="32" t="s">
        <v>8</v>
      </c>
      <c r="D1253" s="9" t="str">
        <f t="shared" si="130"/>
        <v>44021 - T4</v>
      </c>
      <c r="E1253" s="32" t="s">
        <v>15</v>
      </c>
      <c r="G1253" s="4" t="str">
        <f>IFERROR(VLOOKUP(F1253,Lists!$C:$D,2,0), "N/A")</f>
        <v>N/A</v>
      </c>
      <c r="H1253" s="26">
        <f>IFERROR(VLOOKUP(F1253,Lists!$C:$F,4,0),0)</f>
        <v>0</v>
      </c>
      <c r="I1253" s="7">
        <f t="shared" si="127"/>
        <v>8</v>
      </c>
      <c r="K1253" s="33">
        <v>8</v>
      </c>
      <c r="L1253" s="5">
        <f t="shared" si="131"/>
        <v>1</v>
      </c>
      <c r="M1253" s="26">
        <f t="shared" si="132"/>
        <v>0</v>
      </c>
    </row>
    <row r="1254" spans="1:13" x14ac:dyDescent="0.25">
      <c r="A1254" s="16" t="str">
        <f t="shared" si="128"/>
        <v>July</v>
      </c>
      <c r="B1254" s="31">
        <v>44022</v>
      </c>
      <c r="C1254" s="32" t="s">
        <v>5</v>
      </c>
      <c r="D1254" s="9" t="str">
        <f t="shared" si="130"/>
        <v>44022 - T1</v>
      </c>
      <c r="E1254" s="32" t="s">
        <v>9</v>
      </c>
      <c r="F1254" s="2">
        <v>8000035</v>
      </c>
      <c r="G1254" s="4" t="str">
        <f>IFERROR(VLOOKUP(F1254,Lists!$C:$D,2,0), "N/A")</f>
        <v>TURTLES MILK CHOC ORIGINAL</v>
      </c>
      <c r="H1254" s="26">
        <f>IFERROR(VLOOKUP(F1254,Lists!$C:$F,4,0),0)</f>
        <v>1.91178</v>
      </c>
      <c r="I1254" s="7">
        <f t="shared" si="127"/>
        <v>16696.599999999999</v>
      </c>
      <c r="J1254" s="6">
        <v>15753.6</v>
      </c>
      <c r="K1254" s="33">
        <v>943</v>
      </c>
      <c r="L1254" s="5">
        <f t="shared" si="131"/>
        <v>5.9859333739589682E-2</v>
      </c>
      <c r="M1254" s="26">
        <f t="shared" si="132"/>
        <v>1802.80854</v>
      </c>
    </row>
    <row r="1255" spans="1:13" x14ac:dyDescent="0.25">
      <c r="A1255" s="16" t="str">
        <f t="shared" si="128"/>
        <v>July</v>
      </c>
      <c r="B1255" s="31">
        <v>44022</v>
      </c>
      <c r="C1255" s="32" t="s">
        <v>5</v>
      </c>
      <c r="D1255" s="9" t="str">
        <f t="shared" si="130"/>
        <v>44022 - T1</v>
      </c>
      <c r="E1255" s="32" t="s">
        <v>10</v>
      </c>
      <c r="F1255" s="2">
        <v>8000055</v>
      </c>
      <c r="G1255" s="4" t="str">
        <f>IFERROR(VLOOKUP(F1255,Lists!$C:$D,2,0), "N/A")</f>
        <v>916.BF FLIPZ 25 LB BULK MILK CHOC</v>
      </c>
      <c r="H1255" s="26">
        <f>IFERROR(VLOOKUP(F1255,Lists!$C:$F,4,0),0)</f>
        <v>1.9508160000000001</v>
      </c>
      <c r="I1255" s="7">
        <f t="shared" si="127"/>
        <v>7353</v>
      </c>
      <c r="J1255" s="6">
        <f>280*25</f>
        <v>7000</v>
      </c>
      <c r="K1255" s="33">
        <v>353</v>
      </c>
      <c r="L1255" s="5">
        <f t="shared" si="131"/>
        <v>5.0428571428571427E-2</v>
      </c>
      <c r="M1255" s="26">
        <f t="shared" si="132"/>
        <v>688.63804800000003</v>
      </c>
    </row>
    <row r="1256" spans="1:13" x14ac:dyDescent="0.25">
      <c r="A1256" s="16" t="str">
        <f t="shared" si="128"/>
        <v>July</v>
      </c>
      <c r="B1256" s="31">
        <v>44022</v>
      </c>
      <c r="C1256" s="32" t="s">
        <v>5</v>
      </c>
      <c r="D1256" s="9" t="str">
        <f t="shared" si="130"/>
        <v>44022 - T1</v>
      </c>
      <c r="E1256" s="32" t="s">
        <v>11</v>
      </c>
      <c r="F1256" s="2">
        <v>8000034</v>
      </c>
      <c r="G1256" s="4" t="str">
        <f>IFERROR(VLOOKUP(F1256,Lists!$C:$D,2,0), "N/A")</f>
        <v>KS MILK CHOC MACADAMIA</v>
      </c>
      <c r="H1256" s="26">
        <f>IFERROR(VLOOKUP(F1256,Lists!$C:$F,4,0),0)</f>
        <v>3.8943099999999999</v>
      </c>
      <c r="I1256" s="7">
        <f t="shared" si="127"/>
        <v>2479</v>
      </c>
      <c r="J1256" s="6">
        <v>2400</v>
      </c>
      <c r="K1256" s="33">
        <v>79</v>
      </c>
      <c r="L1256" s="5">
        <f t="shared" si="131"/>
        <v>3.2916666666666664E-2</v>
      </c>
      <c r="M1256" s="26">
        <f t="shared" si="132"/>
        <v>307.65048999999999</v>
      </c>
    </row>
    <row r="1257" spans="1:13" x14ac:dyDescent="0.25">
      <c r="A1257" s="16" t="str">
        <f t="shared" si="128"/>
        <v>July</v>
      </c>
      <c r="B1257" s="31">
        <v>44022</v>
      </c>
      <c r="C1257" s="32" t="s">
        <v>5</v>
      </c>
      <c r="D1257" s="9" t="str">
        <f t="shared" si="130"/>
        <v>44022 - T1</v>
      </c>
      <c r="E1257" s="32" t="s">
        <v>12</v>
      </c>
      <c r="F1257" s="2">
        <v>8000055</v>
      </c>
      <c r="G1257" s="4" t="str">
        <f>IFERROR(VLOOKUP(F1257,Lists!$C:$D,2,0), "N/A")</f>
        <v>916.BF FLIPZ 25 LB BULK MILK CHOC</v>
      </c>
      <c r="H1257" s="26">
        <f>IFERROR(VLOOKUP(F1257,Lists!$C:$F,4,0),0)</f>
        <v>1.9508160000000001</v>
      </c>
      <c r="I1257" s="7">
        <f t="shared" si="127"/>
        <v>6101</v>
      </c>
      <c r="J1257" s="6">
        <f>240*25</f>
        <v>6000</v>
      </c>
      <c r="K1257" s="33">
        <v>101</v>
      </c>
      <c r="L1257" s="5">
        <f t="shared" si="131"/>
        <v>1.6833333333333332E-2</v>
      </c>
      <c r="M1257" s="26">
        <f t="shared" si="132"/>
        <v>197.03241600000001</v>
      </c>
    </row>
    <row r="1258" spans="1:13" x14ac:dyDescent="0.25">
      <c r="A1258" s="16" t="str">
        <f t="shared" si="128"/>
        <v>July</v>
      </c>
      <c r="B1258" s="31">
        <v>44022</v>
      </c>
      <c r="C1258" s="32" t="s">
        <v>6</v>
      </c>
      <c r="D1258" s="9" t="str">
        <f t="shared" si="130"/>
        <v>44022 - T2</v>
      </c>
      <c r="E1258" s="32" t="s">
        <v>9</v>
      </c>
      <c r="F1258" s="2">
        <v>8000035</v>
      </c>
      <c r="G1258" s="4" t="str">
        <f>IFERROR(VLOOKUP(F1258,Lists!$C:$D,2,0), "N/A")</f>
        <v>TURTLES MILK CHOC ORIGINAL</v>
      </c>
      <c r="H1258" s="26">
        <f>IFERROR(VLOOKUP(F1258,Lists!$C:$F,4,0),0)</f>
        <v>1.91178</v>
      </c>
      <c r="I1258" s="7">
        <f t="shared" si="127"/>
        <v>19410.599999999999</v>
      </c>
      <c r="J1258" s="6">
        <v>19053.599999999999</v>
      </c>
      <c r="K1258" s="33">
        <v>357</v>
      </c>
      <c r="L1258" s="5">
        <f t="shared" si="131"/>
        <v>1.8736616702355463E-2</v>
      </c>
      <c r="M1258" s="26">
        <f t="shared" si="132"/>
        <v>682.50545999999997</v>
      </c>
    </row>
    <row r="1259" spans="1:13" x14ac:dyDescent="0.25">
      <c r="A1259" s="16" t="str">
        <f t="shared" si="128"/>
        <v>July</v>
      </c>
      <c r="B1259" s="31">
        <v>44022</v>
      </c>
      <c r="C1259" s="32" t="s">
        <v>6</v>
      </c>
      <c r="D1259" s="9" t="str">
        <f t="shared" si="130"/>
        <v>44022 - T2</v>
      </c>
      <c r="E1259" s="32" t="s">
        <v>10</v>
      </c>
      <c r="F1259" s="2">
        <v>8000055</v>
      </c>
      <c r="G1259" s="4" t="str">
        <f>IFERROR(VLOOKUP(F1259,Lists!$C:$D,2,0), "N/A")</f>
        <v>916.BF FLIPZ 25 LB BULK MILK CHOC</v>
      </c>
      <c r="H1259" s="26">
        <f>IFERROR(VLOOKUP(F1259,Lists!$C:$F,4,0),0)</f>
        <v>1.9508160000000001</v>
      </c>
      <c r="I1259" s="7">
        <f t="shared" si="127"/>
        <v>8005</v>
      </c>
      <c r="J1259" s="6">
        <f>320*25</f>
        <v>8000</v>
      </c>
      <c r="K1259" s="33">
        <v>5</v>
      </c>
      <c r="L1259" s="5">
        <f t="shared" si="131"/>
        <v>6.2500000000000001E-4</v>
      </c>
      <c r="M1259" s="26">
        <f t="shared" si="132"/>
        <v>9.7540800000000001</v>
      </c>
    </row>
    <row r="1260" spans="1:13" x14ac:dyDescent="0.25">
      <c r="A1260" s="16" t="str">
        <f t="shared" si="128"/>
        <v>July</v>
      </c>
      <c r="B1260" s="31">
        <v>44022</v>
      </c>
      <c r="C1260" s="32" t="s">
        <v>6</v>
      </c>
      <c r="D1260" s="9" t="str">
        <f t="shared" si="130"/>
        <v>44022 - T2</v>
      </c>
      <c r="E1260" s="32" t="s">
        <v>11</v>
      </c>
      <c r="F1260" s="2">
        <v>8000034</v>
      </c>
      <c r="G1260" s="4" t="str">
        <f>IFERROR(VLOOKUP(F1260,Lists!$C:$D,2,0), "N/A")</f>
        <v>KS MILK CHOC MACADAMIA</v>
      </c>
      <c r="H1260" s="26">
        <f>IFERROR(VLOOKUP(F1260,Lists!$C:$F,4,0),0)</f>
        <v>3.8943099999999999</v>
      </c>
      <c r="I1260" s="7">
        <f t="shared" si="127"/>
        <v>12210</v>
      </c>
      <c r="J1260" s="6">
        <v>12000</v>
      </c>
      <c r="K1260" s="33">
        <v>210</v>
      </c>
      <c r="L1260" s="5">
        <f t="shared" si="131"/>
        <v>1.7500000000000002E-2</v>
      </c>
      <c r="M1260" s="26">
        <f t="shared" si="132"/>
        <v>817.80510000000004</v>
      </c>
    </row>
    <row r="1261" spans="1:13" x14ac:dyDescent="0.25">
      <c r="A1261" s="16" t="str">
        <f t="shared" si="128"/>
        <v>July</v>
      </c>
      <c r="B1261" s="31">
        <v>44022</v>
      </c>
      <c r="C1261" s="32" t="s">
        <v>6</v>
      </c>
      <c r="D1261" s="9" t="str">
        <f t="shared" si="130"/>
        <v>44022 - T2</v>
      </c>
      <c r="E1261" s="32" t="s">
        <v>15</v>
      </c>
      <c r="G1261" s="4" t="str">
        <f>IFERROR(VLOOKUP(F1261,Lists!$C:$D,2,0), "N/A")</f>
        <v>N/A</v>
      </c>
      <c r="H1261" s="26">
        <f>IFERROR(VLOOKUP(F1261,Lists!$C:$F,4,0),0)</f>
        <v>0</v>
      </c>
      <c r="I1261" s="7">
        <f t="shared" si="127"/>
        <v>98</v>
      </c>
      <c r="K1261" s="33">
        <v>98</v>
      </c>
      <c r="L1261" s="5">
        <f t="shared" si="131"/>
        <v>1</v>
      </c>
      <c r="M1261" s="26">
        <f t="shared" si="132"/>
        <v>0</v>
      </c>
    </row>
    <row r="1262" spans="1:13" x14ac:dyDescent="0.25">
      <c r="A1262" s="16" t="str">
        <f t="shared" si="128"/>
        <v>July</v>
      </c>
      <c r="B1262" s="31">
        <v>44023</v>
      </c>
      <c r="C1262" s="32" t="s">
        <v>5</v>
      </c>
      <c r="D1262" s="9" t="str">
        <f t="shared" si="130"/>
        <v>44023 - T1</v>
      </c>
      <c r="E1262" s="32" t="s">
        <v>9</v>
      </c>
      <c r="F1262" s="2">
        <v>8000035</v>
      </c>
      <c r="G1262" s="4" t="str">
        <f>IFERROR(VLOOKUP(F1262,Lists!$C:$D,2,0), "N/A")</f>
        <v>TURTLES MILK CHOC ORIGINAL</v>
      </c>
      <c r="H1262" s="26">
        <f>IFERROR(VLOOKUP(F1262,Lists!$C:$F,4,0),0)</f>
        <v>1.91178</v>
      </c>
      <c r="I1262" s="7">
        <f t="shared" ref="I1262:I1324" si="133">J1262+K1262</f>
        <v>12282.8</v>
      </c>
      <c r="J1262" s="6">
        <v>11404.8</v>
      </c>
      <c r="K1262" s="33">
        <v>878</v>
      </c>
      <c r="L1262" s="5">
        <f t="shared" si="131"/>
        <v>7.6985129068462402E-2</v>
      </c>
      <c r="M1262" s="26">
        <f t="shared" si="132"/>
        <v>1678.5428400000001</v>
      </c>
    </row>
    <row r="1263" spans="1:13" x14ac:dyDescent="0.25">
      <c r="A1263" s="16" t="str">
        <f t="shared" si="128"/>
        <v>July</v>
      </c>
      <c r="B1263" s="31">
        <v>44023</v>
      </c>
      <c r="C1263" s="32" t="s">
        <v>5</v>
      </c>
      <c r="D1263" s="9" t="str">
        <f t="shared" si="130"/>
        <v>44023 - T1</v>
      </c>
      <c r="E1263" s="32" t="s">
        <v>10</v>
      </c>
      <c r="F1263" s="2">
        <v>8000055</v>
      </c>
      <c r="G1263" s="4" t="str">
        <f>IFERROR(VLOOKUP(F1263,Lists!$C:$D,2,0), "N/A")</f>
        <v>916.BF FLIPZ 25 LB BULK MILK CHOC</v>
      </c>
      <c r="H1263" s="26">
        <f>IFERROR(VLOOKUP(F1263,Lists!$C:$F,4,0),0)</f>
        <v>1.9508160000000001</v>
      </c>
      <c r="I1263" s="7">
        <f t="shared" si="133"/>
        <v>9168</v>
      </c>
      <c r="J1263" s="6">
        <f>360*25</f>
        <v>9000</v>
      </c>
      <c r="K1263" s="33">
        <v>168</v>
      </c>
      <c r="L1263" s="5">
        <f t="shared" si="131"/>
        <v>1.8666666666666668E-2</v>
      </c>
      <c r="M1263" s="26">
        <f t="shared" si="132"/>
        <v>327.73708800000003</v>
      </c>
    </row>
    <row r="1264" spans="1:13" x14ac:dyDescent="0.25">
      <c r="A1264" s="16" t="str">
        <f t="shared" si="128"/>
        <v>July</v>
      </c>
      <c r="B1264" s="31">
        <v>44023</v>
      </c>
      <c r="C1264" s="32" t="s">
        <v>5</v>
      </c>
      <c r="D1264" s="9" t="str">
        <f t="shared" si="130"/>
        <v>44023 - T1</v>
      </c>
      <c r="E1264" s="32" t="s">
        <v>11</v>
      </c>
      <c r="F1264" s="2">
        <v>8000034</v>
      </c>
      <c r="G1264" s="4" t="str">
        <f>IFERROR(VLOOKUP(F1264,Lists!$C:$D,2,0), "N/A")</f>
        <v>KS MILK CHOC MACADAMIA</v>
      </c>
      <c r="H1264" s="26">
        <f>IFERROR(VLOOKUP(F1264,Lists!$C:$F,4,0),0)</f>
        <v>3.8943099999999999</v>
      </c>
      <c r="I1264" s="7">
        <f t="shared" si="133"/>
        <v>12225</v>
      </c>
      <c r="J1264" s="6">
        <v>12000</v>
      </c>
      <c r="K1264" s="33">
        <v>225</v>
      </c>
      <c r="L1264" s="5">
        <f t="shared" si="131"/>
        <v>1.8749999999999999E-2</v>
      </c>
      <c r="M1264" s="26">
        <f t="shared" si="132"/>
        <v>876.21974999999998</v>
      </c>
    </row>
    <row r="1265" spans="1:13" x14ac:dyDescent="0.25">
      <c r="A1265" s="16" t="str">
        <f t="shared" si="128"/>
        <v>July</v>
      </c>
      <c r="B1265" s="31">
        <v>44023</v>
      </c>
      <c r="C1265" s="32" t="s">
        <v>5</v>
      </c>
      <c r="D1265" s="9" t="str">
        <f t="shared" si="130"/>
        <v>44023 - T1</v>
      </c>
      <c r="E1265" s="32" t="s">
        <v>12</v>
      </c>
      <c r="F1265" s="2">
        <v>8000055</v>
      </c>
      <c r="G1265" s="4" t="str">
        <f>IFERROR(VLOOKUP(F1265,Lists!$C:$D,2,0), "N/A")</f>
        <v>916.BF FLIPZ 25 LB BULK MILK CHOC</v>
      </c>
      <c r="H1265" s="26">
        <f>IFERROR(VLOOKUP(F1265,Lists!$C:$F,4,0),0)</f>
        <v>1.9508160000000001</v>
      </c>
      <c r="I1265" s="7">
        <f t="shared" si="133"/>
        <v>7208</v>
      </c>
      <c r="J1265" s="6">
        <f>280*25</f>
        <v>7000</v>
      </c>
      <c r="K1265" s="33">
        <v>208</v>
      </c>
      <c r="L1265" s="5">
        <f t="shared" si="131"/>
        <v>2.9714285714285714E-2</v>
      </c>
      <c r="M1265" s="26">
        <f t="shared" si="132"/>
        <v>405.76972800000004</v>
      </c>
    </row>
    <row r="1266" spans="1:13" x14ac:dyDescent="0.25">
      <c r="A1266" s="16" t="str">
        <f t="shared" si="128"/>
        <v>July</v>
      </c>
      <c r="B1266" s="31">
        <v>44023</v>
      </c>
      <c r="C1266" s="32" t="s">
        <v>6</v>
      </c>
      <c r="D1266" s="9" t="str">
        <f t="shared" si="130"/>
        <v>44023 - T2</v>
      </c>
      <c r="E1266" s="32" t="s">
        <v>9</v>
      </c>
      <c r="F1266" s="2">
        <v>8000035</v>
      </c>
      <c r="G1266" s="4" t="str">
        <f>IFERROR(VLOOKUP(F1266,Lists!$C:$D,2,0), "N/A")</f>
        <v>TURTLES MILK CHOC ORIGINAL</v>
      </c>
      <c r="H1266" s="26">
        <f>IFERROR(VLOOKUP(F1266,Lists!$C:$F,4,0),0)</f>
        <v>1.91178</v>
      </c>
      <c r="I1266" s="7">
        <f t="shared" si="133"/>
        <v>14519.4</v>
      </c>
      <c r="J1266" s="6">
        <v>14030.4</v>
      </c>
      <c r="K1266" s="33">
        <v>489</v>
      </c>
      <c r="L1266" s="5">
        <f t="shared" si="131"/>
        <v>3.4852890865549095E-2</v>
      </c>
      <c r="M1266" s="26">
        <f t="shared" si="132"/>
        <v>934.86041999999998</v>
      </c>
    </row>
    <row r="1267" spans="1:13" x14ac:dyDescent="0.25">
      <c r="A1267" s="16" t="str">
        <f t="shared" ref="A1267:A1329" si="134">TEXT(B1267,"mmmm")</f>
        <v>July</v>
      </c>
      <c r="B1267" s="31">
        <v>44023</v>
      </c>
      <c r="C1267" s="32" t="s">
        <v>6</v>
      </c>
      <c r="D1267" s="9" t="str">
        <f t="shared" si="130"/>
        <v>44023 - T2</v>
      </c>
      <c r="E1267" s="32" t="s">
        <v>10</v>
      </c>
      <c r="F1267" s="2">
        <v>8000055</v>
      </c>
      <c r="G1267" s="4" t="str">
        <f>IFERROR(VLOOKUP(F1267,Lists!$C:$D,2,0), "N/A")</f>
        <v>916.BF FLIPZ 25 LB BULK MILK CHOC</v>
      </c>
      <c r="H1267" s="26">
        <f>IFERROR(VLOOKUP(F1267,Lists!$C:$F,4,0),0)</f>
        <v>1.9508160000000001</v>
      </c>
      <c r="I1267" s="7">
        <f t="shared" si="133"/>
        <v>6061</v>
      </c>
      <c r="J1267" s="6">
        <f>240*25</f>
        <v>6000</v>
      </c>
      <c r="K1267" s="33">
        <v>61</v>
      </c>
      <c r="L1267" s="5">
        <f t="shared" si="131"/>
        <v>1.0166666666666666E-2</v>
      </c>
      <c r="M1267" s="26">
        <f t="shared" si="132"/>
        <v>118.99977600000001</v>
      </c>
    </row>
    <row r="1268" spans="1:13" x14ac:dyDescent="0.25">
      <c r="A1268" s="16" t="str">
        <f t="shared" si="134"/>
        <v>July</v>
      </c>
      <c r="B1268" s="31">
        <v>44023</v>
      </c>
      <c r="C1268" s="32" t="s">
        <v>6</v>
      </c>
      <c r="D1268" s="9" t="str">
        <f t="shared" si="130"/>
        <v>44023 - T2</v>
      </c>
      <c r="E1268" s="32" t="s">
        <v>11</v>
      </c>
      <c r="F1268" s="2">
        <v>8000034</v>
      </c>
      <c r="G1268" s="4" t="str">
        <f>IFERROR(VLOOKUP(F1268,Lists!$C:$D,2,0), "N/A")</f>
        <v>KS MILK CHOC MACADAMIA</v>
      </c>
      <c r="H1268" s="26">
        <f>IFERROR(VLOOKUP(F1268,Lists!$C:$F,4,0),0)</f>
        <v>3.8943099999999999</v>
      </c>
      <c r="I1268" s="7">
        <f t="shared" si="133"/>
        <v>10629</v>
      </c>
      <c r="J1268" s="6">
        <v>10400</v>
      </c>
      <c r="K1268" s="33">
        <v>229</v>
      </c>
      <c r="L1268" s="5">
        <f t="shared" si="131"/>
        <v>2.201923076923077E-2</v>
      </c>
      <c r="M1268" s="26">
        <f t="shared" si="132"/>
        <v>891.79698999999994</v>
      </c>
    </row>
    <row r="1269" spans="1:13" x14ac:dyDescent="0.25">
      <c r="A1269" s="16" t="str">
        <f t="shared" si="134"/>
        <v>July</v>
      </c>
      <c r="B1269" s="31">
        <v>44023</v>
      </c>
      <c r="C1269" s="32" t="s">
        <v>6</v>
      </c>
      <c r="D1269" s="9" t="str">
        <f t="shared" si="130"/>
        <v>44023 - T2</v>
      </c>
      <c r="E1269" s="32" t="s">
        <v>15</v>
      </c>
      <c r="G1269" s="4" t="str">
        <f>IFERROR(VLOOKUP(F1269,Lists!$C:$D,2,0), "N/A")</f>
        <v>N/A</v>
      </c>
      <c r="H1269" s="26">
        <f>IFERROR(VLOOKUP(F1269,Lists!$C:$F,4,0),0)</f>
        <v>0</v>
      </c>
      <c r="I1269" s="7">
        <f t="shared" si="133"/>
        <v>6</v>
      </c>
      <c r="K1269" s="33">
        <v>6</v>
      </c>
      <c r="L1269" s="5">
        <f t="shared" si="131"/>
        <v>1</v>
      </c>
      <c r="M1269" s="26">
        <f t="shared" si="132"/>
        <v>0</v>
      </c>
    </row>
    <row r="1270" spans="1:13" x14ac:dyDescent="0.25">
      <c r="A1270" s="16" t="str">
        <f t="shared" si="134"/>
        <v>July</v>
      </c>
      <c r="B1270" s="31">
        <v>44024</v>
      </c>
      <c r="C1270" s="32" t="s">
        <v>5</v>
      </c>
      <c r="D1270" s="9" t="str">
        <f t="shared" si="130"/>
        <v>44024 - T1</v>
      </c>
      <c r="E1270" s="32" t="s">
        <v>9</v>
      </c>
      <c r="F1270" s="2">
        <v>8000035</v>
      </c>
      <c r="G1270" s="4" t="str">
        <f>IFERROR(VLOOKUP(F1270,Lists!$C:$D,2,0), "N/A")</f>
        <v>TURTLES MILK CHOC ORIGINAL</v>
      </c>
      <c r="H1270" s="26">
        <f>IFERROR(VLOOKUP(F1270,Lists!$C:$F,4,0),0)</f>
        <v>1.91178</v>
      </c>
      <c r="I1270" s="7">
        <f t="shared" si="133"/>
        <v>15586</v>
      </c>
      <c r="J1270" s="6">
        <v>15035</v>
      </c>
      <c r="K1270" s="33">
        <v>551</v>
      </c>
      <c r="L1270" s="5">
        <f t="shared" si="131"/>
        <v>3.6647821749251748E-2</v>
      </c>
      <c r="M1270" s="26">
        <f t="shared" si="132"/>
        <v>1053.3907799999999</v>
      </c>
    </row>
    <row r="1271" spans="1:13" x14ac:dyDescent="0.25">
      <c r="A1271" s="16" t="str">
        <f t="shared" si="134"/>
        <v>July</v>
      </c>
      <c r="B1271" s="31">
        <v>44024</v>
      </c>
      <c r="C1271" s="32" t="s">
        <v>5</v>
      </c>
      <c r="D1271" s="9" t="str">
        <f t="shared" si="130"/>
        <v>44024 - T1</v>
      </c>
      <c r="E1271" s="32" t="s">
        <v>10</v>
      </c>
      <c r="F1271" s="2">
        <v>8000055</v>
      </c>
      <c r="G1271" s="4" t="str">
        <f>IFERROR(VLOOKUP(F1271,Lists!$C:$D,2,0), "N/A")</f>
        <v>916.BF FLIPZ 25 LB BULK MILK CHOC</v>
      </c>
      <c r="H1271" s="26">
        <f>IFERROR(VLOOKUP(F1271,Lists!$C:$F,4,0),0)</f>
        <v>1.9508160000000001</v>
      </c>
      <c r="I1271" s="7">
        <f t="shared" si="133"/>
        <v>8139</v>
      </c>
      <c r="J1271" s="6">
        <f>320*25</f>
        <v>8000</v>
      </c>
      <c r="K1271" s="33">
        <v>139</v>
      </c>
      <c r="L1271" s="5">
        <f t="shared" si="131"/>
        <v>1.7375000000000002E-2</v>
      </c>
      <c r="M1271" s="26">
        <f t="shared" si="132"/>
        <v>271.16342400000002</v>
      </c>
    </row>
    <row r="1272" spans="1:13" x14ac:dyDescent="0.25">
      <c r="A1272" s="16" t="str">
        <f t="shared" si="134"/>
        <v>July</v>
      </c>
      <c r="B1272" s="31">
        <v>44024</v>
      </c>
      <c r="C1272" s="32" t="s">
        <v>5</v>
      </c>
      <c r="D1272" s="9" t="str">
        <f t="shared" si="130"/>
        <v>44024 - T1</v>
      </c>
      <c r="E1272" s="32" t="s">
        <v>12</v>
      </c>
      <c r="F1272" s="2">
        <v>8000055</v>
      </c>
      <c r="G1272" s="4" t="str">
        <f>IFERROR(VLOOKUP(F1272,Lists!$C:$D,2,0), "N/A")</f>
        <v>916.BF FLIPZ 25 LB BULK MILK CHOC</v>
      </c>
      <c r="H1272" s="26">
        <f>IFERROR(VLOOKUP(F1272,Lists!$C:$F,4,0),0)</f>
        <v>1.9508160000000001</v>
      </c>
      <c r="I1272" s="7">
        <f t="shared" si="133"/>
        <v>8153</v>
      </c>
      <c r="J1272" s="6">
        <f>320*25</f>
        <v>8000</v>
      </c>
      <c r="K1272" s="33">
        <v>153</v>
      </c>
      <c r="L1272" s="5">
        <f t="shared" si="131"/>
        <v>1.9125E-2</v>
      </c>
      <c r="M1272" s="26">
        <f t="shared" si="132"/>
        <v>298.47484800000001</v>
      </c>
    </row>
    <row r="1273" spans="1:13" x14ac:dyDescent="0.25">
      <c r="A1273" s="16" t="str">
        <f t="shared" si="134"/>
        <v>July</v>
      </c>
      <c r="B1273" s="31">
        <v>44024</v>
      </c>
      <c r="C1273" s="32" t="s">
        <v>6</v>
      </c>
      <c r="D1273" s="9" t="str">
        <f t="shared" si="130"/>
        <v>44024 - T2</v>
      </c>
      <c r="E1273" s="32" t="s">
        <v>9</v>
      </c>
      <c r="F1273" s="2">
        <v>8000035</v>
      </c>
      <c r="G1273" s="4" t="str">
        <f>IFERROR(VLOOKUP(F1273,Lists!$C:$D,2,0), "N/A")</f>
        <v>TURTLES MILK CHOC ORIGINAL</v>
      </c>
      <c r="H1273" s="26">
        <f>IFERROR(VLOOKUP(F1273,Lists!$C:$F,4,0),0)</f>
        <v>1.91178</v>
      </c>
      <c r="I1273" s="7">
        <f t="shared" si="133"/>
        <v>15363</v>
      </c>
      <c r="J1273" s="6">
        <v>14820</v>
      </c>
      <c r="K1273" s="33">
        <v>543</v>
      </c>
      <c r="L1273" s="5">
        <f t="shared" si="131"/>
        <v>3.6639676113360324E-2</v>
      </c>
      <c r="M1273" s="26">
        <f t="shared" si="132"/>
        <v>1038.09654</v>
      </c>
    </row>
    <row r="1274" spans="1:13" x14ac:dyDescent="0.25">
      <c r="A1274" s="16" t="str">
        <f t="shared" si="134"/>
        <v>July</v>
      </c>
      <c r="B1274" s="31">
        <v>44024</v>
      </c>
      <c r="C1274" s="32" t="s">
        <v>6</v>
      </c>
      <c r="D1274" s="9" t="str">
        <f t="shared" si="130"/>
        <v>44024 - T2</v>
      </c>
      <c r="E1274" s="32" t="s">
        <v>10</v>
      </c>
      <c r="F1274" s="2">
        <v>8000055</v>
      </c>
      <c r="G1274" s="4" t="str">
        <f>IFERROR(VLOOKUP(F1274,Lists!$C:$D,2,0), "N/A")</f>
        <v>916.BF FLIPZ 25 LB BULK MILK CHOC</v>
      </c>
      <c r="H1274" s="26">
        <f>IFERROR(VLOOKUP(F1274,Lists!$C:$F,4,0),0)</f>
        <v>1.9508160000000001</v>
      </c>
      <c r="I1274" s="7">
        <f t="shared" si="133"/>
        <v>7379</v>
      </c>
      <c r="J1274" s="6">
        <f>280*25</f>
        <v>7000</v>
      </c>
      <c r="K1274" s="33">
        <v>379</v>
      </c>
      <c r="L1274" s="5">
        <f t="shared" si="131"/>
        <v>5.4142857142857145E-2</v>
      </c>
      <c r="M1274" s="26">
        <f t="shared" si="132"/>
        <v>739.35926400000005</v>
      </c>
    </row>
    <row r="1275" spans="1:13" x14ac:dyDescent="0.25">
      <c r="A1275" s="16" t="str">
        <f t="shared" si="134"/>
        <v>July</v>
      </c>
      <c r="B1275" s="31">
        <v>44024</v>
      </c>
      <c r="C1275" s="32" t="s">
        <v>6</v>
      </c>
      <c r="D1275" s="9" t="str">
        <f t="shared" si="130"/>
        <v>44024 - T2</v>
      </c>
      <c r="E1275" s="32" t="s">
        <v>15</v>
      </c>
      <c r="G1275" s="4" t="str">
        <f>IFERROR(VLOOKUP(F1275,Lists!$C:$D,2,0), "N/A")</f>
        <v>N/A</v>
      </c>
      <c r="H1275" s="26">
        <f>IFERROR(VLOOKUP(F1275,Lists!$C:$F,4,0),0)</f>
        <v>0</v>
      </c>
      <c r="I1275" s="7">
        <f t="shared" si="133"/>
        <v>8</v>
      </c>
      <c r="K1275" s="33">
        <v>8</v>
      </c>
      <c r="L1275" s="5">
        <f t="shared" si="131"/>
        <v>1</v>
      </c>
      <c r="M1275" s="26">
        <f t="shared" si="132"/>
        <v>0</v>
      </c>
    </row>
    <row r="1276" spans="1:13" x14ac:dyDescent="0.25">
      <c r="A1276" s="16" t="str">
        <f t="shared" si="134"/>
        <v>July</v>
      </c>
      <c r="B1276" s="31">
        <v>44025</v>
      </c>
      <c r="C1276" s="32" t="s">
        <v>7</v>
      </c>
      <c r="D1276" s="9" t="str">
        <f t="shared" si="130"/>
        <v>44025 - T3</v>
      </c>
      <c r="E1276" s="32" t="s">
        <v>9</v>
      </c>
      <c r="F1276" s="2">
        <v>8000035</v>
      </c>
      <c r="G1276" s="4" t="str">
        <f>IFERROR(VLOOKUP(F1276,Lists!$C:$D,2,0), "N/A")</f>
        <v>TURTLES MILK CHOC ORIGINAL</v>
      </c>
      <c r="H1276" s="26">
        <f>IFERROR(VLOOKUP(F1276,Lists!$C:$F,4,0),0)</f>
        <v>1.91178</v>
      </c>
      <c r="I1276" s="7">
        <f t="shared" si="133"/>
        <v>15456.25</v>
      </c>
      <c r="J1276" s="6">
        <v>14789.25</v>
      </c>
      <c r="K1276" s="33">
        <v>667</v>
      </c>
      <c r="L1276" s="5">
        <f t="shared" si="131"/>
        <v>4.5100326250485996E-2</v>
      </c>
      <c r="M1276" s="26">
        <f t="shared" si="132"/>
        <v>1275.15726</v>
      </c>
    </row>
    <row r="1277" spans="1:13" x14ac:dyDescent="0.25">
      <c r="A1277" s="16" t="str">
        <f t="shared" si="134"/>
        <v>July</v>
      </c>
      <c r="B1277" s="31">
        <v>44025</v>
      </c>
      <c r="C1277" s="32" t="s">
        <v>7</v>
      </c>
      <c r="D1277" s="9" t="str">
        <f t="shared" si="130"/>
        <v>44025 - T3</v>
      </c>
      <c r="E1277" s="32" t="s">
        <v>11</v>
      </c>
      <c r="F1277" s="2">
        <v>8000034</v>
      </c>
      <c r="G1277" s="4" t="str">
        <f>IFERROR(VLOOKUP(F1277,Lists!$C:$D,2,0), "N/A")</f>
        <v>KS MILK CHOC MACADAMIA</v>
      </c>
      <c r="H1277" s="26">
        <f>IFERROR(VLOOKUP(F1277,Lists!$C:$F,4,0),0)</f>
        <v>3.8943099999999999</v>
      </c>
      <c r="I1277" s="7">
        <f t="shared" si="133"/>
        <v>8832</v>
      </c>
      <c r="J1277" s="6">
        <v>8800</v>
      </c>
      <c r="K1277" s="33">
        <v>32</v>
      </c>
      <c r="L1277" s="5">
        <f t="shared" si="131"/>
        <v>3.6363636363636364E-3</v>
      </c>
      <c r="M1277" s="26">
        <f t="shared" si="132"/>
        <v>124.61792</v>
      </c>
    </row>
    <row r="1278" spans="1:13" x14ac:dyDescent="0.25">
      <c r="A1278" s="16" t="str">
        <f t="shared" si="134"/>
        <v>July</v>
      </c>
      <c r="B1278" s="31">
        <v>44025</v>
      </c>
      <c r="C1278" s="32" t="s">
        <v>7</v>
      </c>
      <c r="D1278" s="9" t="str">
        <f t="shared" si="130"/>
        <v>44025 - T3</v>
      </c>
      <c r="E1278" s="32" t="s">
        <v>12</v>
      </c>
      <c r="F1278" s="2">
        <v>8000055</v>
      </c>
      <c r="G1278" s="4" t="str">
        <f>IFERROR(VLOOKUP(F1278,Lists!$C:$D,2,0), "N/A")</f>
        <v>916.BF FLIPZ 25 LB BULK MILK CHOC</v>
      </c>
      <c r="H1278" s="26">
        <f>IFERROR(VLOOKUP(F1278,Lists!$C:$F,4,0),0)</f>
        <v>1.9508160000000001</v>
      </c>
      <c r="I1278" s="7">
        <f t="shared" si="133"/>
        <v>7023</v>
      </c>
      <c r="J1278" s="6">
        <f>280*25</f>
        <v>7000</v>
      </c>
      <c r="K1278" s="33">
        <v>23</v>
      </c>
      <c r="L1278" s="5">
        <f t="shared" si="131"/>
        <v>3.2857142857142859E-3</v>
      </c>
      <c r="M1278" s="26">
        <f t="shared" si="132"/>
        <v>44.868768000000003</v>
      </c>
    </row>
    <row r="1279" spans="1:13" x14ac:dyDescent="0.25">
      <c r="A1279" s="16" t="str">
        <f t="shared" si="134"/>
        <v>July</v>
      </c>
      <c r="B1279" s="31">
        <v>44025</v>
      </c>
      <c r="C1279" s="32" t="s">
        <v>7</v>
      </c>
      <c r="D1279" s="9" t="str">
        <f t="shared" si="130"/>
        <v>44025 - T3</v>
      </c>
      <c r="E1279" s="32" t="s">
        <v>15</v>
      </c>
      <c r="G1279" s="4" t="str">
        <f>IFERROR(VLOOKUP(F1279,Lists!$C:$D,2,0), "N/A")</f>
        <v>N/A</v>
      </c>
      <c r="H1279" s="26">
        <f>IFERROR(VLOOKUP(F1279,Lists!$C:$F,4,0),0)</f>
        <v>0</v>
      </c>
      <c r="I1279" s="7">
        <f t="shared" si="133"/>
        <v>45</v>
      </c>
      <c r="K1279" s="33">
        <v>45</v>
      </c>
      <c r="L1279" s="5">
        <f t="shared" si="131"/>
        <v>1</v>
      </c>
      <c r="M1279" s="26">
        <f t="shared" si="132"/>
        <v>0</v>
      </c>
    </row>
    <row r="1280" spans="1:13" x14ac:dyDescent="0.25">
      <c r="A1280" s="16" t="str">
        <f t="shared" si="134"/>
        <v>July</v>
      </c>
      <c r="B1280" s="31">
        <v>44025</v>
      </c>
      <c r="C1280" s="32" t="s">
        <v>8</v>
      </c>
      <c r="D1280" s="9" t="str">
        <f t="shared" si="130"/>
        <v>44025 - T4</v>
      </c>
      <c r="E1280" s="32" t="s">
        <v>9</v>
      </c>
      <c r="F1280" s="2">
        <v>8000035</v>
      </c>
      <c r="G1280" s="4" t="str">
        <f>IFERROR(VLOOKUP(F1280,Lists!$C:$D,2,0), "N/A")</f>
        <v>TURTLES MILK CHOC ORIGINAL</v>
      </c>
      <c r="H1280" s="26">
        <f>IFERROR(VLOOKUP(F1280,Lists!$C:$F,4,0),0)</f>
        <v>1.91178</v>
      </c>
      <c r="I1280" s="7">
        <f t="shared" si="133"/>
        <v>6384.8</v>
      </c>
      <c r="J1280" s="6">
        <v>5955.8</v>
      </c>
      <c r="K1280" s="33">
        <v>429</v>
      </c>
      <c r="L1280" s="5">
        <f t="shared" si="131"/>
        <v>7.2030625608650395E-2</v>
      </c>
      <c r="M1280" s="26">
        <f t="shared" si="132"/>
        <v>820.15362000000005</v>
      </c>
    </row>
    <row r="1281" spans="1:13" x14ac:dyDescent="0.25">
      <c r="A1281" s="16" t="str">
        <f t="shared" si="134"/>
        <v>July</v>
      </c>
      <c r="B1281" s="31">
        <v>44025</v>
      </c>
      <c r="C1281" s="32" t="s">
        <v>8</v>
      </c>
      <c r="D1281" s="9" t="str">
        <f t="shared" si="130"/>
        <v>44025 - T4</v>
      </c>
      <c r="E1281" s="32" t="s">
        <v>12</v>
      </c>
      <c r="F1281" s="2">
        <v>8000055</v>
      </c>
      <c r="G1281" s="4" t="str">
        <f>IFERROR(VLOOKUP(F1281,Lists!$C:$D,2,0), "N/A")</f>
        <v>916.BF FLIPZ 25 LB BULK MILK CHOC</v>
      </c>
      <c r="H1281" s="26">
        <f>IFERROR(VLOOKUP(F1281,Lists!$C:$F,4,0),0)</f>
        <v>1.9508160000000001</v>
      </c>
      <c r="I1281" s="7">
        <f t="shared" si="133"/>
        <v>9011</v>
      </c>
      <c r="J1281" s="6">
        <f>360*25</f>
        <v>9000</v>
      </c>
      <c r="K1281" s="33">
        <v>11</v>
      </c>
      <c r="L1281" s="5">
        <f t="shared" si="131"/>
        <v>1.2222222222222222E-3</v>
      </c>
      <c r="M1281" s="26">
        <f t="shared" si="132"/>
        <v>21.458976</v>
      </c>
    </row>
    <row r="1282" spans="1:13" x14ac:dyDescent="0.25">
      <c r="A1282" s="16" t="str">
        <f t="shared" si="134"/>
        <v>July</v>
      </c>
      <c r="B1282" s="31">
        <v>44026</v>
      </c>
      <c r="C1282" s="32" t="s">
        <v>7</v>
      </c>
      <c r="D1282" s="9" t="str">
        <f t="shared" si="130"/>
        <v>44026 - T3</v>
      </c>
      <c r="E1282" s="32" t="s">
        <v>9</v>
      </c>
      <c r="F1282" s="2">
        <v>8000035</v>
      </c>
      <c r="G1282" s="4" t="str">
        <f>IFERROR(VLOOKUP(F1282,Lists!$C:$D,2,0), "N/A")</f>
        <v>TURTLES MILK CHOC ORIGINAL</v>
      </c>
      <c r="H1282" s="26">
        <f>IFERROR(VLOOKUP(F1282,Lists!$C:$F,4,0),0)</f>
        <v>1.91178</v>
      </c>
      <c r="I1282" s="7">
        <f t="shared" si="133"/>
        <v>13983.83</v>
      </c>
      <c r="J1282" s="6">
        <v>13404.83</v>
      </c>
      <c r="K1282" s="33">
        <v>579</v>
      </c>
      <c r="L1282" s="5">
        <f t="shared" si="131"/>
        <v>4.319338626450317E-2</v>
      </c>
      <c r="M1282" s="26">
        <f t="shared" si="132"/>
        <v>1106.9206200000001</v>
      </c>
    </row>
    <row r="1283" spans="1:13" x14ac:dyDescent="0.25">
      <c r="A1283" s="16" t="str">
        <f t="shared" si="134"/>
        <v>July</v>
      </c>
      <c r="B1283" s="31">
        <v>44026</v>
      </c>
      <c r="C1283" s="32" t="s">
        <v>7</v>
      </c>
      <c r="D1283" s="9" t="str">
        <f t="shared" si="130"/>
        <v>44026 - T3</v>
      </c>
      <c r="E1283" s="32" t="s">
        <v>11</v>
      </c>
      <c r="F1283" s="2">
        <v>8000034</v>
      </c>
      <c r="G1283" s="4" t="str">
        <f>IFERROR(VLOOKUP(F1283,Lists!$C:$D,2,0), "N/A")</f>
        <v>KS MILK CHOC MACADAMIA</v>
      </c>
      <c r="H1283" s="26">
        <f>IFERROR(VLOOKUP(F1283,Lists!$C:$F,4,0),0)</f>
        <v>3.8943099999999999</v>
      </c>
      <c r="I1283" s="7">
        <f t="shared" si="133"/>
        <v>10434</v>
      </c>
      <c r="J1283" s="6">
        <v>10400</v>
      </c>
      <c r="K1283" s="33">
        <v>34</v>
      </c>
      <c r="L1283" s="5">
        <f t="shared" si="131"/>
        <v>3.2692307692307691E-3</v>
      </c>
      <c r="M1283" s="26">
        <f t="shared" si="132"/>
        <v>132.40654000000001</v>
      </c>
    </row>
    <row r="1284" spans="1:13" x14ac:dyDescent="0.25">
      <c r="A1284" s="16" t="str">
        <f t="shared" si="134"/>
        <v>July</v>
      </c>
      <c r="B1284" s="31">
        <v>44026</v>
      </c>
      <c r="C1284" s="32" t="s">
        <v>7</v>
      </c>
      <c r="D1284" s="9" t="str">
        <f t="shared" si="130"/>
        <v>44026 - T3</v>
      </c>
      <c r="E1284" s="32" t="s">
        <v>12</v>
      </c>
      <c r="F1284" s="2">
        <v>8000055</v>
      </c>
      <c r="G1284" s="4" t="str">
        <f>IFERROR(VLOOKUP(F1284,Lists!$C:$D,2,0), "N/A")</f>
        <v>916.BF FLIPZ 25 LB BULK MILK CHOC</v>
      </c>
      <c r="H1284" s="26">
        <f>IFERROR(VLOOKUP(F1284,Lists!$C:$F,4,0),0)</f>
        <v>1.9508160000000001</v>
      </c>
      <c r="I1284" s="7">
        <f t="shared" si="133"/>
        <v>9029</v>
      </c>
      <c r="J1284" s="6">
        <f>360*25</f>
        <v>9000</v>
      </c>
      <c r="K1284" s="33">
        <v>29</v>
      </c>
      <c r="L1284" s="5">
        <f t="shared" si="131"/>
        <v>3.2222222222222222E-3</v>
      </c>
      <c r="M1284" s="26">
        <f t="shared" si="132"/>
        <v>56.573664000000001</v>
      </c>
    </row>
    <row r="1285" spans="1:13" x14ac:dyDescent="0.25">
      <c r="A1285" s="16" t="str">
        <f t="shared" si="134"/>
        <v>July</v>
      </c>
      <c r="B1285" s="31">
        <v>44026</v>
      </c>
      <c r="C1285" s="32" t="s">
        <v>8</v>
      </c>
      <c r="D1285" s="9" t="str">
        <f t="shared" si="130"/>
        <v>44026 - T4</v>
      </c>
      <c r="E1285" s="32" t="s">
        <v>9</v>
      </c>
      <c r="F1285" s="2">
        <v>8000035</v>
      </c>
      <c r="G1285" s="4" t="str">
        <f>IFERROR(VLOOKUP(F1285,Lists!$C:$D,2,0), "N/A")</f>
        <v>TURTLES MILK CHOC ORIGINAL</v>
      </c>
      <c r="H1285" s="26">
        <f>IFERROR(VLOOKUP(F1285,Lists!$C:$F,4,0),0)</f>
        <v>1.91178</v>
      </c>
      <c r="I1285" s="7">
        <f t="shared" si="133"/>
        <v>11217</v>
      </c>
      <c r="J1285" s="6">
        <v>10692</v>
      </c>
      <c r="K1285" s="33">
        <v>525</v>
      </c>
      <c r="L1285" s="5">
        <f t="shared" si="131"/>
        <v>4.9102132435465767E-2</v>
      </c>
      <c r="M1285" s="26">
        <f t="shared" si="132"/>
        <v>1003.6845000000001</v>
      </c>
    </row>
    <row r="1286" spans="1:13" x14ac:dyDescent="0.25">
      <c r="A1286" s="16" t="str">
        <f t="shared" si="134"/>
        <v>July</v>
      </c>
      <c r="B1286" s="31">
        <v>44027</v>
      </c>
      <c r="C1286" s="32" t="s">
        <v>5</v>
      </c>
      <c r="D1286" s="9" t="str">
        <f t="shared" si="130"/>
        <v>44027 - T1</v>
      </c>
      <c r="E1286" s="32" t="s">
        <v>9</v>
      </c>
      <c r="F1286" s="2">
        <v>8000035</v>
      </c>
      <c r="G1286" s="4" t="str">
        <f>IFERROR(VLOOKUP(F1286,Lists!$C:$D,2,0), "N/A")</f>
        <v>TURTLES MILK CHOC ORIGINAL</v>
      </c>
      <c r="H1286" s="26">
        <f>IFERROR(VLOOKUP(F1286,Lists!$C:$F,4,0),0)</f>
        <v>1.91178</v>
      </c>
      <c r="I1286" s="7">
        <f t="shared" si="133"/>
        <v>12507.8</v>
      </c>
      <c r="J1286" s="6">
        <v>11404.8</v>
      </c>
      <c r="K1286" s="33">
        <v>1103</v>
      </c>
      <c r="L1286" s="5">
        <f t="shared" si="131"/>
        <v>9.6713664421997761E-2</v>
      </c>
      <c r="M1286" s="26">
        <f t="shared" si="132"/>
        <v>2108.6933400000003</v>
      </c>
    </row>
    <row r="1287" spans="1:13" x14ac:dyDescent="0.25">
      <c r="A1287" s="16" t="str">
        <f t="shared" si="134"/>
        <v>July</v>
      </c>
      <c r="B1287" s="31">
        <v>44027</v>
      </c>
      <c r="C1287" s="32" t="s">
        <v>5</v>
      </c>
      <c r="D1287" s="9" t="str">
        <f t="shared" si="130"/>
        <v>44027 - T1</v>
      </c>
      <c r="E1287" s="32" t="s">
        <v>12</v>
      </c>
      <c r="F1287" s="2">
        <v>8000055</v>
      </c>
      <c r="G1287" s="4" t="str">
        <f>IFERROR(VLOOKUP(F1287,Lists!$C:$D,2,0), "N/A")</f>
        <v>916.BF FLIPZ 25 LB BULK MILK CHOC</v>
      </c>
      <c r="H1287" s="26">
        <f>IFERROR(VLOOKUP(F1287,Lists!$C:$F,4,0),0)</f>
        <v>1.9508160000000001</v>
      </c>
      <c r="I1287" s="7">
        <f t="shared" si="133"/>
        <v>8187</v>
      </c>
      <c r="J1287" s="6">
        <f>320*25</f>
        <v>8000</v>
      </c>
      <c r="K1287" s="33">
        <v>187</v>
      </c>
      <c r="L1287" s="5">
        <f t="shared" si="131"/>
        <v>2.3375E-2</v>
      </c>
      <c r="M1287" s="26">
        <f t="shared" si="132"/>
        <v>364.802592</v>
      </c>
    </row>
    <row r="1288" spans="1:13" x14ac:dyDescent="0.25">
      <c r="A1288" s="16" t="str">
        <f t="shared" si="134"/>
        <v>July</v>
      </c>
      <c r="B1288" s="31">
        <v>44027</v>
      </c>
      <c r="C1288" s="32" t="s">
        <v>5</v>
      </c>
      <c r="D1288" s="9" t="str">
        <f t="shared" ref="D1288:D1351" si="135">CONCATENATE(B1288," - ",C1288)</f>
        <v>44027 - T1</v>
      </c>
      <c r="E1288" s="32" t="s">
        <v>15</v>
      </c>
      <c r="G1288" s="4" t="str">
        <f>IFERROR(VLOOKUP(F1288,Lists!$C:$D,2,0), "N/A")</f>
        <v>N/A</v>
      </c>
      <c r="H1288" s="26">
        <f>IFERROR(VLOOKUP(F1288,Lists!$C:$F,4,0),0)</f>
        <v>0</v>
      </c>
      <c r="I1288" s="7">
        <f t="shared" si="133"/>
        <v>5</v>
      </c>
      <c r="K1288" s="33">
        <v>5</v>
      </c>
      <c r="L1288" s="5">
        <f t="shared" ref="L1288:L1370" si="136">IFERROR((K1288/J1288),1)</f>
        <v>1</v>
      </c>
      <c r="M1288" s="26">
        <f t="shared" ref="M1288:M1370" si="137">K1288*H1288</f>
        <v>0</v>
      </c>
    </row>
    <row r="1289" spans="1:13" x14ac:dyDescent="0.25">
      <c r="A1289" s="16" t="str">
        <f t="shared" si="134"/>
        <v>July</v>
      </c>
      <c r="B1289" s="31">
        <v>44027</v>
      </c>
      <c r="C1289" s="32" t="s">
        <v>6</v>
      </c>
      <c r="D1289" s="9" t="str">
        <f t="shared" si="135"/>
        <v>44027 - T2</v>
      </c>
      <c r="E1289" s="32" t="s">
        <v>9</v>
      </c>
      <c r="F1289" s="2">
        <v>8000035</v>
      </c>
      <c r="G1289" s="4" t="str">
        <f>IFERROR(VLOOKUP(F1289,Lists!$C:$D,2,0), "N/A")</f>
        <v>TURTLES MILK CHOC ORIGINAL</v>
      </c>
      <c r="H1289" s="26">
        <f>IFERROR(VLOOKUP(F1289,Lists!$C:$F,4,0),0)</f>
        <v>1.91178</v>
      </c>
      <c r="I1289" s="7">
        <f t="shared" si="133"/>
        <v>8392.7999999999993</v>
      </c>
      <c r="J1289" s="6">
        <v>7840.8</v>
      </c>
      <c r="K1289" s="33">
        <v>552</v>
      </c>
      <c r="L1289" s="5">
        <f t="shared" si="136"/>
        <v>7.0400979491888588E-2</v>
      </c>
      <c r="M1289" s="26">
        <f t="shared" si="137"/>
        <v>1055.3025600000001</v>
      </c>
    </row>
    <row r="1290" spans="1:13" x14ac:dyDescent="0.25">
      <c r="A1290" s="16" t="str">
        <f t="shared" si="134"/>
        <v>July</v>
      </c>
      <c r="B1290" s="31">
        <v>44027</v>
      </c>
      <c r="C1290" s="32" t="s">
        <v>6</v>
      </c>
      <c r="D1290" s="9" t="str">
        <f t="shared" si="135"/>
        <v>44027 - T2</v>
      </c>
      <c r="E1290" s="32" t="s">
        <v>11</v>
      </c>
      <c r="F1290" s="2">
        <v>8000034</v>
      </c>
      <c r="G1290" s="4" t="str">
        <f>IFERROR(VLOOKUP(F1290,Lists!$C:$D,2,0), "N/A")</f>
        <v>KS MILK CHOC MACADAMIA</v>
      </c>
      <c r="H1290" s="26">
        <f>IFERROR(VLOOKUP(F1290,Lists!$C:$F,4,0),0)</f>
        <v>3.8943099999999999</v>
      </c>
      <c r="I1290" s="7">
        <f t="shared" si="133"/>
        <v>9833</v>
      </c>
      <c r="J1290" s="6">
        <v>9600</v>
      </c>
      <c r="K1290" s="33">
        <v>233</v>
      </c>
      <c r="L1290" s="5">
        <f t="shared" si="136"/>
        <v>2.4270833333333332E-2</v>
      </c>
      <c r="M1290" s="26">
        <f t="shared" si="137"/>
        <v>907.37423000000001</v>
      </c>
    </row>
    <row r="1291" spans="1:13" x14ac:dyDescent="0.25">
      <c r="A1291" s="16" t="str">
        <f t="shared" si="134"/>
        <v>July</v>
      </c>
      <c r="B1291" s="31">
        <v>44027</v>
      </c>
      <c r="C1291" s="32" t="s">
        <v>6</v>
      </c>
      <c r="D1291" s="9" t="str">
        <f t="shared" si="135"/>
        <v>44027 - T2</v>
      </c>
      <c r="E1291" s="32" t="s">
        <v>15</v>
      </c>
      <c r="G1291" s="4" t="str">
        <f>IFERROR(VLOOKUP(F1291,Lists!$C:$D,2,0), "N/A")</f>
        <v>N/A</v>
      </c>
      <c r="H1291" s="26">
        <f>IFERROR(VLOOKUP(F1291,Lists!$C:$F,4,0),0)</f>
        <v>0</v>
      </c>
      <c r="I1291" s="7">
        <f t="shared" si="133"/>
        <v>7</v>
      </c>
      <c r="K1291" s="33">
        <v>7</v>
      </c>
      <c r="L1291" s="5">
        <f t="shared" si="136"/>
        <v>1</v>
      </c>
      <c r="M1291" s="26">
        <f t="shared" si="137"/>
        <v>0</v>
      </c>
    </row>
    <row r="1292" spans="1:13" x14ac:dyDescent="0.25">
      <c r="A1292" s="16" t="str">
        <f t="shared" si="134"/>
        <v>July</v>
      </c>
      <c r="B1292" s="31">
        <v>44028</v>
      </c>
      <c r="C1292" s="32" t="s">
        <v>5</v>
      </c>
      <c r="D1292" s="9" t="str">
        <f t="shared" si="135"/>
        <v>44028 - T1</v>
      </c>
      <c r="E1292" s="32" t="s">
        <v>9</v>
      </c>
      <c r="F1292" s="2">
        <v>8000035</v>
      </c>
      <c r="G1292" s="4" t="str">
        <f>IFERROR(VLOOKUP(F1292,Lists!$C:$D,2,0), "N/A")</f>
        <v>TURTLES MILK CHOC ORIGINAL</v>
      </c>
      <c r="H1292" s="26">
        <f>IFERROR(VLOOKUP(F1292,Lists!$C:$F,4,0),0)</f>
        <v>1.91178</v>
      </c>
      <c r="I1292" s="7">
        <f t="shared" si="133"/>
        <v>13873.4</v>
      </c>
      <c r="J1292" s="6">
        <v>12830.4</v>
      </c>
      <c r="K1292" s="33">
        <v>1043</v>
      </c>
      <c r="L1292" s="5">
        <f t="shared" si="136"/>
        <v>8.129130814315999E-2</v>
      </c>
      <c r="M1292" s="26">
        <f t="shared" si="137"/>
        <v>1993.9865400000001</v>
      </c>
    </row>
    <row r="1293" spans="1:13" x14ac:dyDescent="0.25">
      <c r="A1293" s="16" t="str">
        <f t="shared" si="134"/>
        <v>July</v>
      </c>
      <c r="B1293" s="31">
        <v>44028</v>
      </c>
      <c r="C1293" s="32" t="s">
        <v>5</v>
      </c>
      <c r="D1293" s="9" t="str">
        <f t="shared" si="135"/>
        <v>44028 - T1</v>
      </c>
      <c r="E1293" s="32" t="s">
        <v>11</v>
      </c>
      <c r="F1293" s="2">
        <v>8000034</v>
      </c>
      <c r="G1293" s="4" t="str">
        <f>IFERROR(VLOOKUP(F1293,Lists!$C:$D,2,0), "N/A")</f>
        <v>KS MILK CHOC MACADAMIA</v>
      </c>
      <c r="H1293" s="26">
        <f>IFERROR(VLOOKUP(F1293,Lists!$C:$F,4,0),0)</f>
        <v>3.8943099999999999</v>
      </c>
      <c r="I1293" s="7">
        <f t="shared" si="133"/>
        <v>13119</v>
      </c>
      <c r="J1293" s="6">
        <v>12800</v>
      </c>
      <c r="K1293" s="33">
        <v>319</v>
      </c>
      <c r="L1293" s="5">
        <f t="shared" si="136"/>
        <v>2.4921875E-2</v>
      </c>
      <c r="M1293" s="26">
        <f t="shared" si="137"/>
        <v>1242.2848899999999</v>
      </c>
    </row>
    <row r="1294" spans="1:13" x14ac:dyDescent="0.25">
      <c r="A1294" s="16" t="str">
        <f t="shared" si="134"/>
        <v>July</v>
      </c>
      <c r="B1294" s="31">
        <v>44028</v>
      </c>
      <c r="C1294" s="32" t="s">
        <v>5</v>
      </c>
      <c r="D1294" s="9" t="str">
        <f t="shared" si="135"/>
        <v>44028 - T1</v>
      </c>
      <c r="E1294" s="32" t="s">
        <v>12</v>
      </c>
      <c r="F1294" s="2">
        <v>8000055</v>
      </c>
      <c r="G1294" s="4" t="str">
        <f>IFERROR(VLOOKUP(F1294,Lists!$C:$D,2,0), "N/A")</f>
        <v>916.BF FLIPZ 25 LB BULK MILK CHOC</v>
      </c>
      <c r="H1294" s="26">
        <f>IFERROR(VLOOKUP(F1294,Lists!$C:$F,4,0),0)</f>
        <v>1.9508160000000001</v>
      </c>
      <c r="I1294" s="7">
        <f t="shared" si="133"/>
        <v>9235</v>
      </c>
      <c r="J1294" s="6">
        <f>360*25</f>
        <v>9000</v>
      </c>
      <c r="K1294" s="33">
        <v>235</v>
      </c>
      <c r="L1294" s="5">
        <f t="shared" si="136"/>
        <v>2.6111111111111113E-2</v>
      </c>
      <c r="M1294" s="26">
        <f t="shared" si="137"/>
        <v>458.44176000000004</v>
      </c>
    </row>
    <row r="1295" spans="1:13" x14ac:dyDescent="0.25">
      <c r="A1295" s="16" t="str">
        <f t="shared" si="134"/>
        <v>July</v>
      </c>
      <c r="B1295" s="31">
        <v>44028</v>
      </c>
      <c r="C1295" s="32" t="s">
        <v>6</v>
      </c>
      <c r="D1295" s="9" t="str">
        <f t="shared" si="135"/>
        <v>44028 - T2</v>
      </c>
      <c r="E1295" s="32" t="s">
        <v>9</v>
      </c>
      <c r="F1295" s="2">
        <v>8000035</v>
      </c>
      <c r="G1295" s="4" t="str">
        <f>IFERROR(VLOOKUP(F1295,Lists!$C:$D,2,0), "N/A")</f>
        <v>TURTLES MILK CHOC ORIGINAL</v>
      </c>
      <c r="H1295" s="26">
        <f>IFERROR(VLOOKUP(F1295,Lists!$C:$F,4,0),0)</f>
        <v>1.91178</v>
      </c>
      <c r="I1295" s="7">
        <f t="shared" si="133"/>
        <v>13405.6</v>
      </c>
      <c r="J1295" s="6">
        <f>12117.6+757</f>
        <v>12874.6</v>
      </c>
      <c r="K1295" s="33">
        <v>531</v>
      </c>
      <c r="L1295" s="5">
        <f t="shared" si="136"/>
        <v>4.1243999813586438E-2</v>
      </c>
      <c r="M1295" s="26">
        <f t="shared" si="137"/>
        <v>1015.15518</v>
      </c>
    </row>
    <row r="1296" spans="1:13" x14ac:dyDescent="0.25">
      <c r="A1296" s="16" t="str">
        <f t="shared" si="134"/>
        <v>July</v>
      </c>
      <c r="B1296" s="31">
        <v>44028</v>
      </c>
      <c r="C1296" s="32" t="s">
        <v>6</v>
      </c>
      <c r="D1296" s="9" t="str">
        <f t="shared" si="135"/>
        <v>44028 - T2</v>
      </c>
      <c r="E1296" s="32" t="s">
        <v>11</v>
      </c>
      <c r="F1296" s="2">
        <v>8000034</v>
      </c>
      <c r="G1296" s="4" t="str">
        <f>IFERROR(VLOOKUP(F1296,Lists!$C:$D,2,0), "N/A")</f>
        <v>KS MILK CHOC MACADAMIA</v>
      </c>
      <c r="H1296" s="26">
        <f>IFERROR(VLOOKUP(F1296,Lists!$C:$F,4,0),0)</f>
        <v>3.8943099999999999</v>
      </c>
      <c r="I1296" s="7">
        <f t="shared" si="133"/>
        <v>11377</v>
      </c>
      <c r="J1296" s="6">
        <v>11200</v>
      </c>
      <c r="K1296" s="33">
        <v>177</v>
      </c>
      <c r="L1296" s="5">
        <f t="shared" si="136"/>
        <v>1.5803571428571427E-2</v>
      </c>
      <c r="M1296" s="26">
        <f t="shared" si="137"/>
        <v>689.29286999999999</v>
      </c>
    </row>
    <row r="1297" spans="1:13" x14ac:dyDescent="0.25">
      <c r="A1297" s="16" t="str">
        <f t="shared" si="134"/>
        <v>July</v>
      </c>
      <c r="B1297" s="31">
        <v>44028</v>
      </c>
      <c r="C1297" s="32" t="s">
        <v>6</v>
      </c>
      <c r="D1297" s="9" t="str">
        <f t="shared" si="135"/>
        <v>44028 - T2</v>
      </c>
      <c r="E1297" s="32" t="s">
        <v>15</v>
      </c>
      <c r="G1297" s="4" t="str">
        <f>IFERROR(VLOOKUP(F1297,Lists!$C:$D,2,0), "N/A")</f>
        <v>N/A</v>
      </c>
      <c r="H1297" s="26">
        <f>IFERROR(VLOOKUP(F1297,Lists!$C:$F,4,0),0)</f>
        <v>0</v>
      </c>
      <c r="I1297" s="7">
        <f t="shared" si="133"/>
        <v>8</v>
      </c>
      <c r="K1297" s="33">
        <v>8</v>
      </c>
      <c r="L1297" s="5">
        <f t="shared" si="136"/>
        <v>1</v>
      </c>
      <c r="M1297" s="26">
        <f t="shared" si="137"/>
        <v>0</v>
      </c>
    </row>
    <row r="1298" spans="1:13" x14ac:dyDescent="0.25">
      <c r="A1298" s="16" t="str">
        <f t="shared" si="134"/>
        <v>July</v>
      </c>
      <c r="B1298" s="31">
        <v>44029</v>
      </c>
      <c r="C1298" s="32" t="s">
        <v>7</v>
      </c>
      <c r="D1298" s="9" t="str">
        <f t="shared" si="135"/>
        <v>44029 - T3</v>
      </c>
      <c r="E1298" s="32" t="s">
        <v>9</v>
      </c>
      <c r="F1298" s="2">
        <v>8000035</v>
      </c>
      <c r="G1298" s="4" t="str">
        <f>IFERROR(VLOOKUP(F1298,Lists!$C:$D,2,0), "N/A")</f>
        <v>TURTLES MILK CHOC ORIGINAL</v>
      </c>
      <c r="H1298" s="26">
        <f>IFERROR(VLOOKUP(F1298,Lists!$C:$F,4,0),0)</f>
        <v>1.91178</v>
      </c>
      <c r="I1298" s="7">
        <f t="shared" si="133"/>
        <v>15233.8</v>
      </c>
      <c r="J1298" s="6">
        <v>14968.8</v>
      </c>
      <c r="K1298" s="33">
        <v>265</v>
      </c>
      <c r="L1298" s="5">
        <f t="shared" si="136"/>
        <v>1.7703489925712149E-2</v>
      </c>
      <c r="M1298" s="26">
        <f t="shared" si="137"/>
        <v>506.62170000000003</v>
      </c>
    </row>
    <row r="1299" spans="1:13" x14ac:dyDescent="0.25">
      <c r="A1299" s="16" t="str">
        <f t="shared" si="134"/>
        <v>July</v>
      </c>
      <c r="B1299" s="31">
        <v>44029</v>
      </c>
      <c r="C1299" s="32" t="s">
        <v>7</v>
      </c>
      <c r="D1299" s="9" t="str">
        <f t="shared" si="135"/>
        <v>44029 - T3</v>
      </c>
      <c r="E1299" s="32" t="s">
        <v>11</v>
      </c>
      <c r="F1299" s="2">
        <v>8000034</v>
      </c>
      <c r="G1299" s="4" t="str">
        <f>IFERROR(VLOOKUP(F1299,Lists!$C:$D,2,0), "N/A")</f>
        <v>KS MILK CHOC MACADAMIA</v>
      </c>
      <c r="H1299" s="26">
        <f>IFERROR(VLOOKUP(F1299,Lists!$C:$F,4,0),0)</f>
        <v>3.8943099999999999</v>
      </c>
      <c r="I1299" s="7">
        <f t="shared" si="133"/>
        <v>10423</v>
      </c>
      <c r="J1299" s="6">
        <v>10400</v>
      </c>
      <c r="K1299" s="33">
        <v>23</v>
      </c>
      <c r="L1299" s="5">
        <f t="shared" si="136"/>
        <v>2.2115384615384614E-3</v>
      </c>
      <c r="M1299" s="26">
        <f t="shared" si="137"/>
        <v>89.569130000000001</v>
      </c>
    </row>
    <row r="1300" spans="1:13" x14ac:dyDescent="0.25">
      <c r="A1300" s="16" t="str">
        <f t="shared" si="134"/>
        <v>July</v>
      </c>
      <c r="B1300" s="31">
        <v>44029</v>
      </c>
      <c r="C1300" s="32" t="s">
        <v>8</v>
      </c>
      <c r="D1300" s="9" t="str">
        <f t="shared" si="135"/>
        <v>44029 - T4</v>
      </c>
      <c r="E1300" s="32" t="s">
        <v>9</v>
      </c>
      <c r="F1300" s="2">
        <v>8000035</v>
      </c>
      <c r="G1300" s="4" t="str">
        <f>IFERROR(VLOOKUP(F1300,Lists!$C:$D,2,0), "N/A")</f>
        <v>TURTLES MILK CHOC ORIGINAL</v>
      </c>
      <c r="H1300" s="26">
        <f>IFERROR(VLOOKUP(F1300,Lists!$C:$F,4,0),0)</f>
        <v>1.91178</v>
      </c>
      <c r="I1300" s="7">
        <f t="shared" si="133"/>
        <v>13311.4</v>
      </c>
      <c r="J1300" s="6">
        <v>12830.4</v>
      </c>
      <c r="K1300" s="33">
        <v>481</v>
      </c>
      <c r="L1300" s="5">
        <f t="shared" si="136"/>
        <v>3.7489088415014339E-2</v>
      </c>
      <c r="M1300" s="26">
        <f t="shared" si="137"/>
        <v>919.56618000000003</v>
      </c>
    </row>
    <row r="1301" spans="1:13" x14ac:dyDescent="0.25">
      <c r="A1301" s="16" t="str">
        <f t="shared" si="134"/>
        <v>July</v>
      </c>
      <c r="B1301" s="31">
        <v>44029</v>
      </c>
      <c r="C1301" s="32" t="s">
        <v>8</v>
      </c>
      <c r="D1301" s="9" t="str">
        <f t="shared" si="135"/>
        <v>44029 - T4</v>
      </c>
      <c r="E1301" s="32" t="s">
        <v>10</v>
      </c>
      <c r="F1301" s="2">
        <v>8000039</v>
      </c>
      <c r="G1301" s="4" t="str">
        <f>IFERROR(VLOOKUP(F1301,Lists!$C:$D,2,0), "N/A")</f>
        <v>TURTLES MILK CHOC ORIG MINI</v>
      </c>
      <c r="H1301" s="26">
        <f>IFERROR(VLOOKUP(F1301,Lists!$C:$F,4,0),0)</f>
        <v>2.08013</v>
      </c>
      <c r="I1301" s="7">
        <f t="shared" si="133"/>
        <v>12084</v>
      </c>
      <c r="J1301" s="6">
        <v>11520</v>
      </c>
      <c r="K1301" s="33">
        <v>564</v>
      </c>
      <c r="L1301" s="5">
        <f t="shared" si="136"/>
        <v>4.8958333333333333E-2</v>
      </c>
      <c r="M1301" s="26">
        <f t="shared" si="137"/>
        <v>1173.1933200000001</v>
      </c>
    </row>
    <row r="1302" spans="1:13" x14ac:dyDescent="0.25">
      <c r="A1302" s="16" t="str">
        <f t="shared" si="134"/>
        <v>July</v>
      </c>
      <c r="B1302" s="31">
        <v>44029</v>
      </c>
      <c r="C1302" s="32" t="s">
        <v>8</v>
      </c>
      <c r="D1302" s="9" t="str">
        <f t="shared" si="135"/>
        <v>44029 - T4</v>
      </c>
      <c r="E1302" s="32" t="s">
        <v>11</v>
      </c>
      <c r="F1302" s="2">
        <v>8000034</v>
      </c>
      <c r="G1302" s="4" t="str">
        <f>IFERROR(VLOOKUP(F1302,Lists!$C:$D,2,0), "N/A")</f>
        <v>KS MILK CHOC MACADAMIA</v>
      </c>
      <c r="H1302" s="26">
        <f>IFERROR(VLOOKUP(F1302,Lists!$C:$F,4,0),0)</f>
        <v>3.8943099999999999</v>
      </c>
      <c r="I1302" s="7">
        <f t="shared" si="133"/>
        <v>10680</v>
      </c>
      <c r="J1302" s="6">
        <v>10400</v>
      </c>
      <c r="K1302" s="33">
        <v>280</v>
      </c>
      <c r="L1302" s="5">
        <f t="shared" si="136"/>
        <v>2.6923076923076925E-2</v>
      </c>
      <c r="M1302" s="26">
        <f t="shared" si="137"/>
        <v>1090.4068</v>
      </c>
    </row>
    <row r="1303" spans="1:13" x14ac:dyDescent="0.25">
      <c r="A1303" s="16" t="str">
        <f t="shared" si="134"/>
        <v>July</v>
      </c>
      <c r="B1303" s="31">
        <v>44030</v>
      </c>
      <c r="C1303" s="32" t="s">
        <v>7</v>
      </c>
      <c r="D1303" s="9" t="str">
        <f t="shared" si="135"/>
        <v>44030 - T3</v>
      </c>
      <c r="E1303" s="32" t="s">
        <v>9</v>
      </c>
      <c r="F1303" s="2">
        <v>8000035</v>
      </c>
      <c r="G1303" s="4" t="str">
        <f>IFERROR(VLOOKUP(F1303,Lists!$C:$D,2,0), "N/A")</f>
        <v>TURTLES MILK CHOC ORIGINAL</v>
      </c>
      <c r="H1303" s="26">
        <f>IFERROR(VLOOKUP(F1303,Lists!$C:$F,4,0),0)</f>
        <v>1.91178</v>
      </c>
      <c r="I1303" s="7">
        <f t="shared" si="133"/>
        <v>13959.2</v>
      </c>
      <c r="J1303" s="6">
        <v>13543.2</v>
      </c>
      <c r="K1303" s="33">
        <v>416</v>
      </c>
      <c r="L1303" s="5">
        <f t="shared" si="136"/>
        <v>3.071652194459212E-2</v>
      </c>
      <c r="M1303" s="26">
        <f t="shared" si="137"/>
        <v>795.30047999999999</v>
      </c>
    </row>
    <row r="1304" spans="1:13" x14ac:dyDescent="0.25">
      <c r="A1304" s="16" t="str">
        <f t="shared" si="134"/>
        <v>July</v>
      </c>
      <c r="B1304" s="31">
        <v>44030</v>
      </c>
      <c r="C1304" s="32" t="s">
        <v>7</v>
      </c>
      <c r="D1304" s="9" t="str">
        <f t="shared" si="135"/>
        <v>44030 - T3</v>
      </c>
      <c r="E1304" s="32" t="s">
        <v>11</v>
      </c>
      <c r="F1304" s="2">
        <v>8000034</v>
      </c>
      <c r="G1304" s="4" t="str">
        <f>IFERROR(VLOOKUP(F1304,Lists!$C:$D,2,0), "N/A")</f>
        <v>KS MILK CHOC MACADAMIA</v>
      </c>
      <c r="H1304" s="26">
        <f>IFERROR(VLOOKUP(F1304,Lists!$C:$F,4,0),0)</f>
        <v>3.8943099999999999</v>
      </c>
      <c r="I1304" s="7">
        <f t="shared" si="133"/>
        <v>10450</v>
      </c>
      <c r="J1304" s="6">
        <v>10400</v>
      </c>
      <c r="K1304" s="33">
        <v>50</v>
      </c>
      <c r="L1304" s="5">
        <f t="shared" si="136"/>
        <v>4.807692307692308E-3</v>
      </c>
      <c r="M1304" s="26">
        <f t="shared" si="137"/>
        <v>194.71549999999999</v>
      </c>
    </row>
    <row r="1305" spans="1:13" x14ac:dyDescent="0.25">
      <c r="A1305" s="16" t="str">
        <f t="shared" si="134"/>
        <v>July</v>
      </c>
      <c r="B1305" s="31">
        <v>44030</v>
      </c>
      <c r="C1305" s="32" t="s">
        <v>7</v>
      </c>
      <c r="D1305" s="9" t="str">
        <f t="shared" si="135"/>
        <v>44030 - T3</v>
      </c>
      <c r="E1305" s="32" t="s">
        <v>12</v>
      </c>
      <c r="F1305" s="2">
        <v>8000055</v>
      </c>
      <c r="G1305" s="4" t="str">
        <f>IFERROR(VLOOKUP(F1305,Lists!$C:$D,2,0), "N/A")</f>
        <v>916.BF FLIPZ 25 LB BULK MILK CHOC</v>
      </c>
      <c r="H1305" s="26">
        <f>IFERROR(VLOOKUP(F1305,Lists!$C:$F,4,0),0)</f>
        <v>1.9508160000000001</v>
      </c>
      <c r="I1305" s="7">
        <f t="shared" si="133"/>
        <v>1009</v>
      </c>
      <c r="J1305" s="6">
        <f>40*25</f>
        <v>1000</v>
      </c>
      <c r="K1305" s="33">
        <v>9</v>
      </c>
      <c r="L1305" s="5">
        <f t="shared" si="136"/>
        <v>8.9999999999999993E-3</v>
      </c>
      <c r="M1305" s="26">
        <f t="shared" si="137"/>
        <v>17.557344000000001</v>
      </c>
    </row>
    <row r="1306" spans="1:13" x14ac:dyDescent="0.25">
      <c r="A1306" s="16" t="str">
        <f t="shared" si="134"/>
        <v>July</v>
      </c>
      <c r="B1306" s="31">
        <v>44030</v>
      </c>
      <c r="C1306" s="32" t="s">
        <v>8</v>
      </c>
      <c r="D1306" s="9" t="str">
        <f t="shared" si="135"/>
        <v>44030 - T4</v>
      </c>
      <c r="E1306" s="32" t="s">
        <v>9</v>
      </c>
      <c r="F1306" s="2">
        <v>8000035</v>
      </c>
      <c r="G1306" s="4" t="str">
        <f>IFERROR(VLOOKUP(F1306,Lists!$C:$D,2,0), "N/A")</f>
        <v>TURTLES MILK CHOC ORIGINAL</v>
      </c>
      <c r="H1306" s="26">
        <f>IFERROR(VLOOKUP(F1306,Lists!$C:$F,4,0),0)</f>
        <v>1.91178</v>
      </c>
      <c r="I1306" s="7">
        <f t="shared" si="133"/>
        <v>11879.2</v>
      </c>
      <c r="J1306" s="6">
        <v>11404.2</v>
      </c>
      <c r="K1306" s="33">
        <v>475</v>
      </c>
      <c r="L1306" s="5">
        <f t="shared" si="136"/>
        <v>4.1651321442977146E-2</v>
      </c>
      <c r="M1306" s="26">
        <f t="shared" si="137"/>
        <v>908.09550000000002</v>
      </c>
    </row>
    <row r="1307" spans="1:13" x14ac:dyDescent="0.25">
      <c r="A1307" s="16" t="str">
        <f t="shared" si="134"/>
        <v>July</v>
      </c>
      <c r="B1307" s="31">
        <v>44030</v>
      </c>
      <c r="C1307" s="32" t="s">
        <v>8</v>
      </c>
      <c r="D1307" s="9" t="str">
        <f t="shared" si="135"/>
        <v>44030 - T4</v>
      </c>
      <c r="E1307" s="32" t="s">
        <v>10</v>
      </c>
      <c r="F1307" s="2">
        <v>8000039</v>
      </c>
      <c r="G1307" s="4" t="str">
        <f>IFERROR(VLOOKUP(F1307,Lists!$C:$D,2,0), "N/A")</f>
        <v>TURTLES MILK CHOC ORIG MINI</v>
      </c>
      <c r="H1307" s="26">
        <f>IFERROR(VLOOKUP(F1307,Lists!$C:$F,4,0),0)</f>
        <v>2.08013</v>
      </c>
      <c r="I1307" s="7">
        <f t="shared" si="133"/>
        <v>25535</v>
      </c>
      <c r="J1307" s="6">
        <f>11520+13440</f>
        <v>24960</v>
      </c>
      <c r="K1307" s="33">
        <v>575</v>
      </c>
      <c r="L1307" s="5">
        <f t="shared" si="136"/>
        <v>2.3036858974358976E-2</v>
      </c>
      <c r="M1307" s="26">
        <f t="shared" si="137"/>
        <v>1196.07475</v>
      </c>
    </row>
    <row r="1308" spans="1:13" x14ac:dyDescent="0.25">
      <c r="A1308" s="16" t="str">
        <f t="shared" si="134"/>
        <v>July</v>
      </c>
      <c r="B1308" s="31">
        <v>44030</v>
      </c>
      <c r="C1308" s="32" t="s">
        <v>8</v>
      </c>
      <c r="D1308" s="9" t="str">
        <f t="shared" si="135"/>
        <v>44030 - T4</v>
      </c>
      <c r="E1308" s="32" t="s">
        <v>11</v>
      </c>
      <c r="F1308" s="2">
        <v>8000034</v>
      </c>
      <c r="G1308" s="4" t="str">
        <f>IFERROR(VLOOKUP(F1308,Lists!$C:$D,2,0), "N/A")</f>
        <v>KS MILK CHOC MACADAMIA</v>
      </c>
      <c r="H1308" s="26">
        <f>IFERROR(VLOOKUP(F1308,Lists!$C:$F,4,0),0)</f>
        <v>3.8943099999999999</v>
      </c>
      <c r="I1308" s="7">
        <f t="shared" si="133"/>
        <v>10466</v>
      </c>
      <c r="J1308" s="6">
        <v>10400</v>
      </c>
      <c r="K1308" s="33">
        <v>66</v>
      </c>
      <c r="L1308" s="5">
        <f t="shared" si="136"/>
        <v>6.346153846153846E-3</v>
      </c>
      <c r="M1308" s="26">
        <f t="shared" si="137"/>
        <v>257.02445999999998</v>
      </c>
    </row>
    <row r="1309" spans="1:13" x14ac:dyDescent="0.25">
      <c r="A1309" s="16" t="str">
        <f t="shared" si="134"/>
        <v>July</v>
      </c>
      <c r="B1309" s="31">
        <v>44031</v>
      </c>
      <c r="C1309" s="32" t="s">
        <v>7</v>
      </c>
      <c r="D1309" s="9" t="str">
        <f t="shared" si="135"/>
        <v>44031 - T3</v>
      </c>
      <c r="E1309" s="32" t="s">
        <v>9</v>
      </c>
      <c r="F1309" s="2">
        <v>8000038</v>
      </c>
      <c r="G1309" s="4" t="str">
        <f>IFERROR(VLOOKUP(F1309,Lists!$C:$D,2,0), "N/A")</f>
        <v>TURTLES MILK CHOC PEC BITE SZ</v>
      </c>
      <c r="H1309" s="26">
        <f>IFERROR(VLOOKUP(F1309,Lists!$C:$F,4,0),0)</f>
        <v>1.96</v>
      </c>
      <c r="I1309" s="7">
        <f t="shared" si="133"/>
        <v>3580.52</v>
      </c>
      <c r="J1309" s="6">
        <v>3143.52</v>
      </c>
      <c r="K1309" s="33">
        <v>437</v>
      </c>
      <c r="L1309" s="5">
        <f t="shared" si="136"/>
        <v>0.13901613477884664</v>
      </c>
      <c r="M1309" s="26">
        <f t="shared" si="137"/>
        <v>856.52</v>
      </c>
    </row>
    <row r="1310" spans="1:13" x14ac:dyDescent="0.25">
      <c r="A1310" s="16" t="str">
        <f t="shared" si="134"/>
        <v>July</v>
      </c>
      <c r="B1310" s="31">
        <v>44031</v>
      </c>
      <c r="C1310" s="32" t="s">
        <v>7</v>
      </c>
      <c r="D1310" s="9" t="str">
        <f t="shared" si="135"/>
        <v>44031 - T3</v>
      </c>
      <c r="E1310" s="32" t="s">
        <v>10</v>
      </c>
      <c r="F1310" s="2">
        <v>8000039</v>
      </c>
      <c r="G1310" s="4" t="str">
        <f>IFERROR(VLOOKUP(F1310,Lists!$C:$D,2,0), "N/A")</f>
        <v>TURTLES MILK CHOC ORIG MINI</v>
      </c>
      <c r="H1310" s="26">
        <f>IFERROR(VLOOKUP(F1310,Lists!$C:$F,4,0),0)</f>
        <v>2.08013</v>
      </c>
      <c r="I1310" s="7">
        <f t="shared" si="133"/>
        <v>15245</v>
      </c>
      <c r="J1310" s="6">
        <v>14400</v>
      </c>
      <c r="K1310" s="33">
        <v>845</v>
      </c>
      <c r="L1310" s="5">
        <f t="shared" si="136"/>
        <v>5.8680555555555555E-2</v>
      </c>
      <c r="M1310" s="26">
        <f t="shared" si="137"/>
        <v>1757.70985</v>
      </c>
    </row>
    <row r="1311" spans="1:13" x14ac:dyDescent="0.25">
      <c r="A1311" s="16" t="str">
        <f t="shared" si="134"/>
        <v>July</v>
      </c>
      <c r="B1311" s="31">
        <v>44031</v>
      </c>
      <c r="C1311" s="32" t="s">
        <v>8</v>
      </c>
      <c r="D1311" s="9" t="str">
        <f t="shared" si="135"/>
        <v>44031 - T4</v>
      </c>
      <c r="E1311" s="32" t="s">
        <v>9</v>
      </c>
      <c r="F1311" s="2">
        <v>8000038</v>
      </c>
      <c r="G1311" s="4" t="str">
        <f>IFERROR(VLOOKUP(F1311,Lists!$C:$D,2,0), "N/A")</f>
        <v>TURTLES MILK CHOC PEC BITE SZ</v>
      </c>
      <c r="H1311" s="26">
        <f>IFERROR(VLOOKUP(F1311,Lists!$C:$F,4,0),0)</f>
        <v>1.96</v>
      </c>
      <c r="I1311" s="7">
        <f t="shared" si="133"/>
        <v>5973.36</v>
      </c>
      <c r="J1311" s="6">
        <v>5871.36</v>
      </c>
      <c r="K1311" s="33">
        <v>102</v>
      </c>
      <c r="L1311" s="5">
        <f t="shared" si="136"/>
        <v>1.7372465663832572E-2</v>
      </c>
      <c r="M1311" s="26">
        <f t="shared" si="137"/>
        <v>199.92</v>
      </c>
    </row>
    <row r="1312" spans="1:13" x14ac:dyDescent="0.25">
      <c r="A1312" s="16" t="str">
        <f t="shared" si="134"/>
        <v>July</v>
      </c>
      <c r="B1312" s="31">
        <v>44031</v>
      </c>
      <c r="C1312" s="32" t="s">
        <v>8</v>
      </c>
      <c r="D1312" s="9" t="str">
        <f t="shared" si="135"/>
        <v>44031 - T4</v>
      </c>
      <c r="E1312" s="32" t="s">
        <v>10</v>
      </c>
      <c r="F1312" s="2">
        <v>8000039</v>
      </c>
      <c r="G1312" s="4" t="str">
        <f>IFERROR(VLOOKUP(F1312,Lists!$C:$D,2,0), "N/A")</f>
        <v>TURTLES MILK CHOC ORIG MINI</v>
      </c>
      <c r="H1312" s="26">
        <f>IFERROR(VLOOKUP(F1312,Lists!$C:$F,4,0),0)</f>
        <v>2.08013</v>
      </c>
      <c r="I1312" s="7">
        <f t="shared" si="133"/>
        <v>3695</v>
      </c>
      <c r="J1312" s="6">
        <v>2880</v>
      </c>
      <c r="K1312" s="33">
        <v>815</v>
      </c>
      <c r="L1312" s="5">
        <f t="shared" si="136"/>
        <v>0.2829861111111111</v>
      </c>
      <c r="M1312" s="26">
        <f t="shared" si="137"/>
        <v>1695.3059499999999</v>
      </c>
    </row>
    <row r="1313" spans="1:13" x14ac:dyDescent="0.25">
      <c r="A1313" s="16" t="str">
        <f t="shared" si="134"/>
        <v>July</v>
      </c>
      <c r="B1313" s="31">
        <v>44032</v>
      </c>
      <c r="C1313" s="32" t="s">
        <v>5</v>
      </c>
      <c r="D1313" s="9" t="str">
        <f t="shared" si="135"/>
        <v>44032 - T1</v>
      </c>
      <c r="E1313" s="32" t="s">
        <v>9</v>
      </c>
      <c r="F1313" s="2">
        <v>8000038</v>
      </c>
      <c r="G1313" s="4" t="str">
        <f>IFERROR(VLOOKUP(F1313,Lists!$C:$D,2,0), "N/A")</f>
        <v>TURTLES MILK CHOC PEC BITE SZ</v>
      </c>
      <c r="H1313" s="26">
        <f>IFERROR(VLOOKUP(F1313,Lists!$C:$F,4,0),0)</f>
        <v>1.96</v>
      </c>
      <c r="I1313" s="7">
        <f t="shared" si="133"/>
        <v>11488.72</v>
      </c>
      <c r="J1313" s="6">
        <v>11022.72</v>
      </c>
      <c r="K1313" s="33">
        <v>466</v>
      </c>
      <c r="L1313" s="5">
        <f t="shared" si="136"/>
        <v>4.2276316553445978E-2</v>
      </c>
      <c r="M1313" s="26">
        <f t="shared" si="137"/>
        <v>913.36</v>
      </c>
    </row>
    <row r="1314" spans="1:13" x14ac:dyDescent="0.25">
      <c r="A1314" s="16" t="str">
        <f t="shared" si="134"/>
        <v>July</v>
      </c>
      <c r="B1314" s="31">
        <v>44032</v>
      </c>
      <c r="C1314" s="32" t="s">
        <v>5</v>
      </c>
      <c r="D1314" s="9" t="str">
        <f t="shared" si="135"/>
        <v>44032 - T1</v>
      </c>
      <c r="E1314" s="32" t="s">
        <v>10</v>
      </c>
      <c r="F1314" s="2">
        <v>8000039</v>
      </c>
      <c r="G1314" s="4" t="str">
        <f>IFERROR(VLOOKUP(F1314,Lists!$C:$D,2,0), "N/A")</f>
        <v>TURTLES MILK CHOC ORIG MINI</v>
      </c>
      <c r="H1314" s="26">
        <f>IFERROR(VLOOKUP(F1314,Lists!$C:$F,4,0),0)</f>
        <v>2.08013</v>
      </c>
      <c r="I1314" s="7">
        <f t="shared" si="133"/>
        <v>10865</v>
      </c>
      <c r="J1314" s="6">
        <v>10560</v>
      </c>
      <c r="K1314" s="33">
        <v>305</v>
      </c>
      <c r="L1314" s="5">
        <f t="shared" si="136"/>
        <v>2.8882575757575756E-2</v>
      </c>
      <c r="M1314" s="26">
        <f t="shared" si="137"/>
        <v>634.43965000000003</v>
      </c>
    </row>
    <row r="1315" spans="1:13" x14ac:dyDescent="0.25">
      <c r="A1315" s="16" t="str">
        <f t="shared" si="134"/>
        <v>July</v>
      </c>
      <c r="B1315" s="31">
        <v>44032</v>
      </c>
      <c r="C1315" s="32" t="s">
        <v>5</v>
      </c>
      <c r="D1315" s="9" t="str">
        <f t="shared" si="135"/>
        <v>44032 - T1</v>
      </c>
      <c r="E1315" s="32" t="s">
        <v>15</v>
      </c>
      <c r="G1315" s="4" t="str">
        <f>IFERROR(VLOOKUP(F1315,Lists!$C:$D,2,0), "N/A")</f>
        <v>N/A</v>
      </c>
      <c r="H1315" s="26">
        <f>IFERROR(VLOOKUP(F1315,Lists!$C:$F,4,0),0)</f>
        <v>0</v>
      </c>
      <c r="I1315" s="7">
        <f t="shared" si="133"/>
        <v>35</v>
      </c>
      <c r="K1315" s="33">
        <v>35</v>
      </c>
      <c r="L1315" s="5">
        <f t="shared" si="136"/>
        <v>1</v>
      </c>
      <c r="M1315" s="26">
        <f t="shared" si="137"/>
        <v>0</v>
      </c>
    </row>
    <row r="1316" spans="1:13" x14ac:dyDescent="0.25">
      <c r="A1316" s="16" t="str">
        <f t="shared" si="134"/>
        <v>July</v>
      </c>
      <c r="B1316" s="31">
        <v>44032</v>
      </c>
      <c r="C1316" s="32" t="s">
        <v>6</v>
      </c>
      <c r="D1316" s="9" t="str">
        <f t="shared" si="135"/>
        <v>44032 - T2</v>
      </c>
      <c r="E1316" s="32" t="s">
        <v>9</v>
      </c>
      <c r="F1316" s="2">
        <v>8000038</v>
      </c>
      <c r="G1316" s="4" t="str">
        <f>IFERROR(VLOOKUP(F1316,Lists!$C:$D,2,0), "N/A")</f>
        <v>TURTLES MILK CHOC PEC BITE SZ</v>
      </c>
      <c r="H1316" s="26">
        <f>IFERROR(VLOOKUP(F1316,Lists!$C:$F,4,0),0)</f>
        <v>1.96</v>
      </c>
      <c r="I1316" s="7">
        <f t="shared" si="133"/>
        <v>10153.719999999999</v>
      </c>
      <c r="J1316" s="6">
        <v>9582.7199999999993</v>
      </c>
      <c r="K1316" s="33">
        <v>571</v>
      </c>
      <c r="L1316" s="5">
        <f t="shared" si="136"/>
        <v>5.9586422226674686E-2</v>
      </c>
      <c r="M1316" s="26">
        <f t="shared" si="137"/>
        <v>1119.1600000000001</v>
      </c>
    </row>
    <row r="1317" spans="1:13" x14ac:dyDescent="0.25">
      <c r="A1317" s="16" t="str">
        <f t="shared" si="134"/>
        <v>July</v>
      </c>
      <c r="B1317" s="31">
        <v>44032</v>
      </c>
      <c r="C1317" s="32" t="s">
        <v>6</v>
      </c>
      <c r="D1317" s="9" t="str">
        <f t="shared" si="135"/>
        <v>44032 - T2</v>
      </c>
      <c r="E1317" s="32" t="s">
        <v>10</v>
      </c>
      <c r="F1317" s="2">
        <v>8000039</v>
      </c>
      <c r="G1317" s="4" t="str">
        <f>IFERROR(VLOOKUP(F1317,Lists!$C:$D,2,0), "N/A")</f>
        <v>TURTLES MILK CHOC ORIG MINI</v>
      </c>
      <c r="H1317" s="26">
        <f>IFERROR(VLOOKUP(F1317,Lists!$C:$F,4,0),0)</f>
        <v>2.08013</v>
      </c>
      <c r="I1317" s="7">
        <f t="shared" si="133"/>
        <v>10627</v>
      </c>
      <c r="J1317" s="6">
        <v>10560</v>
      </c>
      <c r="K1317" s="33">
        <v>67</v>
      </c>
      <c r="L1317" s="5">
        <f t="shared" si="136"/>
        <v>6.3446969696969698E-3</v>
      </c>
      <c r="M1317" s="26">
        <f t="shared" si="137"/>
        <v>139.36870999999999</v>
      </c>
    </row>
    <row r="1318" spans="1:13" x14ac:dyDescent="0.25">
      <c r="A1318" s="16" t="str">
        <f t="shared" si="134"/>
        <v>July</v>
      </c>
      <c r="B1318" s="31">
        <v>44032</v>
      </c>
      <c r="C1318" s="32" t="s">
        <v>6</v>
      </c>
      <c r="D1318" s="9" t="str">
        <f t="shared" si="135"/>
        <v>44032 - T2</v>
      </c>
      <c r="E1318" s="32" t="s">
        <v>12</v>
      </c>
      <c r="F1318" s="2">
        <v>8000055</v>
      </c>
      <c r="G1318" s="4" t="str">
        <f>IFERROR(VLOOKUP(F1318,Lists!$C:$D,2,0), "N/A")</f>
        <v>916.BF FLIPZ 25 LB BULK MILK CHOC</v>
      </c>
      <c r="H1318" s="26">
        <f>IFERROR(VLOOKUP(F1318,Lists!$C:$F,4,0),0)</f>
        <v>1.9508160000000001</v>
      </c>
      <c r="I1318" s="7">
        <f t="shared" si="133"/>
        <v>9070</v>
      </c>
      <c r="J1318" s="6">
        <f>360*25</f>
        <v>9000</v>
      </c>
      <c r="K1318" s="33">
        <v>70</v>
      </c>
      <c r="L1318" s="5">
        <f t="shared" si="136"/>
        <v>7.7777777777777776E-3</v>
      </c>
      <c r="M1318" s="26">
        <f t="shared" si="137"/>
        <v>136.55712</v>
      </c>
    </row>
    <row r="1319" spans="1:13" x14ac:dyDescent="0.25">
      <c r="A1319" s="16" t="str">
        <f t="shared" si="134"/>
        <v>July</v>
      </c>
      <c r="B1319" s="31">
        <v>44032</v>
      </c>
      <c r="C1319" s="32" t="s">
        <v>6</v>
      </c>
      <c r="D1319" s="9" t="str">
        <f t="shared" si="135"/>
        <v>44032 - T2</v>
      </c>
      <c r="E1319" s="32" t="s">
        <v>15</v>
      </c>
      <c r="G1319" s="4" t="str">
        <f>IFERROR(VLOOKUP(F1319,Lists!$C:$D,2,0), "N/A")</f>
        <v>N/A</v>
      </c>
      <c r="H1319" s="26">
        <f>IFERROR(VLOOKUP(F1319,Lists!$C:$F,4,0),0)</f>
        <v>0</v>
      </c>
      <c r="I1319" s="7">
        <f t="shared" si="133"/>
        <v>22</v>
      </c>
      <c r="K1319" s="33">
        <v>22</v>
      </c>
      <c r="L1319" s="5">
        <f t="shared" si="136"/>
        <v>1</v>
      </c>
      <c r="M1319" s="26">
        <f t="shared" si="137"/>
        <v>0</v>
      </c>
    </row>
    <row r="1320" spans="1:13" x14ac:dyDescent="0.25">
      <c r="A1320" s="16" t="str">
        <f t="shared" si="134"/>
        <v>July</v>
      </c>
      <c r="B1320" s="31">
        <v>44033</v>
      </c>
      <c r="C1320" s="32" t="s">
        <v>5</v>
      </c>
      <c r="D1320" s="9" t="str">
        <f t="shared" si="135"/>
        <v>44033 - T1</v>
      </c>
      <c r="E1320" s="32" t="s">
        <v>9</v>
      </c>
      <c r="F1320" s="2">
        <v>8000038</v>
      </c>
      <c r="G1320" s="4" t="str">
        <f>IFERROR(VLOOKUP(F1320,Lists!$C:$D,2,0), "N/A")</f>
        <v>TURTLES MILK CHOC PEC BITE SZ</v>
      </c>
      <c r="H1320" s="26">
        <f>IFERROR(VLOOKUP(F1320,Lists!$C:$F,4,0),0)</f>
        <v>1.96</v>
      </c>
      <c r="I1320" s="7">
        <f t="shared" si="133"/>
        <v>7240.04</v>
      </c>
      <c r="J1320" s="6">
        <v>6773.04</v>
      </c>
      <c r="K1320" s="33">
        <v>467</v>
      </c>
      <c r="L1320" s="5">
        <f t="shared" si="136"/>
        <v>6.8949836410238233E-2</v>
      </c>
      <c r="M1320" s="26">
        <f t="shared" si="137"/>
        <v>915.31999999999994</v>
      </c>
    </row>
    <row r="1321" spans="1:13" x14ac:dyDescent="0.25">
      <c r="A1321" s="16" t="str">
        <f t="shared" si="134"/>
        <v>July</v>
      </c>
      <c r="B1321" s="31">
        <v>44033</v>
      </c>
      <c r="C1321" s="32" t="s">
        <v>5</v>
      </c>
      <c r="D1321" s="9" t="str">
        <f t="shared" si="135"/>
        <v>44033 - T1</v>
      </c>
      <c r="E1321" s="32" t="s">
        <v>10</v>
      </c>
      <c r="F1321" s="2">
        <v>8000039</v>
      </c>
      <c r="G1321" s="4" t="str">
        <f>IFERROR(VLOOKUP(F1321,Lists!$C:$D,2,0), "N/A")</f>
        <v>TURTLES MILK CHOC ORIG MINI</v>
      </c>
      <c r="H1321" s="26">
        <f>IFERROR(VLOOKUP(F1321,Lists!$C:$F,4,0),0)</f>
        <v>2.08013</v>
      </c>
      <c r="I1321" s="7">
        <f t="shared" si="133"/>
        <v>9978</v>
      </c>
      <c r="J1321" s="6">
        <v>9600</v>
      </c>
      <c r="K1321" s="33">
        <v>378</v>
      </c>
      <c r="L1321" s="5">
        <f t="shared" si="136"/>
        <v>3.9375E-2</v>
      </c>
      <c r="M1321" s="26">
        <f t="shared" si="137"/>
        <v>786.28913999999997</v>
      </c>
    </row>
    <row r="1322" spans="1:13" x14ac:dyDescent="0.25">
      <c r="A1322" s="16" t="str">
        <f t="shared" si="134"/>
        <v>July</v>
      </c>
      <c r="B1322" s="31">
        <v>44033</v>
      </c>
      <c r="C1322" s="32" t="s">
        <v>5</v>
      </c>
      <c r="D1322" s="9" t="str">
        <f t="shared" si="135"/>
        <v>44033 - T1</v>
      </c>
      <c r="E1322" s="32" t="s">
        <v>11</v>
      </c>
      <c r="F1322" s="2">
        <v>8000034</v>
      </c>
      <c r="G1322" s="4" t="str">
        <f>IFERROR(VLOOKUP(F1322,Lists!$C:$D,2,0), "N/A")</f>
        <v>KS MILK CHOC MACADAMIA</v>
      </c>
      <c r="H1322" s="26">
        <f>IFERROR(VLOOKUP(F1322,Lists!$C:$F,4,0),0)</f>
        <v>3.8943099999999999</v>
      </c>
      <c r="I1322" s="7">
        <f t="shared" si="133"/>
        <v>9754</v>
      </c>
      <c r="J1322" s="6">
        <v>9600</v>
      </c>
      <c r="K1322" s="33">
        <v>154</v>
      </c>
      <c r="L1322" s="5">
        <f t="shared" si="136"/>
        <v>1.6041666666666666E-2</v>
      </c>
      <c r="M1322" s="26">
        <f t="shared" si="137"/>
        <v>599.72374000000002</v>
      </c>
    </row>
    <row r="1323" spans="1:13" x14ac:dyDescent="0.25">
      <c r="A1323" s="16" t="str">
        <f t="shared" si="134"/>
        <v>July</v>
      </c>
      <c r="B1323" s="31">
        <v>44033</v>
      </c>
      <c r="C1323" s="32" t="s">
        <v>5</v>
      </c>
      <c r="D1323" s="9" t="str">
        <f t="shared" si="135"/>
        <v>44033 - T1</v>
      </c>
      <c r="E1323" s="32" t="s">
        <v>15</v>
      </c>
      <c r="G1323" s="4" t="str">
        <f>IFERROR(VLOOKUP(F1323,Lists!$C:$D,2,0), "N/A")</f>
        <v>N/A</v>
      </c>
      <c r="H1323" s="26">
        <f>IFERROR(VLOOKUP(F1323,Lists!$C:$F,4,0),0)</f>
        <v>0</v>
      </c>
      <c r="I1323" s="7">
        <f t="shared" si="133"/>
        <v>22</v>
      </c>
      <c r="K1323" s="33">
        <v>22</v>
      </c>
      <c r="L1323" s="5">
        <f t="shared" si="136"/>
        <v>1</v>
      </c>
      <c r="M1323" s="26">
        <f t="shared" si="137"/>
        <v>0</v>
      </c>
    </row>
    <row r="1324" spans="1:13" x14ac:dyDescent="0.25">
      <c r="A1324" s="16" t="str">
        <f t="shared" si="134"/>
        <v>July</v>
      </c>
      <c r="B1324" s="31">
        <v>44033</v>
      </c>
      <c r="C1324" s="32" t="s">
        <v>6</v>
      </c>
      <c r="D1324" s="9" t="str">
        <f t="shared" si="135"/>
        <v>44033 - T2</v>
      </c>
      <c r="E1324" s="32" t="s">
        <v>9</v>
      </c>
      <c r="F1324" s="2">
        <v>8000038</v>
      </c>
      <c r="G1324" s="4" t="str">
        <f>IFERROR(VLOOKUP(F1324,Lists!$C:$D,2,0), "N/A")</f>
        <v>TURTLES MILK CHOC PEC BITE SZ</v>
      </c>
      <c r="H1324" s="26">
        <f>IFERROR(VLOOKUP(F1324,Lists!$C:$F,4,0),0)</f>
        <v>1.96</v>
      </c>
      <c r="I1324" s="7">
        <f t="shared" si="133"/>
        <v>6062.4</v>
      </c>
      <c r="J1324" s="6">
        <v>5678.4</v>
      </c>
      <c r="K1324" s="33">
        <v>384</v>
      </c>
      <c r="L1324" s="5">
        <f t="shared" si="136"/>
        <v>6.76246830092984E-2</v>
      </c>
      <c r="M1324" s="26">
        <f t="shared" si="137"/>
        <v>752.64</v>
      </c>
    </row>
    <row r="1325" spans="1:13" x14ac:dyDescent="0.25">
      <c r="A1325" s="16" t="str">
        <f t="shared" si="134"/>
        <v>July</v>
      </c>
      <c r="B1325" s="31">
        <v>44033</v>
      </c>
      <c r="C1325" s="32" t="s">
        <v>6</v>
      </c>
      <c r="D1325" s="9" t="str">
        <f t="shared" si="135"/>
        <v>44033 - T2</v>
      </c>
      <c r="E1325" s="32" t="s">
        <v>11</v>
      </c>
      <c r="F1325" s="2">
        <v>8000034</v>
      </c>
      <c r="G1325" s="4" t="str">
        <f>IFERROR(VLOOKUP(F1325,Lists!$C:$D,2,0), "N/A")</f>
        <v>KS MILK CHOC MACADAMIA</v>
      </c>
      <c r="H1325" s="26">
        <f>IFERROR(VLOOKUP(F1325,Lists!$C:$F,4,0),0)</f>
        <v>3.8943099999999999</v>
      </c>
      <c r="I1325" s="7">
        <f t="shared" ref="I1325:I1370" si="138">J1325+K1325</f>
        <v>11381</v>
      </c>
      <c r="J1325" s="6">
        <v>11200</v>
      </c>
      <c r="K1325" s="33">
        <v>181</v>
      </c>
      <c r="L1325" s="5">
        <f t="shared" si="136"/>
        <v>1.6160714285714285E-2</v>
      </c>
      <c r="M1325" s="26">
        <f t="shared" si="137"/>
        <v>704.87010999999995</v>
      </c>
    </row>
    <row r="1326" spans="1:13" x14ac:dyDescent="0.25">
      <c r="A1326" s="16" t="str">
        <f t="shared" si="134"/>
        <v>July</v>
      </c>
      <c r="B1326" s="31">
        <v>44033</v>
      </c>
      <c r="C1326" s="32" t="s">
        <v>6</v>
      </c>
      <c r="D1326" s="9" t="str">
        <f t="shared" si="135"/>
        <v>44033 - T2</v>
      </c>
      <c r="E1326" s="32" t="s">
        <v>12</v>
      </c>
      <c r="F1326" s="2">
        <v>8000055</v>
      </c>
      <c r="G1326" s="4" t="str">
        <f>IFERROR(VLOOKUP(F1326,Lists!$C:$D,2,0), "N/A")</f>
        <v>916.BF FLIPZ 25 LB BULK MILK CHOC</v>
      </c>
      <c r="H1326" s="26">
        <f>IFERROR(VLOOKUP(F1326,Lists!$C:$F,4,0),0)</f>
        <v>1.9508160000000001</v>
      </c>
      <c r="I1326" s="7">
        <f t="shared" si="138"/>
        <v>9048</v>
      </c>
      <c r="J1326" s="6">
        <f>360*25</f>
        <v>9000</v>
      </c>
      <c r="K1326" s="33">
        <v>48</v>
      </c>
      <c r="L1326" s="5">
        <f t="shared" si="136"/>
        <v>5.3333333333333332E-3</v>
      </c>
      <c r="M1326" s="26">
        <f t="shared" si="137"/>
        <v>93.639168000000012</v>
      </c>
    </row>
    <row r="1327" spans="1:13" x14ac:dyDescent="0.25">
      <c r="A1327" s="16" t="str">
        <f t="shared" si="134"/>
        <v>July</v>
      </c>
      <c r="B1327" s="31">
        <v>44033</v>
      </c>
      <c r="C1327" s="32" t="s">
        <v>6</v>
      </c>
      <c r="D1327" s="9" t="str">
        <f t="shared" si="135"/>
        <v>44033 - T2</v>
      </c>
      <c r="E1327" s="32" t="s">
        <v>15</v>
      </c>
      <c r="G1327" s="4" t="str">
        <f>IFERROR(VLOOKUP(F1327,Lists!$C:$D,2,0), "N/A")</f>
        <v>N/A</v>
      </c>
      <c r="H1327" s="26">
        <f>IFERROR(VLOOKUP(F1327,Lists!$C:$F,4,0),0)</f>
        <v>0</v>
      </c>
      <c r="I1327" s="7">
        <f t="shared" si="138"/>
        <v>10</v>
      </c>
      <c r="K1327" s="33">
        <v>10</v>
      </c>
      <c r="L1327" s="5">
        <f t="shared" si="136"/>
        <v>1</v>
      </c>
      <c r="M1327" s="26">
        <f t="shared" si="137"/>
        <v>0</v>
      </c>
    </row>
    <row r="1328" spans="1:13" x14ac:dyDescent="0.25">
      <c r="A1328" s="16" t="str">
        <f t="shared" si="134"/>
        <v>July</v>
      </c>
      <c r="B1328" s="31">
        <v>44034</v>
      </c>
      <c r="C1328" s="32" t="s">
        <v>7</v>
      </c>
      <c r="D1328" s="9" t="str">
        <f t="shared" si="135"/>
        <v>44034 - T3</v>
      </c>
      <c r="E1328" s="32" t="s">
        <v>11</v>
      </c>
      <c r="F1328" s="2">
        <v>8000034</v>
      </c>
      <c r="G1328" s="4" t="str">
        <f>IFERROR(VLOOKUP(F1328,Lists!$C:$D,2,0), "N/A")</f>
        <v>KS MILK CHOC MACADAMIA</v>
      </c>
      <c r="H1328" s="26">
        <f>IFERROR(VLOOKUP(F1328,Lists!$C:$F,4,0),0)</f>
        <v>3.8943099999999999</v>
      </c>
      <c r="I1328" s="7">
        <f t="shared" si="138"/>
        <v>9654</v>
      </c>
      <c r="J1328" s="6">
        <v>9600</v>
      </c>
      <c r="K1328" s="33">
        <v>54</v>
      </c>
      <c r="L1328" s="5">
        <f t="shared" si="136"/>
        <v>5.6249999999999998E-3</v>
      </c>
      <c r="M1328" s="26">
        <f t="shared" si="137"/>
        <v>210.29274000000001</v>
      </c>
    </row>
    <row r="1329" spans="1:13" x14ac:dyDescent="0.25">
      <c r="A1329" s="16" t="str">
        <f t="shared" si="134"/>
        <v>July</v>
      </c>
      <c r="B1329" s="31">
        <v>44034</v>
      </c>
      <c r="C1329" s="32" t="s">
        <v>7</v>
      </c>
      <c r="D1329" s="9" t="str">
        <f t="shared" si="135"/>
        <v>44034 - T3</v>
      </c>
      <c r="E1329" s="32" t="s">
        <v>12</v>
      </c>
      <c r="F1329" s="2">
        <v>8000055</v>
      </c>
      <c r="G1329" s="4" t="str">
        <f>IFERROR(VLOOKUP(F1329,Lists!$C:$D,2,0), "N/A")</f>
        <v>916.BF FLIPZ 25 LB BULK MILK CHOC</v>
      </c>
      <c r="H1329" s="26">
        <f>IFERROR(VLOOKUP(F1329,Lists!$C:$F,4,0),0)</f>
        <v>1.9508160000000001</v>
      </c>
      <c r="I1329" s="7">
        <f t="shared" si="138"/>
        <v>8004</v>
      </c>
      <c r="J1329" s="6">
        <f>320*25</f>
        <v>8000</v>
      </c>
      <c r="K1329" s="33">
        <v>4</v>
      </c>
      <c r="L1329" s="5">
        <f t="shared" si="136"/>
        <v>5.0000000000000001E-4</v>
      </c>
      <c r="M1329" s="26">
        <f t="shared" si="137"/>
        <v>7.8032640000000004</v>
      </c>
    </row>
    <row r="1330" spans="1:13" x14ac:dyDescent="0.25">
      <c r="A1330" s="16" t="str">
        <f t="shared" ref="A1330:A1386" si="139">TEXT(B1330,"mmmm")</f>
        <v>July</v>
      </c>
      <c r="B1330" s="31">
        <v>44034</v>
      </c>
      <c r="C1330" s="32" t="s">
        <v>7</v>
      </c>
      <c r="D1330" s="9" t="str">
        <f t="shared" si="135"/>
        <v>44034 - T3</v>
      </c>
      <c r="E1330" s="32" t="s">
        <v>15</v>
      </c>
      <c r="G1330" s="4" t="str">
        <f>IFERROR(VLOOKUP(F1330,Lists!$C:$D,2,0), "N/A")</f>
        <v>N/A</v>
      </c>
      <c r="H1330" s="26">
        <f>IFERROR(VLOOKUP(F1330,Lists!$C:$F,4,0),0)</f>
        <v>0</v>
      </c>
      <c r="I1330" s="7">
        <f t="shared" si="138"/>
        <v>90</v>
      </c>
      <c r="K1330" s="33">
        <v>90</v>
      </c>
      <c r="L1330" s="5">
        <f t="shared" si="136"/>
        <v>1</v>
      </c>
      <c r="M1330" s="26">
        <f t="shared" si="137"/>
        <v>0</v>
      </c>
    </row>
    <row r="1331" spans="1:13" x14ac:dyDescent="0.25">
      <c r="A1331" s="16" t="str">
        <f t="shared" si="139"/>
        <v>July</v>
      </c>
      <c r="B1331" s="31">
        <v>44034</v>
      </c>
      <c r="C1331" s="32" t="s">
        <v>8</v>
      </c>
      <c r="D1331" s="9" t="str">
        <f t="shared" si="135"/>
        <v>44034 - T4</v>
      </c>
      <c r="E1331" s="32" t="s">
        <v>11</v>
      </c>
      <c r="F1331" s="2">
        <v>8000034</v>
      </c>
      <c r="G1331" s="4" t="str">
        <f>IFERROR(VLOOKUP(F1331,Lists!$C:$D,2,0), "N/A")</f>
        <v>KS MILK CHOC MACADAMIA</v>
      </c>
      <c r="H1331" s="26">
        <f>IFERROR(VLOOKUP(F1331,Lists!$C:$F,4,0),0)</f>
        <v>3.8943099999999999</v>
      </c>
      <c r="I1331" s="7">
        <f t="shared" si="138"/>
        <v>9617</v>
      </c>
      <c r="J1331" s="6">
        <v>9600</v>
      </c>
      <c r="K1331" s="33">
        <v>17</v>
      </c>
      <c r="L1331" s="5">
        <f t="shared" si="136"/>
        <v>1.7708333333333332E-3</v>
      </c>
      <c r="M1331" s="26">
        <f t="shared" si="137"/>
        <v>66.203270000000003</v>
      </c>
    </row>
    <row r="1332" spans="1:13" x14ac:dyDescent="0.25">
      <c r="A1332" s="16" t="str">
        <f t="shared" si="139"/>
        <v>July</v>
      </c>
      <c r="B1332" s="31">
        <v>44034</v>
      </c>
      <c r="C1332" s="32" t="s">
        <v>8</v>
      </c>
      <c r="D1332" s="9" t="str">
        <f t="shared" si="135"/>
        <v>44034 - T4</v>
      </c>
      <c r="E1332" s="32" t="s">
        <v>12</v>
      </c>
      <c r="F1332" s="2">
        <v>8000055</v>
      </c>
      <c r="G1332" s="4" t="str">
        <f>IFERROR(VLOOKUP(F1332,Lists!$C:$D,2,0), "N/A")</f>
        <v>916.BF FLIPZ 25 LB BULK MILK CHOC</v>
      </c>
      <c r="H1332" s="26">
        <f>IFERROR(VLOOKUP(F1332,Lists!$C:$F,4,0),0)</f>
        <v>1.9508160000000001</v>
      </c>
      <c r="I1332" s="7">
        <f t="shared" si="138"/>
        <v>8016</v>
      </c>
      <c r="J1332" s="6">
        <f>320*25</f>
        <v>8000</v>
      </c>
      <c r="K1332" s="33">
        <v>16</v>
      </c>
      <c r="L1332" s="5">
        <f t="shared" si="136"/>
        <v>2E-3</v>
      </c>
      <c r="M1332" s="26">
        <f t="shared" si="137"/>
        <v>31.213056000000002</v>
      </c>
    </row>
    <row r="1333" spans="1:13" x14ac:dyDescent="0.25">
      <c r="A1333" s="16" t="str">
        <f t="shared" si="139"/>
        <v>July</v>
      </c>
      <c r="B1333" s="31">
        <v>44035</v>
      </c>
      <c r="C1333" s="32" t="s">
        <v>7</v>
      </c>
      <c r="D1333" s="9" t="str">
        <f t="shared" si="135"/>
        <v>44035 - T3</v>
      </c>
      <c r="E1333" s="32" t="s">
        <v>9</v>
      </c>
      <c r="F1333" s="2">
        <v>8000038</v>
      </c>
      <c r="G1333" s="4" t="str">
        <f>IFERROR(VLOOKUP(F1333,Lists!$C:$D,2,0), "N/A")</f>
        <v>TURTLES MILK CHOC PEC BITE SZ</v>
      </c>
      <c r="H1333" s="26">
        <f>IFERROR(VLOOKUP(F1333,Lists!$C:$F,4,0),0)</f>
        <v>1.96</v>
      </c>
      <c r="I1333" s="7">
        <f t="shared" si="138"/>
        <v>3528.9</v>
      </c>
      <c r="J1333" s="6">
        <v>3377.9</v>
      </c>
      <c r="K1333" s="33">
        <v>151</v>
      </c>
      <c r="L1333" s="5">
        <f t="shared" si="136"/>
        <v>4.4702329849906748E-2</v>
      </c>
      <c r="M1333" s="26">
        <f t="shared" si="137"/>
        <v>295.95999999999998</v>
      </c>
    </row>
    <row r="1334" spans="1:13" x14ac:dyDescent="0.25">
      <c r="A1334" s="16" t="str">
        <f t="shared" si="139"/>
        <v>July</v>
      </c>
      <c r="B1334" s="31">
        <v>44035</v>
      </c>
      <c r="C1334" s="32" t="s">
        <v>7</v>
      </c>
      <c r="D1334" s="9" t="str">
        <f t="shared" si="135"/>
        <v>44035 - T3</v>
      </c>
      <c r="E1334" s="32" t="s">
        <v>11</v>
      </c>
      <c r="F1334" s="2">
        <v>8000034</v>
      </c>
      <c r="G1334" s="4" t="str">
        <f>IFERROR(VLOOKUP(F1334,Lists!$C:$D,2,0), "N/A")</f>
        <v>KS MILK CHOC MACADAMIA</v>
      </c>
      <c r="H1334" s="26">
        <f>IFERROR(VLOOKUP(F1334,Lists!$C:$F,4,0),0)</f>
        <v>3.8943099999999999</v>
      </c>
      <c r="I1334" s="7">
        <f t="shared" si="138"/>
        <v>12055</v>
      </c>
      <c r="J1334" s="6">
        <v>12000</v>
      </c>
      <c r="K1334" s="33">
        <v>55</v>
      </c>
      <c r="L1334" s="5">
        <f t="shared" si="136"/>
        <v>4.5833333333333334E-3</v>
      </c>
      <c r="M1334" s="26">
        <f t="shared" si="137"/>
        <v>214.18705</v>
      </c>
    </row>
    <row r="1335" spans="1:13" x14ac:dyDescent="0.25">
      <c r="A1335" s="16" t="str">
        <f t="shared" si="139"/>
        <v>July</v>
      </c>
      <c r="B1335" s="31">
        <v>44035</v>
      </c>
      <c r="C1335" s="32" t="s">
        <v>7</v>
      </c>
      <c r="D1335" s="9" t="str">
        <f t="shared" si="135"/>
        <v>44035 - T3</v>
      </c>
      <c r="E1335" s="32" t="s">
        <v>12</v>
      </c>
      <c r="F1335" s="2">
        <v>8000055</v>
      </c>
      <c r="G1335" s="4" t="str">
        <f>IFERROR(VLOOKUP(F1335,Lists!$C:$D,2,0), "N/A")</f>
        <v>916.BF FLIPZ 25 LB BULK MILK CHOC</v>
      </c>
      <c r="H1335" s="26">
        <f>IFERROR(VLOOKUP(F1335,Lists!$C:$F,4,0),0)</f>
        <v>1.9508160000000001</v>
      </c>
      <c r="I1335" s="7">
        <f t="shared" si="138"/>
        <v>7041</v>
      </c>
      <c r="J1335" s="6">
        <f>280*25</f>
        <v>7000</v>
      </c>
      <c r="K1335" s="33">
        <v>41</v>
      </c>
      <c r="L1335" s="5">
        <f t="shared" si="136"/>
        <v>5.8571428571428568E-3</v>
      </c>
      <c r="M1335" s="26">
        <f t="shared" si="137"/>
        <v>79.983456000000004</v>
      </c>
    </row>
    <row r="1336" spans="1:13" x14ac:dyDescent="0.25">
      <c r="A1336" s="16" t="str">
        <f t="shared" si="139"/>
        <v>July</v>
      </c>
      <c r="B1336" s="31">
        <v>44035</v>
      </c>
      <c r="C1336" s="32" t="s">
        <v>8</v>
      </c>
      <c r="D1336" s="9" t="str">
        <f t="shared" si="135"/>
        <v>44035 - T4</v>
      </c>
      <c r="E1336" s="32" t="s">
        <v>9</v>
      </c>
      <c r="F1336" s="2">
        <v>8000035</v>
      </c>
      <c r="G1336" s="4" t="str">
        <f>IFERROR(VLOOKUP(F1336,Lists!$C:$D,2,0), "N/A")</f>
        <v>TURTLES MILK CHOC ORIGINAL</v>
      </c>
      <c r="H1336" s="26">
        <f>IFERROR(VLOOKUP(F1336,Lists!$C:$F,4,0),0)</f>
        <v>1.91178</v>
      </c>
      <c r="I1336" s="7">
        <f t="shared" si="138"/>
        <v>2587.4</v>
      </c>
      <c r="J1336" s="6">
        <v>2462.4</v>
      </c>
      <c r="K1336" s="33">
        <v>125</v>
      </c>
      <c r="L1336" s="5">
        <f t="shared" si="136"/>
        <v>5.0763482781026638E-2</v>
      </c>
      <c r="M1336" s="26">
        <f t="shared" si="137"/>
        <v>238.9725</v>
      </c>
    </row>
    <row r="1337" spans="1:13" x14ac:dyDescent="0.25">
      <c r="A1337" s="16" t="str">
        <f t="shared" si="139"/>
        <v>July</v>
      </c>
      <c r="B1337" s="31">
        <v>44035</v>
      </c>
      <c r="C1337" s="32" t="s">
        <v>8</v>
      </c>
      <c r="D1337" s="9" t="str">
        <f t="shared" si="135"/>
        <v>44035 - T4</v>
      </c>
      <c r="E1337" s="32" t="s">
        <v>11</v>
      </c>
      <c r="F1337" s="2">
        <v>8000034</v>
      </c>
      <c r="G1337" s="4" t="str">
        <f>IFERROR(VLOOKUP(F1337,Lists!$C:$D,2,0), "N/A")</f>
        <v>KS MILK CHOC MACADAMIA</v>
      </c>
      <c r="H1337" s="26">
        <f>IFERROR(VLOOKUP(F1337,Lists!$C:$F,4,0),0)</f>
        <v>3.8943099999999999</v>
      </c>
      <c r="I1337" s="7">
        <f t="shared" si="138"/>
        <v>13805</v>
      </c>
      <c r="J1337" s="6">
        <v>13600</v>
      </c>
      <c r="K1337" s="33">
        <v>205</v>
      </c>
      <c r="L1337" s="5">
        <f t="shared" si="136"/>
        <v>1.5073529411764706E-2</v>
      </c>
      <c r="M1337" s="26">
        <f t="shared" si="137"/>
        <v>798.33354999999995</v>
      </c>
    </row>
    <row r="1338" spans="1:13" x14ac:dyDescent="0.25">
      <c r="A1338" s="16" t="str">
        <f t="shared" si="139"/>
        <v>July</v>
      </c>
      <c r="B1338" s="31">
        <v>44035</v>
      </c>
      <c r="C1338" s="32" t="s">
        <v>8</v>
      </c>
      <c r="D1338" s="9" t="str">
        <f t="shared" si="135"/>
        <v>44035 - T4</v>
      </c>
      <c r="E1338" s="32" t="s">
        <v>12</v>
      </c>
      <c r="F1338" s="2">
        <v>8000055</v>
      </c>
      <c r="G1338" s="4" t="str">
        <f>IFERROR(VLOOKUP(F1338,Lists!$C:$D,2,0), "N/A")</f>
        <v>916.BF FLIPZ 25 LB BULK MILK CHOC</v>
      </c>
      <c r="H1338" s="26">
        <f>IFERROR(VLOOKUP(F1338,Lists!$C:$F,4,0),0)</f>
        <v>1.9508160000000001</v>
      </c>
      <c r="I1338" s="7">
        <f t="shared" si="138"/>
        <v>4149</v>
      </c>
      <c r="J1338" s="6">
        <f>160*25</f>
        <v>4000</v>
      </c>
      <c r="K1338" s="33">
        <v>149</v>
      </c>
      <c r="L1338" s="5">
        <f t="shared" si="136"/>
        <v>3.7249999999999998E-2</v>
      </c>
      <c r="M1338" s="26">
        <f t="shared" si="137"/>
        <v>290.671584</v>
      </c>
    </row>
    <row r="1339" spans="1:13" x14ac:dyDescent="0.25">
      <c r="A1339" s="16" t="str">
        <f t="shared" si="139"/>
        <v>July</v>
      </c>
      <c r="B1339" s="31">
        <v>44035</v>
      </c>
      <c r="C1339" s="32" t="s">
        <v>8</v>
      </c>
      <c r="D1339" s="9" t="str">
        <f t="shared" si="135"/>
        <v>44035 - T4</v>
      </c>
      <c r="E1339" s="32" t="s">
        <v>15</v>
      </c>
      <c r="G1339" s="4" t="str">
        <f>IFERROR(VLOOKUP(F1339,Lists!$C:$D,2,0), "N/A")</f>
        <v>N/A</v>
      </c>
      <c r="H1339" s="26">
        <f>IFERROR(VLOOKUP(F1339,Lists!$C:$F,4,0),0)</f>
        <v>0</v>
      </c>
      <c r="I1339" s="7">
        <f t="shared" si="138"/>
        <v>20</v>
      </c>
      <c r="K1339" s="33">
        <v>20</v>
      </c>
      <c r="L1339" s="5">
        <f t="shared" si="136"/>
        <v>1</v>
      </c>
      <c r="M1339" s="26">
        <f t="shared" si="137"/>
        <v>0</v>
      </c>
    </row>
    <row r="1340" spans="1:13" x14ac:dyDescent="0.25">
      <c r="A1340" s="16" t="str">
        <f t="shared" si="139"/>
        <v>July</v>
      </c>
      <c r="B1340" s="31">
        <v>44036</v>
      </c>
      <c r="C1340" s="32" t="s">
        <v>5</v>
      </c>
      <c r="D1340" s="9" t="str">
        <f t="shared" si="135"/>
        <v>44036 - T1</v>
      </c>
      <c r="E1340" s="32" t="s">
        <v>9</v>
      </c>
      <c r="F1340" s="2">
        <v>8000035</v>
      </c>
      <c r="G1340" s="4" t="str">
        <f>IFERROR(VLOOKUP(F1340,Lists!$C:$D,2,0), "N/A")</f>
        <v>TURTLES MILK CHOC ORIGINAL</v>
      </c>
      <c r="H1340" s="26">
        <f>IFERROR(VLOOKUP(F1340,Lists!$C:$F,4,0),0)</f>
        <v>1.91178</v>
      </c>
      <c r="I1340" s="7">
        <f t="shared" si="138"/>
        <v>2302.6</v>
      </c>
      <c r="J1340" s="6">
        <v>2169.6</v>
      </c>
      <c r="K1340" s="33">
        <v>133</v>
      </c>
      <c r="L1340" s="5">
        <f t="shared" si="136"/>
        <v>6.1301622418879056E-2</v>
      </c>
      <c r="M1340" s="26">
        <f t="shared" si="137"/>
        <v>254.26674</v>
      </c>
    </row>
    <row r="1341" spans="1:13" x14ac:dyDescent="0.25">
      <c r="A1341" s="16" t="str">
        <f t="shared" si="139"/>
        <v>July</v>
      </c>
      <c r="B1341" s="31">
        <v>44036</v>
      </c>
      <c r="C1341" s="32" t="s">
        <v>5</v>
      </c>
      <c r="D1341" s="9" t="str">
        <f t="shared" si="135"/>
        <v>44036 - T1</v>
      </c>
      <c r="E1341" s="32" t="s">
        <v>11</v>
      </c>
      <c r="F1341" s="2">
        <v>8000034</v>
      </c>
      <c r="G1341" s="4" t="str">
        <f>IFERROR(VLOOKUP(F1341,Lists!$C:$D,2,0), "N/A")</f>
        <v>KS MILK CHOC MACADAMIA</v>
      </c>
      <c r="H1341" s="26">
        <f>IFERROR(VLOOKUP(F1341,Lists!$C:$F,4,0),0)</f>
        <v>3.8943099999999999</v>
      </c>
      <c r="I1341" s="7">
        <f t="shared" si="138"/>
        <v>12942</v>
      </c>
      <c r="J1341" s="6">
        <v>12800</v>
      </c>
      <c r="K1341" s="33">
        <v>142</v>
      </c>
      <c r="L1341" s="5">
        <f t="shared" si="136"/>
        <v>1.1093749999999999E-2</v>
      </c>
      <c r="M1341" s="26">
        <f t="shared" si="137"/>
        <v>552.99202000000002</v>
      </c>
    </row>
    <row r="1342" spans="1:13" x14ac:dyDescent="0.25">
      <c r="A1342" s="16" t="str">
        <f t="shared" si="139"/>
        <v>July</v>
      </c>
      <c r="B1342" s="31">
        <v>44036</v>
      </c>
      <c r="C1342" s="32" t="s">
        <v>5</v>
      </c>
      <c r="D1342" s="9" t="str">
        <f t="shared" si="135"/>
        <v>44036 - T1</v>
      </c>
      <c r="E1342" s="32" t="s">
        <v>15</v>
      </c>
      <c r="G1342" s="4" t="str">
        <f>IFERROR(VLOOKUP(F1342,Lists!$C:$D,2,0), "N/A")</f>
        <v>N/A</v>
      </c>
      <c r="H1342" s="26">
        <f>IFERROR(VLOOKUP(F1342,Lists!$C:$F,4,0),0)</f>
        <v>0</v>
      </c>
      <c r="I1342" s="7">
        <f t="shared" si="138"/>
        <v>10</v>
      </c>
      <c r="K1342" s="33">
        <v>10</v>
      </c>
      <c r="L1342" s="5">
        <f t="shared" si="136"/>
        <v>1</v>
      </c>
      <c r="M1342" s="26">
        <f t="shared" si="137"/>
        <v>0</v>
      </c>
    </row>
    <row r="1343" spans="1:13" x14ac:dyDescent="0.25">
      <c r="A1343" s="16" t="str">
        <f t="shared" si="139"/>
        <v>July</v>
      </c>
      <c r="B1343" s="31">
        <v>44036</v>
      </c>
      <c r="C1343" s="32" t="s">
        <v>6</v>
      </c>
      <c r="D1343" s="9" t="str">
        <f t="shared" si="135"/>
        <v>44036 - T2</v>
      </c>
      <c r="E1343" s="32" t="s">
        <v>11</v>
      </c>
      <c r="F1343" s="2">
        <v>8000034</v>
      </c>
      <c r="G1343" s="4" t="str">
        <f>IFERROR(VLOOKUP(F1343,Lists!$C:$D,2,0), "N/A")</f>
        <v>KS MILK CHOC MACADAMIA</v>
      </c>
      <c r="H1343" s="26">
        <f>IFERROR(VLOOKUP(F1343,Lists!$C:$F,4,0),0)</f>
        <v>3.8943099999999999</v>
      </c>
      <c r="I1343" s="7">
        <f t="shared" si="138"/>
        <v>6466</v>
      </c>
      <c r="J1343" s="6">
        <v>6400</v>
      </c>
      <c r="K1343" s="33">
        <v>66</v>
      </c>
      <c r="L1343" s="5">
        <f t="shared" si="136"/>
        <v>1.03125E-2</v>
      </c>
      <c r="M1343" s="26">
        <f t="shared" si="137"/>
        <v>257.02445999999998</v>
      </c>
    </row>
    <row r="1344" spans="1:13" x14ac:dyDescent="0.25">
      <c r="A1344" s="16" t="str">
        <f t="shared" si="139"/>
        <v>July</v>
      </c>
      <c r="B1344" s="31">
        <v>44036</v>
      </c>
      <c r="C1344" s="32" t="s">
        <v>6</v>
      </c>
      <c r="D1344" s="9" t="str">
        <f t="shared" si="135"/>
        <v>44036 - T2</v>
      </c>
      <c r="E1344" s="32" t="s">
        <v>15</v>
      </c>
      <c r="G1344" s="4" t="str">
        <f>IFERROR(VLOOKUP(F1344,Lists!$C:$D,2,0), "N/A")</f>
        <v>N/A</v>
      </c>
      <c r="H1344" s="26">
        <f>IFERROR(VLOOKUP(F1344,Lists!$C:$F,4,0),0)</f>
        <v>0</v>
      </c>
      <c r="I1344" s="7">
        <f t="shared" si="138"/>
        <v>5</v>
      </c>
      <c r="K1344" s="33">
        <v>5</v>
      </c>
      <c r="L1344" s="3">
        <f t="shared" si="136"/>
        <v>1</v>
      </c>
      <c r="M1344" s="25">
        <f t="shared" si="137"/>
        <v>0</v>
      </c>
    </row>
    <row r="1345" spans="1:13" x14ac:dyDescent="0.25">
      <c r="A1345" s="16" t="str">
        <f t="shared" si="139"/>
        <v>July</v>
      </c>
      <c r="B1345" s="31">
        <v>44037</v>
      </c>
      <c r="C1345" s="32" t="s">
        <v>5</v>
      </c>
      <c r="D1345" s="9" t="str">
        <f t="shared" si="135"/>
        <v>44037 - T1</v>
      </c>
      <c r="E1345" s="32" t="s">
        <v>12</v>
      </c>
      <c r="F1345" s="2">
        <v>8000055</v>
      </c>
      <c r="G1345" s="4" t="str">
        <f>IFERROR(VLOOKUP(F1345,Lists!$C:$D,2,0), "N/A")</f>
        <v>916.BF FLIPZ 25 LB BULK MILK CHOC</v>
      </c>
      <c r="H1345" s="26">
        <f>IFERROR(VLOOKUP(F1345,Lists!$C:$F,4,0),0)</f>
        <v>1.9508160000000001</v>
      </c>
      <c r="I1345" s="7">
        <f t="shared" si="138"/>
        <v>6136</v>
      </c>
      <c r="J1345" s="6">
        <f>240*25</f>
        <v>6000</v>
      </c>
      <c r="K1345" s="33">
        <v>136</v>
      </c>
      <c r="L1345" s="3">
        <f t="shared" si="136"/>
        <v>2.2666666666666668E-2</v>
      </c>
      <c r="M1345" s="25">
        <f t="shared" si="137"/>
        <v>265.31097600000004</v>
      </c>
    </row>
    <row r="1346" spans="1:13" x14ac:dyDescent="0.25">
      <c r="A1346" s="16" t="str">
        <f t="shared" si="139"/>
        <v>July</v>
      </c>
      <c r="B1346" s="31">
        <v>44037</v>
      </c>
      <c r="C1346" s="32" t="s">
        <v>5</v>
      </c>
      <c r="D1346" s="9" t="str">
        <f t="shared" si="135"/>
        <v>44037 - T1</v>
      </c>
      <c r="E1346" s="32" t="s">
        <v>15</v>
      </c>
      <c r="G1346" s="4" t="str">
        <f>IFERROR(VLOOKUP(F1346,Lists!$C:$D,2,0), "N/A")</f>
        <v>N/A</v>
      </c>
      <c r="H1346" s="26">
        <f>IFERROR(VLOOKUP(F1346,Lists!$C:$F,4,0),0)</f>
        <v>0</v>
      </c>
      <c r="I1346" s="7">
        <f t="shared" si="138"/>
        <v>29</v>
      </c>
      <c r="K1346" s="33">
        <v>29</v>
      </c>
      <c r="L1346" s="3">
        <f t="shared" si="136"/>
        <v>1</v>
      </c>
      <c r="M1346" s="25">
        <f t="shared" si="137"/>
        <v>0</v>
      </c>
    </row>
    <row r="1347" spans="1:13" x14ac:dyDescent="0.25">
      <c r="A1347" s="16" t="str">
        <f t="shared" si="139"/>
        <v>July</v>
      </c>
      <c r="B1347" s="31">
        <v>44037</v>
      </c>
      <c r="C1347" s="32" t="s">
        <v>6</v>
      </c>
      <c r="D1347" s="9" t="str">
        <f t="shared" si="135"/>
        <v>44037 - T2</v>
      </c>
      <c r="E1347" s="32" t="s">
        <v>15</v>
      </c>
      <c r="G1347" s="4" t="str">
        <f>IFERROR(VLOOKUP(F1347,Lists!$C:$D,2,0), "N/A")</f>
        <v>N/A</v>
      </c>
      <c r="H1347" s="26">
        <f>IFERROR(VLOOKUP(F1347,Lists!$C:$F,4,0),0)</f>
        <v>0</v>
      </c>
      <c r="I1347" s="7">
        <f t="shared" si="138"/>
        <v>6</v>
      </c>
      <c r="K1347" s="33">
        <v>6</v>
      </c>
      <c r="L1347" s="3">
        <f t="shared" si="136"/>
        <v>1</v>
      </c>
      <c r="M1347" s="25">
        <f t="shared" si="137"/>
        <v>0</v>
      </c>
    </row>
    <row r="1348" spans="1:13" x14ac:dyDescent="0.25">
      <c r="A1348" s="16" t="str">
        <f t="shared" si="139"/>
        <v>July</v>
      </c>
      <c r="B1348" s="31">
        <v>44038</v>
      </c>
      <c r="C1348" s="32" t="s">
        <v>5</v>
      </c>
      <c r="D1348" s="9" t="str">
        <f t="shared" si="135"/>
        <v>44038 - T1</v>
      </c>
      <c r="E1348" s="32" t="s">
        <v>12</v>
      </c>
      <c r="F1348" s="2">
        <v>8000055</v>
      </c>
      <c r="G1348" s="4" t="str">
        <f>IFERROR(VLOOKUP(F1348,Lists!$C:$D,2,0), "N/A")</f>
        <v>916.BF FLIPZ 25 LB BULK MILK CHOC</v>
      </c>
      <c r="H1348" s="26">
        <f>IFERROR(VLOOKUP(F1348,Lists!$C:$F,4,0),0)</f>
        <v>1.9508160000000001</v>
      </c>
      <c r="I1348" s="7">
        <f t="shared" si="138"/>
        <v>9211</v>
      </c>
      <c r="J1348" s="6">
        <f>360*25</f>
        <v>9000</v>
      </c>
      <c r="K1348" s="33">
        <v>211</v>
      </c>
      <c r="L1348" s="3">
        <f t="shared" si="136"/>
        <v>2.3444444444444445E-2</v>
      </c>
      <c r="M1348" s="25">
        <f t="shared" si="137"/>
        <v>411.62217600000002</v>
      </c>
    </row>
    <row r="1349" spans="1:13" x14ac:dyDescent="0.25">
      <c r="A1349" s="16" t="str">
        <f t="shared" si="139"/>
        <v>July</v>
      </c>
      <c r="B1349" s="31">
        <v>44038</v>
      </c>
      <c r="C1349" s="32" t="s">
        <v>5</v>
      </c>
      <c r="D1349" s="9" t="str">
        <f t="shared" si="135"/>
        <v>44038 - T1</v>
      </c>
      <c r="E1349" s="32" t="s">
        <v>13</v>
      </c>
      <c r="F1349" s="2">
        <v>8000031</v>
      </c>
      <c r="G1349" s="4" t="str">
        <f>IFERROR(VLOOKUP(F1349,Lists!$C:$D,2,0), "N/A")</f>
        <v>WIP.DCP FLIPZ  DARK CHOC PRETZEL</v>
      </c>
      <c r="H1349" s="26">
        <f>IFERROR(VLOOKUP(F1349,Lists!$C:$F,4,0),0)</f>
        <v>1.4516300000000002</v>
      </c>
      <c r="I1349" s="7">
        <f t="shared" si="138"/>
        <v>2006</v>
      </c>
      <c r="J1349" s="6">
        <f>80*25</f>
        <v>2000</v>
      </c>
      <c r="K1349" s="33">
        <v>6</v>
      </c>
      <c r="L1349" s="3">
        <f t="shared" si="136"/>
        <v>3.0000000000000001E-3</v>
      </c>
      <c r="M1349" s="25">
        <f t="shared" si="137"/>
        <v>8.7097800000000021</v>
      </c>
    </row>
    <row r="1350" spans="1:13" x14ac:dyDescent="0.25">
      <c r="A1350" s="16" t="str">
        <f t="shared" si="139"/>
        <v>July</v>
      </c>
      <c r="B1350" s="31">
        <v>44038</v>
      </c>
      <c r="C1350" s="32" t="s">
        <v>5</v>
      </c>
      <c r="D1350" s="9" t="str">
        <f t="shared" si="135"/>
        <v>44038 - T1</v>
      </c>
      <c r="E1350" s="32" t="s">
        <v>15</v>
      </c>
      <c r="G1350" s="4" t="str">
        <f>IFERROR(VLOOKUP(F1350,Lists!$C:$D,2,0), "N/A")</f>
        <v>N/A</v>
      </c>
      <c r="H1350" s="26">
        <f>IFERROR(VLOOKUP(F1350,Lists!$C:$F,4,0),0)</f>
        <v>0</v>
      </c>
      <c r="I1350" s="7">
        <f t="shared" si="138"/>
        <v>26</v>
      </c>
      <c r="K1350" s="33">
        <v>26</v>
      </c>
      <c r="L1350" s="3">
        <f t="shared" si="136"/>
        <v>1</v>
      </c>
      <c r="M1350" s="25">
        <f t="shared" si="137"/>
        <v>0</v>
      </c>
    </row>
    <row r="1351" spans="1:13" x14ac:dyDescent="0.25">
      <c r="A1351" s="16" t="str">
        <f t="shared" si="139"/>
        <v>July</v>
      </c>
      <c r="B1351" s="31">
        <v>44038</v>
      </c>
      <c r="C1351" s="32" t="s">
        <v>6</v>
      </c>
      <c r="D1351" s="9" t="str">
        <f t="shared" si="135"/>
        <v>44038 - T2</v>
      </c>
      <c r="E1351" s="32" t="s">
        <v>10</v>
      </c>
      <c r="F1351" s="2">
        <v>8000035</v>
      </c>
      <c r="G1351" s="4" t="str">
        <f>IFERROR(VLOOKUP(F1351,Lists!$C:$D,2,0), "N/A")</f>
        <v>TURTLES MILK CHOC ORIGINAL</v>
      </c>
      <c r="H1351" s="26">
        <f>IFERROR(VLOOKUP(F1351,Lists!$C:$F,4,0),0)</f>
        <v>1.91178</v>
      </c>
      <c r="I1351" s="7">
        <f t="shared" si="138"/>
        <v>3370</v>
      </c>
      <c r="J1351" s="6">
        <v>3200</v>
      </c>
      <c r="K1351" s="33">
        <v>170</v>
      </c>
      <c r="L1351" s="3">
        <f t="shared" si="136"/>
        <v>5.3124999999999999E-2</v>
      </c>
      <c r="M1351" s="25">
        <f t="shared" si="137"/>
        <v>325.00260000000003</v>
      </c>
    </row>
    <row r="1352" spans="1:13" x14ac:dyDescent="0.25">
      <c r="A1352" s="16" t="str">
        <f t="shared" si="139"/>
        <v>July</v>
      </c>
      <c r="B1352" s="31">
        <v>44038</v>
      </c>
      <c r="C1352" s="32" t="s">
        <v>6</v>
      </c>
      <c r="D1352" s="9" t="str">
        <f t="shared" ref="D1352:D1415" si="140">CONCATENATE(B1352," - ",C1352)</f>
        <v>44038 - T2</v>
      </c>
      <c r="E1352" s="32" t="s">
        <v>12</v>
      </c>
      <c r="F1352" s="2">
        <v>8000055</v>
      </c>
      <c r="G1352" s="4" t="str">
        <f>IFERROR(VLOOKUP(F1352,Lists!$C:$D,2,0), "N/A")</f>
        <v>916.BF FLIPZ 25 LB BULK MILK CHOC</v>
      </c>
      <c r="H1352" s="26">
        <f>IFERROR(VLOOKUP(F1352,Lists!$C:$F,4,0),0)</f>
        <v>1.9508160000000001</v>
      </c>
      <c r="I1352" s="7">
        <f t="shared" si="138"/>
        <v>9019</v>
      </c>
      <c r="J1352" s="6">
        <f>360*25</f>
        <v>9000</v>
      </c>
      <c r="K1352" s="33">
        <v>19</v>
      </c>
      <c r="L1352" s="3">
        <f t="shared" si="136"/>
        <v>2.1111111111111109E-3</v>
      </c>
      <c r="M1352" s="25">
        <f t="shared" si="137"/>
        <v>37.065504000000004</v>
      </c>
    </row>
    <row r="1353" spans="1:13" x14ac:dyDescent="0.25">
      <c r="A1353" s="16" t="str">
        <f t="shared" si="139"/>
        <v>July</v>
      </c>
      <c r="B1353" s="31">
        <v>44038</v>
      </c>
      <c r="C1353" s="32" t="s">
        <v>6</v>
      </c>
      <c r="D1353" s="9" t="str">
        <f t="shared" si="140"/>
        <v>44038 - T2</v>
      </c>
      <c r="E1353" s="32" t="s">
        <v>15</v>
      </c>
      <c r="G1353" s="4" t="str">
        <f>IFERROR(VLOOKUP(F1353,Lists!$C:$D,2,0), "N/A")</f>
        <v>N/A</v>
      </c>
      <c r="H1353" s="26">
        <f>IFERROR(VLOOKUP(F1353,Lists!$C:$F,4,0),0)</f>
        <v>0</v>
      </c>
      <c r="I1353" s="7">
        <f t="shared" si="138"/>
        <v>4</v>
      </c>
      <c r="K1353" s="33">
        <v>4</v>
      </c>
      <c r="L1353" s="3">
        <f t="shared" si="136"/>
        <v>1</v>
      </c>
      <c r="M1353" s="25">
        <f t="shared" si="137"/>
        <v>0</v>
      </c>
    </row>
    <row r="1354" spans="1:13" x14ac:dyDescent="0.25">
      <c r="A1354" s="16" t="str">
        <f t="shared" si="139"/>
        <v>July</v>
      </c>
      <c r="B1354" s="31">
        <v>44038</v>
      </c>
      <c r="C1354" s="32" t="s">
        <v>6</v>
      </c>
      <c r="D1354" s="9" t="str">
        <f t="shared" si="140"/>
        <v>44038 - T2</v>
      </c>
      <c r="E1354" s="32" t="s">
        <v>15</v>
      </c>
      <c r="G1354" s="4" t="str">
        <f>IFERROR(VLOOKUP(F1354,Lists!$C:$D,2,0), "N/A")</f>
        <v>N/A</v>
      </c>
      <c r="H1354" s="26">
        <f>IFERROR(VLOOKUP(F1354,Lists!$C:$F,4,0),0)</f>
        <v>0</v>
      </c>
      <c r="I1354" s="7">
        <f t="shared" si="138"/>
        <v>17</v>
      </c>
      <c r="K1354" s="33">
        <v>17</v>
      </c>
      <c r="L1354" s="3">
        <f t="shared" si="136"/>
        <v>1</v>
      </c>
      <c r="M1354" s="25">
        <f t="shared" si="137"/>
        <v>0</v>
      </c>
    </row>
    <row r="1355" spans="1:13" x14ac:dyDescent="0.25">
      <c r="A1355" s="16" t="str">
        <f t="shared" si="139"/>
        <v>July</v>
      </c>
      <c r="B1355" s="31">
        <v>44039</v>
      </c>
      <c r="C1355" s="32" t="s">
        <v>7</v>
      </c>
      <c r="D1355" s="9" t="str">
        <f t="shared" si="140"/>
        <v>44039 - T3</v>
      </c>
      <c r="E1355" s="32" t="s">
        <v>9</v>
      </c>
      <c r="F1355" s="2">
        <v>8000035</v>
      </c>
      <c r="G1355" s="4" t="str">
        <f>IFERROR(VLOOKUP(F1355,Lists!$C:$D,2,0), "N/A")</f>
        <v>TURTLES MILK CHOC ORIGINAL</v>
      </c>
      <c r="H1355" s="26">
        <f>IFERROR(VLOOKUP(F1355,Lists!$C:$F,4,0),0)</f>
        <v>1.91178</v>
      </c>
      <c r="I1355" s="7">
        <f t="shared" si="138"/>
        <v>6929.4</v>
      </c>
      <c r="J1355" s="6">
        <v>6122.4</v>
      </c>
      <c r="K1355" s="33">
        <v>807</v>
      </c>
      <c r="L1355" s="3">
        <f t="shared" si="136"/>
        <v>0.13181105448843591</v>
      </c>
      <c r="M1355" s="25">
        <f t="shared" si="137"/>
        <v>1542.80646</v>
      </c>
    </row>
    <row r="1356" spans="1:13" x14ac:dyDescent="0.25">
      <c r="A1356" s="16" t="str">
        <f t="shared" si="139"/>
        <v>July</v>
      </c>
      <c r="B1356" s="31">
        <v>44039</v>
      </c>
      <c r="C1356" s="32" t="s">
        <v>7</v>
      </c>
      <c r="D1356" s="9" t="str">
        <f t="shared" si="140"/>
        <v>44039 - T3</v>
      </c>
      <c r="E1356" s="32" t="s">
        <v>11</v>
      </c>
      <c r="F1356" s="2">
        <v>8000034</v>
      </c>
      <c r="G1356" s="4" t="str">
        <f>IFERROR(VLOOKUP(F1356,Lists!$C:$D,2,0), "N/A")</f>
        <v>KS MILK CHOC MACADAMIA</v>
      </c>
      <c r="H1356" s="26">
        <f>IFERROR(VLOOKUP(F1356,Lists!$C:$F,4,0),0)</f>
        <v>3.8943099999999999</v>
      </c>
      <c r="I1356" s="7">
        <f t="shared" si="138"/>
        <v>1630</v>
      </c>
      <c r="J1356" s="6">
        <v>1600</v>
      </c>
      <c r="K1356" s="33">
        <v>30</v>
      </c>
      <c r="L1356" s="3">
        <f t="shared" si="136"/>
        <v>1.8749999999999999E-2</v>
      </c>
      <c r="M1356" s="25">
        <f t="shared" si="137"/>
        <v>116.8293</v>
      </c>
    </row>
    <row r="1357" spans="1:13" x14ac:dyDescent="0.25">
      <c r="A1357" s="16" t="str">
        <f t="shared" si="139"/>
        <v>July</v>
      </c>
      <c r="B1357" s="31">
        <v>44039</v>
      </c>
      <c r="C1357" s="32" t="s">
        <v>7</v>
      </c>
      <c r="D1357" s="9" t="str">
        <f t="shared" si="140"/>
        <v>44039 - T3</v>
      </c>
      <c r="E1357" s="32" t="s">
        <v>12</v>
      </c>
      <c r="F1357" s="2">
        <v>8000055</v>
      </c>
      <c r="G1357" s="4" t="str">
        <f>IFERROR(VLOOKUP(F1357,Lists!$C:$D,2,0), "N/A")</f>
        <v>916.BF FLIPZ 25 LB BULK MILK CHOC</v>
      </c>
      <c r="H1357" s="26">
        <f>IFERROR(VLOOKUP(F1357,Lists!$C:$F,4,0),0)</f>
        <v>1.9508160000000001</v>
      </c>
      <c r="I1357" s="7">
        <f t="shared" si="138"/>
        <v>10145</v>
      </c>
      <c r="J1357" s="6">
        <f>400*25</f>
        <v>10000</v>
      </c>
      <c r="K1357" s="33">
        <v>145</v>
      </c>
      <c r="L1357" s="3">
        <f t="shared" si="136"/>
        <v>1.4500000000000001E-2</v>
      </c>
      <c r="M1357" s="25">
        <f t="shared" si="137"/>
        <v>282.86832000000004</v>
      </c>
    </row>
    <row r="1358" spans="1:13" x14ac:dyDescent="0.25">
      <c r="A1358" s="16" t="str">
        <f t="shared" si="139"/>
        <v>July</v>
      </c>
      <c r="B1358" s="31">
        <v>44039</v>
      </c>
      <c r="C1358" s="32" t="s">
        <v>8</v>
      </c>
      <c r="D1358" s="9" t="str">
        <f t="shared" si="140"/>
        <v>44039 - T4</v>
      </c>
      <c r="E1358" s="32" t="s">
        <v>9</v>
      </c>
      <c r="F1358" s="2">
        <v>8000035</v>
      </c>
      <c r="G1358" s="4" t="str">
        <f>IFERROR(VLOOKUP(F1358,Lists!$C:$D,2,0), "N/A")</f>
        <v>TURTLES MILK CHOC ORIGINAL</v>
      </c>
      <c r="H1358" s="26">
        <f>IFERROR(VLOOKUP(F1358,Lists!$C:$F,4,0),0)</f>
        <v>1.91178</v>
      </c>
      <c r="I1358" s="7">
        <f t="shared" si="138"/>
        <v>11825.6</v>
      </c>
      <c r="J1358" s="6">
        <v>11389.6</v>
      </c>
      <c r="K1358" s="33">
        <v>436</v>
      </c>
      <c r="L1358" s="3">
        <f t="shared" si="136"/>
        <v>3.8280536629907984E-2</v>
      </c>
      <c r="M1358" s="25">
        <f t="shared" si="137"/>
        <v>833.53607999999997</v>
      </c>
    </row>
    <row r="1359" spans="1:13" x14ac:dyDescent="0.25">
      <c r="A1359" s="16" t="str">
        <f t="shared" si="139"/>
        <v>July</v>
      </c>
      <c r="B1359" s="31">
        <v>44039</v>
      </c>
      <c r="C1359" s="32" t="s">
        <v>8</v>
      </c>
      <c r="D1359" s="9" t="str">
        <f t="shared" si="140"/>
        <v>44039 - T4</v>
      </c>
      <c r="E1359" s="32" t="s">
        <v>11</v>
      </c>
      <c r="F1359" s="2">
        <v>8000034</v>
      </c>
      <c r="G1359" s="4" t="str">
        <f>IFERROR(VLOOKUP(F1359,Lists!$C:$D,2,0), "N/A")</f>
        <v>KS MILK CHOC MACADAMIA</v>
      </c>
      <c r="H1359" s="26">
        <f>IFERROR(VLOOKUP(F1359,Lists!$C:$F,4,0),0)</f>
        <v>3.8943099999999999</v>
      </c>
      <c r="I1359" s="7">
        <f t="shared" si="138"/>
        <v>12153</v>
      </c>
      <c r="J1359" s="6">
        <v>12000</v>
      </c>
      <c r="K1359" s="33">
        <v>153</v>
      </c>
      <c r="L1359" s="3">
        <f t="shared" si="136"/>
        <v>1.2749999999999999E-2</v>
      </c>
      <c r="M1359" s="25">
        <f t="shared" si="137"/>
        <v>595.82943</v>
      </c>
    </row>
    <row r="1360" spans="1:13" x14ac:dyDescent="0.25">
      <c r="A1360" s="16" t="str">
        <f t="shared" si="139"/>
        <v>July</v>
      </c>
      <c r="B1360" s="31">
        <v>44039</v>
      </c>
      <c r="C1360" s="32" t="s">
        <v>8</v>
      </c>
      <c r="D1360" s="9" t="str">
        <f t="shared" si="140"/>
        <v>44039 - T4</v>
      </c>
      <c r="E1360" s="32" t="s">
        <v>12</v>
      </c>
      <c r="F1360" s="2">
        <v>8000055</v>
      </c>
      <c r="G1360" s="4" t="str">
        <f>IFERROR(VLOOKUP(F1360,Lists!$C:$D,2,0), "N/A")</f>
        <v>916.BF FLIPZ 25 LB BULK MILK CHOC</v>
      </c>
      <c r="H1360" s="26">
        <f>IFERROR(VLOOKUP(F1360,Lists!$C:$F,4,0),0)</f>
        <v>1.9508160000000001</v>
      </c>
      <c r="I1360" s="7">
        <f t="shared" si="138"/>
        <v>7052</v>
      </c>
      <c r="J1360" s="6">
        <f>280*25</f>
        <v>7000</v>
      </c>
      <c r="K1360" s="33">
        <v>52</v>
      </c>
      <c r="L1360" s="3">
        <f t="shared" si="136"/>
        <v>7.4285714285714285E-3</v>
      </c>
      <c r="M1360" s="25">
        <f t="shared" si="137"/>
        <v>101.44243200000001</v>
      </c>
    </row>
    <row r="1361" spans="1:13" x14ac:dyDescent="0.25">
      <c r="A1361" s="16" t="str">
        <f t="shared" si="139"/>
        <v>July</v>
      </c>
      <c r="B1361" s="31">
        <v>44039</v>
      </c>
      <c r="C1361" s="32" t="s">
        <v>8</v>
      </c>
      <c r="D1361" s="9" t="str">
        <f t="shared" si="140"/>
        <v>44039 - T4</v>
      </c>
      <c r="E1361" s="32" t="s">
        <v>13</v>
      </c>
      <c r="F1361" s="2">
        <v>8000031</v>
      </c>
      <c r="G1361" s="4" t="str">
        <f>IFERROR(VLOOKUP(F1361,Lists!$C:$D,2,0), "N/A")</f>
        <v>WIP.DCP FLIPZ  DARK CHOC PRETZEL</v>
      </c>
      <c r="H1361" s="26">
        <f>IFERROR(VLOOKUP(F1361,Lists!$C:$F,4,0),0)</f>
        <v>1.4516300000000002</v>
      </c>
      <c r="I1361" s="7">
        <f t="shared" si="138"/>
        <v>4018</v>
      </c>
      <c r="J1361" s="6">
        <f>160*25</f>
        <v>4000</v>
      </c>
      <c r="K1361" s="33">
        <v>18</v>
      </c>
      <c r="L1361" s="3">
        <f t="shared" si="136"/>
        <v>4.4999999999999997E-3</v>
      </c>
      <c r="M1361" s="25">
        <f t="shared" si="137"/>
        <v>26.129340000000003</v>
      </c>
    </row>
    <row r="1362" spans="1:13" x14ac:dyDescent="0.25">
      <c r="A1362" s="16" t="str">
        <f t="shared" si="139"/>
        <v>July</v>
      </c>
      <c r="B1362" s="31">
        <v>44039</v>
      </c>
      <c r="C1362" s="32" t="s">
        <v>8</v>
      </c>
      <c r="D1362" s="9" t="str">
        <f t="shared" si="140"/>
        <v>44039 - T4</v>
      </c>
      <c r="E1362" s="32" t="s">
        <v>15</v>
      </c>
      <c r="G1362" s="4" t="str">
        <f>IFERROR(VLOOKUP(F1362,Lists!$C:$D,2,0), "N/A")</f>
        <v>N/A</v>
      </c>
      <c r="H1362" s="26">
        <f>IFERROR(VLOOKUP(F1362,Lists!$C:$F,4,0),0)</f>
        <v>0</v>
      </c>
      <c r="I1362" s="7">
        <f t="shared" si="138"/>
        <v>70</v>
      </c>
      <c r="K1362" s="33">
        <v>70</v>
      </c>
      <c r="L1362" s="3">
        <f t="shared" si="136"/>
        <v>1</v>
      </c>
      <c r="M1362" s="25">
        <f t="shared" si="137"/>
        <v>0</v>
      </c>
    </row>
    <row r="1363" spans="1:13" x14ac:dyDescent="0.25">
      <c r="A1363" s="16" t="str">
        <f t="shared" si="139"/>
        <v>July</v>
      </c>
      <c r="B1363" s="31">
        <v>44040</v>
      </c>
      <c r="C1363" s="32" t="s">
        <v>7</v>
      </c>
      <c r="D1363" s="9" t="str">
        <f t="shared" si="140"/>
        <v>44040 - T3</v>
      </c>
      <c r="E1363" s="32" t="s">
        <v>9</v>
      </c>
      <c r="G1363" s="4" t="str">
        <f>IFERROR(VLOOKUP(F1363,Lists!$C:$D,2,0), "N/A")</f>
        <v>N/A</v>
      </c>
      <c r="H1363" s="26">
        <f>IFERROR(VLOOKUP(F1363,Lists!$C:$F,4,0),0)</f>
        <v>0</v>
      </c>
      <c r="I1363" s="7">
        <f t="shared" si="138"/>
        <v>1106</v>
      </c>
      <c r="K1363" s="33">
        <v>1106</v>
      </c>
      <c r="L1363" s="3">
        <f t="shared" si="136"/>
        <v>1</v>
      </c>
      <c r="M1363" s="25">
        <f t="shared" si="137"/>
        <v>0</v>
      </c>
    </row>
    <row r="1364" spans="1:13" x14ac:dyDescent="0.25">
      <c r="A1364" s="16" t="str">
        <f t="shared" si="139"/>
        <v>July</v>
      </c>
      <c r="B1364" s="31">
        <v>44040</v>
      </c>
      <c r="C1364" s="32" t="s">
        <v>7</v>
      </c>
      <c r="D1364" s="9" t="str">
        <f t="shared" si="140"/>
        <v>44040 - T3</v>
      </c>
      <c r="E1364" s="32" t="s">
        <v>11</v>
      </c>
      <c r="G1364" s="4" t="str">
        <f>IFERROR(VLOOKUP(F1364,Lists!$C:$D,2,0), "N/A")</f>
        <v>N/A</v>
      </c>
      <c r="H1364" s="26">
        <f>IFERROR(VLOOKUP(F1364,Lists!$C:$F,4,0),0)</f>
        <v>0</v>
      </c>
      <c r="I1364" s="7">
        <f t="shared" si="138"/>
        <v>24</v>
      </c>
      <c r="K1364" s="33">
        <v>24</v>
      </c>
      <c r="L1364" s="3">
        <f t="shared" si="136"/>
        <v>1</v>
      </c>
      <c r="M1364" s="25">
        <f t="shared" si="137"/>
        <v>0</v>
      </c>
    </row>
    <row r="1365" spans="1:13" x14ac:dyDescent="0.25">
      <c r="A1365" s="16" t="str">
        <f t="shared" si="139"/>
        <v>July</v>
      </c>
      <c r="B1365" s="31">
        <v>44040</v>
      </c>
      <c r="C1365" s="32" t="s">
        <v>7</v>
      </c>
      <c r="D1365" s="9" t="str">
        <f t="shared" si="140"/>
        <v>44040 - T3</v>
      </c>
      <c r="E1365" s="32" t="s">
        <v>12</v>
      </c>
      <c r="G1365" s="4" t="str">
        <f>IFERROR(VLOOKUP(F1365,Lists!$C:$D,2,0), "N/A")</f>
        <v>N/A</v>
      </c>
      <c r="H1365" s="26">
        <f>IFERROR(VLOOKUP(F1365,Lists!$C:$F,4,0),0)</f>
        <v>0</v>
      </c>
      <c r="I1365" s="7">
        <f t="shared" si="138"/>
        <v>207</v>
      </c>
      <c r="K1365" s="33">
        <v>207</v>
      </c>
      <c r="L1365" s="3">
        <f t="shared" si="136"/>
        <v>1</v>
      </c>
      <c r="M1365" s="25">
        <f t="shared" si="137"/>
        <v>0</v>
      </c>
    </row>
    <row r="1366" spans="1:13" x14ac:dyDescent="0.25">
      <c r="A1366" s="16" t="str">
        <f t="shared" si="139"/>
        <v>July</v>
      </c>
      <c r="B1366" s="31">
        <v>44040</v>
      </c>
      <c r="C1366" s="32" t="s">
        <v>8</v>
      </c>
      <c r="D1366" s="9" t="str">
        <f t="shared" si="140"/>
        <v>44040 - T4</v>
      </c>
      <c r="E1366" s="32" t="s">
        <v>9</v>
      </c>
      <c r="G1366" s="4" t="str">
        <f>IFERROR(VLOOKUP(F1366,Lists!$C:$D,2,0), "N/A")</f>
        <v>N/A</v>
      </c>
      <c r="H1366" s="26">
        <f>IFERROR(VLOOKUP(F1366,Lists!$C:$F,4,0),0)</f>
        <v>0</v>
      </c>
      <c r="I1366" s="7">
        <f t="shared" si="138"/>
        <v>670</v>
      </c>
      <c r="K1366" s="33">
        <v>670</v>
      </c>
      <c r="L1366" s="3">
        <f t="shared" si="136"/>
        <v>1</v>
      </c>
      <c r="M1366" s="25">
        <f t="shared" si="137"/>
        <v>0</v>
      </c>
    </row>
    <row r="1367" spans="1:13" x14ac:dyDescent="0.25">
      <c r="A1367" s="16" t="str">
        <f t="shared" si="139"/>
        <v>July</v>
      </c>
      <c r="B1367" s="31">
        <v>44040</v>
      </c>
      <c r="C1367" s="32" t="s">
        <v>8</v>
      </c>
      <c r="D1367" s="9" t="str">
        <f t="shared" si="140"/>
        <v>44040 - T4</v>
      </c>
      <c r="E1367" s="32" t="s">
        <v>11</v>
      </c>
      <c r="G1367" s="4" t="str">
        <f>IFERROR(VLOOKUP(F1367,Lists!$C:$D,2,0), "N/A")</f>
        <v>N/A</v>
      </c>
      <c r="H1367" s="26">
        <f>IFERROR(VLOOKUP(F1367,Lists!$C:$F,4,0),0)</f>
        <v>0</v>
      </c>
      <c r="I1367" s="7">
        <f t="shared" si="138"/>
        <v>162</v>
      </c>
      <c r="K1367" s="33">
        <v>162</v>
      </c>
      <c r="L1367" s="3">
        <f t="shared" si="136"/>
        <v>1</v>
      </c>
      <c r="M1367" s="25">
        <f t="shared" si="137"/>
        <v>0</v>
      </c>
    </row>
    <row r="1368" spans="1:13" x14ac:dyDescent="0.25">
      <c r="A1368" s="16" t="str">
        <f t="shared" si="139"/>
        <v>July</v>
      </c>
      <c r="B1368" s="31">
        <v>44040</v>
      </c>
      <c r="C1368" s="32" t="s">
        <v>8</v>
      </c>
      <c r="D1368" s="9" t="str">
        <f t="shared" si="140"/>
        <v>44040 - T4</v>
      </c>
      <c r="E1368" s="32" t="s">
        <v>12</v>
      </c>
      <c r="G1368" s="4" t="str">
        <f>IFERROR(VLOOKUP(F1368,Lists!$C:$D,2,0), "N/A")</f>
        <v>N/A</v>
      </c>
      <c r="H1368" s="26">
        <f>IFERROR(VLOOKUP(F1368,Lists!$C:$F,4,0),0)</f>
        <v>0</v>
      </c>
      <c r="I1368" s="7">
        <f t="shared" si="138"/>
        <v>15</v>
      </c>
      <c r="K1368" s="33">
        <v>15</v>
      </c>
      <c r="L1368" s="3">
        <f t="shared" si="136"/>
        <v>1</v>
      </c>
      <c r="M1368" s="25">
        <f t="shared" si="137"/>
        <v>0</v>
      </c>
    </row>
    <row r="1369" spans="1:13" x14ac:dyDescent="0.25">
      <c r="A1369" s="16" t="str">
        <f t="shared" si="139"/>
        <v>July</v>
      </c>
      <c r="B1369" s="31">
        <v>44040</v>
      </c>
      <c r="C1369" s="32" t="s">
        <v>8</v>
      </c>
      <c r="D1369" s="9" t="str">
        <f t="shared" si="140"/>
        <v>44040 - T4</v>
      </c>
      <c r="E1369" s="32" t="s">
        <v>13</v>
      </c>
      <c r="G1369" s="4" t="str">
        <f>IFERROR(VLOOKUP(F1369,Lists!$C:$D,2,0), "N/A")</f>
        <v>N/A</v>
      </c>
      <c r="H1369" s="26">
        <f>IFERROR(VLOOKUP(F1369,Lists!$C:$F,4,0),0)</f>
        <v>0</v>
      </c>
      <c r="I1369" s="7">
        <f t="shared" si="138"/>
        <v>16</v>
      </c>
      <c r="K1369" s="33">
        <v>16</v>
      </c>
      <c r="L1369" s="3">
        <f t="shared" si="136"/>
        <v>1</v>
      </c>
      <c r="M1369" s="25">
        <f t="shared" si="137"/>
        <v>0</v>
      </c>
    </row>
    <row r="1370" spans="1:13" x14ac:dyDescent="0.25">
      <c r="A1370" s="16" t="str">
        <f t="shared" si="139"/>
        <v>July</v>
      </c>
      <c r="B1370" s="31">
        <v>44040</v>
      </c>
      <c r="C1370" s="32" t="s">
        <v>8</v>
      </c>
      <c r="D1370" s="9" t="str">
        <f t="shared" si="140"/>
        <v>44040 - T4</v>
      </c>
      <c r="E1370" s="32" t="s">
        <v>15</v>
      </c>
      <c r="G1370" s="4" t="str">
        <f>IFERROR(VLOOKUP(F1370,Lists!$C:$D,2,0), "N/A")</f>
        <v>N/A</v>
      </c>
      <c r="H1370" s="26">
        <f>IFERROR(VLOOKUP(F1370,Lists!$C:$F,4,0),0)</f>
        <v>0</v>
      </c>
      <c r="I1370" s="7">
        <f t="shared" si="138"/>
        <v>40</v>
      </c>
      <c r="K1370" s="33">
        <v>40</v>
      </c>
      <c r="L1370" s="3">
        <f t="shared" si="136"/>
        <v>1</v>
      </c>
      <c r="M1370" s="25">
        <f t="shared" si="137"/>
        <v>0</v>
      </c>
    </row>
    <row r="1371" spans="1:13" x14ac:dyDescent="0.25">
      <c r="A1371" s="16" t="str">
        <f t="shared" si="139"/>
        <v>January</v>
      </c>
      <c r="D1371" s="9" t="str">
        <f t="shared" si="140"/>
        <v xml:space="preserve"> - </v>
      </c>
      <c r="G1371" s="4" t="str">
        <f>IFERROR(VLOOKUP(F1371,Lists!$C:$D,2,0), "N/A")</f>
        <v>N/A</v>
      </c>
      <c r="H1371" s="26">
        <f>IFERROR(VLOOKUP(F1371,Lists!$C:$F,4,0),0)</f>
        <v>0</v>
      </c>
    </row>
    <row r="1372" spans="1:13" x14ac:dyDescent="0.25">
      <c r="A1372" s="16" t="str">
        <f t="shared" si="139"/>
        <v>January</v>
      </c>
      <c r="D1372" s="9" t="str">
        <f t="shared" si="140"/>
        <v xml:space="preserve"> - </v>
      </c>
      <c r="G1372" s="4" t="str">
        <f>IFERROR(VLOOKUP(F1372,Lists!$C:$D,2,0), "N/A")</f>
        <v>N/A</v>
      </c>
      <c r="H1372" s="26">
        <f>IFERROR(VLOOKUP(F1372,Lists!$C:$F,4,0),0)</f>
        <v>0</v>
      </c>
    </row>
    <row r="1373" spans="1:13" x14ac:dyDescent="0.25">
      <c r="A1373" s="16" t="str">
        <f t="shared" si="139"/>
        <v>January</v>
      </c>
      <c r="D1373" s="9" t="str">
        <f t="shared" si="140"/>
        <v xml:space="preserve"> - </v>
      </c>
      <c r="G1373" s="4" t="str">
        <f>IFERROR(VLOOKUP(F1373,Lists!$C:$D,2,0), "N/A")</f>
        <v>N/A</v>
      </c>
      <c r="H1373" s="26">
        <f>IFERROR(VLOOKUP(F1373,Lists!$C:$F,4,0),0)</f>
        <v>0</v>
      </c>
    </row>
    <row r="1374" spans="1:13" x14ac:dyDescent="0.25">
      <c r="A1374" s="16" t="str">
        <f t="shared" si="139"/>
        <v>January</v>
      </c>
      <c r="D1374" s="9" t="str">
        <f t="shared" si="140"/>
        <v xml:space="preserve"> - </v>
      </c>
      <c r="G1374" s="4" t="str">
        <f>IFERROR(VLOOKUP(F1374,Lists!$C:$D,2,0), "N/A")</f>
        <v>N/A</v>
      </c>
      <c r="H1374" s="26">
        <f>IFERROR(VLOOKUP(F1374,Lists!$C:$F,4,0),0)</f>
        <v>0</v>
      </c>
    </row>
    <row r="1375" spans="1:13" x14ac:dyDescent="0.25">
      <c r="A1375" s="16" t="str">
        <f t="shared" si="139"/>
        <v>January</v>
      </c>
      <c r="D1375" s="9" t="str">
        <f t="shared" si="140"/>
        <v xml:space="preserve"> - </v>
      </c>
      <c r="G1375" s="4" t="str">
        <f>IFERROR(VLOOKUP(F1375,Lists!$C:$D,2,0), "N/A")</f>
        <v>N/A</v>
      </c>
      <c r="H1375" s="26">
        <f>IFERROR(VLOOKUP(F1375,Lists!$C:$F,4,0),0)</f>
        <v>0</v>
      </c>
    </row>
    <row r="1376" spans="1:13" x14ac:dyDescent="0.25">
      <c r="A1376" s="16" t="str">
        <f t="shared" si="139"/>
        <v>January</v>
      </c>
      <c r="D1376" s="9" t="str">
        <f t="shared" si="140"/>
        <v xml:space="preserve"> - </v>
      </c>
      <c r="G1376" s="4" t="str">
        <f>IFERROR(VLOOKUP(F1376,Lists!$C:$D,2,0), "N/A")</f>
        <v>N/A</v>
      </c>
      <c r="H1376" s="26">
        <f>IFERROR(VLOOKUP(F1376,Lists!$C:$F,4,0),0)</f>
        <v>0</v>
      </c>
    </row>
    <row r="1377" spans="1:8" x14ac:dyDescent="0.25">
      <c r="A1377" s="16" t="str">
        <f t="shared" si="139"/>
        <v>January</v>
      </c>
      <c r="D1377" s="9" t="str">
        <f t="shared" si="140"/>
        <v xml:space="preserve"> - </v>
      </c>
      <c r="G1377" s="4" t="str">
        <f>IFERROR(VLOOKUP(F1377,Lists!$C:$D,2,0), "N/A")</f>
        <v>N/A</v>
      </c>
      <c r="H1377" s="26">
        <f>IFERROR(VLOOKUP(F1377,Lists!$C:$F,4,0),0)</f>
        <v>0</v>
      </c>
    </row>
    <row r="1378" spans="1:8" x14ac:dyDescent="0.25">
      <c r="A1378" s="16" t="str">
        <f t="shared" si="139"/>
        <v>January</v>
      </c>
      <c r="D1378" s="9" t="str">
        <f t="shared" si="140"/>
        <v xml:space="preserve"> - </v>
      </c>
      <c r="G1378" s="4" t="str">
        <f>IFERROR(VLOOKUP(F1378,Lists!$C:$D,2,0), "N/A")</f>
        <v>N/A</v>
      </c>
      <c r="H1378" s="26">
        <f>IFERROR(VLOOKUP(F1378,Lists!$C:$F,4,0),0)</f>
        <v>0</v>
      </c>
    </row>
    <row r="1379" spans="1:8" x14ac:dyDescent="0.25">
      <c r="A1379" s="16" t="str">
        <f t="shared" si="139"/>
        <v>January</v>
      </c>
      <c r="D1379" s="9" t="str">
        <f t="shared" si="140"/>
        <v xml:space="preserve"> - </v>
      </c>
      <c r="G1379" s="4" t="str">
        <f>IFERROR(VLOOKUP(F1379,Lists!$C:$D,2,0), "N/A")</f>
        <v>N/A</v>
      </c>
      <c r="H1379" s="26">
        <f>IFERROR(VLOOKUP(F1379,Lists!$C:$F,4,0),0)</f>
        <v>0</v>
      </c>
    </row>
    <row r="1380" spans="1:8" x14ac:dyDescent="0.25">
      <c r="A1380" s="16" t="str">
        <f t="shared" si="139"/>
        <v>January</v>
      </c>
      <c r="D1380" s="9" t="str">
        <f t="shared" si="140"/>
        <v xml:space="preserve"> - </v>
      </c>
      <c r="G1380" s="4" t="str">
        <f>IFERROR(VLOOKUP(F1380,Lists!$C:$D,2,0), "N/A")</f>
        <v>N/A</v>
      </c>
      <c r="H1380" s="26">
        <f>IFERROR(VLOOKUP(F1380,Lists!$C:$F,4,0),0)</f>
        <v>0</v>
      </c>
    </row>
    <row r="1381" spans="1:8" x14ac:dyDescent="0.25">
      <c r="A1381" s="16" t="str">
        <f t="shared" si="139"/>
        <v>January</v>
      </c>
      <c r="D1381" s="9" t="str">
        <f t="shared" si="140"/>
        <v xml:space="preserve"> - </v>
      </c>
      <c r="G1381" s="4" t="str">
        <f>IFERROR(VLOOKUP(F1381,Lists!$C:$D,2,0), "N/A")</f>
        <v>N/A</v>
      </c>
      <c r="H1381" s="26">
        <f>IFERROR(VLOOKUP(F1381,Lists!$C:$F,4,0),0)</f>
        <v>0</v>
      </c>
    </row>
    <row r="1382" spans="1:8" x14ac:dyDescent="0.25">
      <c r="A1382" s="16" t="str">
        <f t="shared" si="139"/>
        <v>January</v>
      </c>
      <c r="D1382" s="9" t="str">
        <f t="shared" si="140"/>
        <v xml:space="preserve"> - </v>
      </c>
      <c r="G1382" s="4" t="str">
        <f>IFERROR(VLOOKUP(F1382,Lists!$C:$D,2,0), "N/A")</f>
        <v>N/A</v>
      </c>
      <c r="H1382" s="26">
        <f>IFERROR(VLOOKUP(F1382,Lists!$C:$F,4,0),0)</f>
        <v>0</v>
      </c>
    </row>
    <row r="1383" spans="1:8" x14ac:dyDescent="0.25">
      <c r="A1383" s="16" t="str">
        <f t="shared" si="139"/>
        <v>January</v>
      </c>
      <c r="D1383" s="9" t="str">
        <f t="shared" si="140"/>
        <v xml:space="preserve"> - </v>
      </c>
      <c r="G1383" s="4" t="str">
        <f>IFERROR(VLOOKUP(F1383,Lists!$C:$D,2,0), "N/A")</f>
        <v>N/A</v>
      </c>
      <c r="H1383" s="26">
        <f>IFERROR(VLOOKUP(F1383,Lists!$C:$F,4,0),0)</f>
        <v>0</v>
      </c>
    </row>
    <row r="1384" spans="1:8" x14ac:dyDescent="0.25">
      <c r="A1384" s="16" t="str">
        <f t="shared" si="139"/>
        <v>January</v>
      </c>
      <c r="D1384" s="9" t="str">
        <f t="shared" si="140"/>
        <v xml:space="preserve"> - </v>
      </c>
      <c r="G1384" s="4" t="str">
        <f>IFERROR(VLOOKUP(F1384,Lists!$C:$D,2,0), "N/A")</f>
        <v>N/A</v>
      </c>
      <c r="H1384" s="26">
        <f>IFERROR(VLOOKUP(F1384,Lists!$C:$F,4,0),0)</f>
        <v>0</v>
      </c>
    </row>
    <row r="1385" spans="1:8" x14ac:dyDescent="0.25">
      <c r="A1385" s="16" t="str">
        <f t="shared" si="139"/>
        <v>January</v>
      </c>
      <c r="D1385" s="9" t="str">
        <f t="shared" si="140"/>
        <v xml:space="preserve"> - </v>
      </c>
      <c r="G1385" s="4" t="str">
        <f>IFERROR(VLOOKUP(F1385,Lists!$C:$D,2,0), "N/A")</f>
        <v>N/A</v>
      </c>
      <c r="H1385" s="26">
        <f>IFERROR(VLOOKUP(F1385,Lists!$C:$F,4,0),0)</f>
        <v>0</v>
      </c>
    </row>
    <row r="1386" spans="1:8" x14ac:dyDescent="0.25">
      <c r="A1386" s="16" t="str">
        <f t="shared" si="139"/>
        <v>January</v>
      </c>
      <c r="D1386" s="9" t="str">
        <f t="shared" si="140"/>
        <v xml:space="preserve"> - </v>
      </c>
      <c r="G1386" s="4" t="str">
        <f>IFERROR(VLOOKUP(F1386,Lists!$C:$D,2,0), "N/A")</f>
        <v>N/A</v>
      </c>
      <c r="H1386" s="26">
        <f>IFERROR(VLOOKUP(F1386,Lists!$C:$F,4,0),0)</f>
        <v>0</v>
      </c>
    </row>
    <row r="1387" spans="1:8" x14ac:dyDescent="0.25">
      <c r="A1387" s="16"/>
      <c r="D1387" s="9" t="str">
        <f t="shared" si="140"/>
        <v xml:space="preserve"> - </v>
      </c>
      <c r="G1387" s="4" t="str">
        <f>IFERROR(VLOOKUP(F1387,Lists!$C:$D,2,0), "N/A")</f>
        <v>N/A</v>
      </c>
      <c r="H1387" s="26">
        <f>IFERROR(VLOOKUP(F1387,Lists!$C:$F,4,0),0)</f>
        <v>0</v>
      </c>
    </row>
    <row r="1388" spans="1:8" x14ac:dyDescent="0.25">
      <c r="A1388" s="16"/>
      <c r="D1388" s="9" t="str">
        <f t="shared" si="140"/>
        <v xml:space="preserve"> - </v>
      </c>
      <c r="G1388" s="4" t="str">
        <f>IFERROR(VLOOKUP(F1388,Lists!$C:$D,2,0), "N/A")</f>
        <v>N/A</v>
      </c>
      <c r="H1388" s="26">
        <f>IFERROR(VLOOKUP(F1388,Lists!$C:$F,4,0),0)</f>
        <v>0</v>
      </c>
    </row>
    <row r="1389" spans="1:8" x14ac:dyDescent="0.25">
      <c r="A1389" s="16"/>
      <c r="D1389" s="9" t="str">
        <f t="shared" si="140"/>
        <v xml:space="preserve"> - </v>
      </c>
      <c r="G1389" s="4" t="str">
        <f>IFERROR(VLOOKUP(F1389,Lists!$C:$D,2,0), "N/A")</f>
        <v>N/A</v>
      </c>
      <c r="H1389" s="26">
        <f>IFERROR(VLOOKUP(F1389,Lists!$C:$F,4,0),0)</f>
        <v>0</v>
      </c>
    </row>
    <row r="1390" spans="1:8" x14ac:dyDescent="0.25">
      <c r="A1390" s="16"/>
      <c r="D1390" s="9" t="str">
        <f t="shared" si="140"/>
        <v xml:space="preserve"> - </v>
      </c>
      <c r="G1390" s="4" t="str">
        <f>IFERROR(VLOOKUP(F1390,Lists!$C:$D,2,0), "N/A")</f>
        <v>N/A</v>
      </c>
      <c r="H1390" s="26">
        <f>IFERROR(VLOOKUP(F1390,Lists!$C:$F,4,0),0)</f>
        <v>0</v>
      </c>
    </row>
    <row r="1391" spans="1:8" x14ac:dyDescent="0.25">
      <c r="A1391" s="16"/>
      <c r="D1391" s="9" t="str">
        <f t="shared" si="140"/>
        <v xml:space="preserve"> - </v>
      </c>
      <c r="G1391" s="4" t="str">
        <f>IFERROR(VLOOKUP(F1391,Lists!$C:$D,2,0), "N/A")</f>
        <v>N/A</v>
      </c>
      <c r="H1391" s="26">
        <f>IFERROR(VLOOKUP(F1391,Lists!$C:$F,4,0),0)</f>
        <v>0</v>
      </c>
    </row>
    <row r="1392" spans="1:8" x14ac:dyDescent="0.25">
      <c r="A1392" s="16"/>
      <c r="D1392" s="9" t="str">
        <f t="shared" si="140"/>
        <v xml:space="preserve"> - </v>
      </c>
      <c r="G1392" s="4" t="str">
        <f>IFERROR(VLOOKUP(F1392,Lists!$C:$D,2,0), "N/A")</f>
        <v>N/A</v>
      </c>
      <c r="H1392" s="26">
        <f>IFERROR(VLOOKUP(F1392,Lists!$C:$F,4,0),0)</f>
        <v>0</v>
      </c>
    </row>
    <row r="1393" spans="1:8" x14ac:dyDescent="0.25">
      <c r="A1393" s="16"/>
      <c r="D1393" s="9" t="str">
        <f t="shared" si="140"/>
        <v xml:space="preserve"> - </v>
      </c>
      <c r="G1393" s="4" t="str">
        <f>IFERROR(VLOOKUP(F1393,Lists!$C:$D,2,0), "N/A")</f>
        <v>N/A</v>
      </c>
      <c r="H1393" s="26">
        <f>IFERROR(VLOOKUP(F1393,Lists!$C:$F,4,0),0)</f>
        <v>0</v>
      </c>
    </row>
    <row r="1394" spans="1:8" x14ac:dyDescent="0.25">
      <c r="A1394" s="16"/>
      <c r="D1394" s="9" t="str">
        <f t="shared" si="140"/>
        <v xml:space="preserve"> - </v>
      </c>
      <c r="G1394" s="4" t="str">
        <f>IFERROR(VLOOKUP(F1394,Lists!$C:$D,2,0), "N/A")</f>
        <v>N/A</v>
      </c>
      <c r="H1394" s="26">
        <f>IFERROR(VLOOKUP(F1394,Lists!$C:$F,4,0),0)</f>
        <v>0</v>
      </c>
    </row>
    <row r="1395" spans="1:8" x14ac:dyDescent="0.25">
      <c r="A1395" s="16"/>
      <c r="D1395" s="9" t="str">
        <f t="shared" si="140"/>
        <v xml:space="preserve"> - </v>
      </c>
      <c r="G1395" s="4" t="str">
        <f>IFERROR(VLOOKUP(F1395,Lists!$C:$D,2,0), "N/A")</f>
        <v>N/A</v>
      </c>
      <c r="H1395" s="26">
        <f>IFERROR(VLOOKUP(F1395,Lists!$C:$F,4,0),0)</f>
        <v>0</v>
      </c>
    </row>
    <row r="1396" spans="1:8" x14ac:dyDescent="0.25">
      <c r="A1396" s="16"/>
      <c r="D1396" s="9" t="str">
        <f t="shared" si="140"/>
        <v xml:space="preserve"> - </v>
      </c>
      <c r="G1396" s="4" t="str">
        <f>IFERROR(VLOOKUP(F1396,Lists!$C:$D,2,0), "N/A")</f>
        <v>N/A</v>
      </c>
      <c r="H1396" s="26">
        <f>IFERROR(VLOOKUP(F1396,Lists!$C:$F,4,0),0)</f>
        <v>0</v>
      </c>
    </row>
    <row r="1397" spans="1:8" x14ac:dyDescent="0.25">
      <c r="A1397" s="16"/>
      <c r="D1397" s="9" t="str">
        <f t="shared" si="140"/>
        <v xml:space="preserve"> - </v>
      </c>
      <c r="G1397" s="4" t="str">
        <f>IFERROR(VLOOKUP(F1397,Lists!$C:$D,2,0), "N/A")</f>
        <v>N/A</v>
      </c>
      <c r="H1397" s="26">
        <f>IFERROR(VLOOKUP(F1397,Lists!$C:$F,4,0),0)</f>
        <v>0</v>
      </c>
    </row>
    <row r="1398" spans="1:8" x14ac:dyDescent="0.25">
      <c r="A1398" s="16"/>
      <c r="D1398" s="9" t="str">
        <f t="shared" si="140"/>
        <v xml:space="preserve"> - </v>
      </c>
      <c r="G1398" s="4" t="str">
        <f>IFERROR(VLOOKUP(F1398,Lists!$C:$D,2,0), "N/A")</f>
        <v>N/A</v>
      </c>
      <c r="H1398" s="26">
        <f>IFERROR(VLOOKUP(F1398,Lists!$C:$F,4,0),0)</f>
        <v>0</v>
      </c>
    </row>
    <row r="1399" spans="1:8" x14ac:dyDescent="0.25">
      <c r="A1399" s="16"/>
      <c r="D1399" s="9" t="str">
        <f t="shared" si="140"/>
        <v xml:space="preserve"> - </v>
      </c>
      <c r="G1399" s="4" t="str">
        <f>IFERROR(VLOOKUP(F1399,Lists!$C:$D,2,0), "N/A")</f>
        <v>N/A</v>
      </c>
      <c r="H1399" s="26">
        <f>IFERROR(VLOOKUP(F1399,Lists!$C:$F,4,0),0)</f>
        <v>0</v>
      </c>
    </row>
    <row r="1400" spans="1:8" x14ac:dyDescent="0.25">
      <c r="A1400" s="16"/>
      <c r="D1400" s="9" t="str">
        <f t="shared" si="140"/>
        <v xml:space="preserve"> - </v>
      </c>
      <c r="G1400" s="4" t="str">
        <f>IFERROR(VLOOKUP(F1400,Lists!$C:$D,2,0), "N/A")</f>
        <v>N/A</v>
      </c>
      <c r="H1400" s="26">
        <f>IFERROR(VLOOKUP(F1400,Lists!$C:$F,4,0),0)</f>
        <v>0</v>
      </c>
    </row>
    <row r="1401" spans="1:8" x14ac:dyDescent="0.25">
      <c r="A1401" s="16"/>
      <c r="D1401" s="9" t="str">
        <f t="shared" si="140"/>
        <v xml:space="preserve"> - </v>
      </c>
      <c r="G1401" s="4" t="str">
        <f>IFERROR(VLOOKUP(F1401,Lists!$C:$D,2,0), "N/A")</f>
        <v>N/A</v>
      </c>
      <c r="H1401" s="26">
        <f>IFERROR(VLOOKUP(F1401,Lists!$C:$F,4,0),0)</f>
        <v>0</v>
      </c>
    </row>
    <row r="1402" spans="1:8" x14ac:dyDescent="0.25">
      <c r="A1402" s="16"/>
      <c r="D1402" s="9" t="str">
        <f t="shared" si="140"/>
        <v xml:space="preserve"> - </v>
      </c>
      <c r="G1402" s="4" t="str">
        <f>IFERROR(VLOOKUP(F1402,Lists!$C:$D,2,0), "N/A")</f>
        <v>N/A</v>
      </c>
      <c r="H1402" s="26">
        <f>IFERROR(VLOOKUP(F1402,Lists!$C:$F,4,0),0)</f>
        <v>0</v>
      </c>
    </row>
    <row r="1403" spans="1:8" x14ac:dyDescent="0.25">
      <c r="A1403" s="16"/>
      <c r="D1403" s="9" t="str">
        <f t="shared" si="140"/>
        <v xml:space="preserve"> - </v>
      </c>
      <c r="G1403" s="4" t="str">
        <f>IFERROR(VLOOKUP(F1403,Lists!$C:$D,2,0), "N/A")</f>
        <v>N/A</v>
      </c>
      <c r="H1403" s="26">
        <f>IFERROR(VLOOKUP(F1403,Lists!$C:$F,4,0),0)</f>
        <v>0</v>
      </c>
    </row>
    <row r="1404" spans="1:8" x14ac:dyDescent="0.25">
      <c r="A1404" s="16"/>
      <c r="D1404" s="9" t="str">
        <f t="shared" si="140"/>
        <v xml:space="preserve"> - </v>
      </c>
      <c r="G1404" s="4" t="str">
        <f>IFERROR(VLOOKUP(F1404,Lists!$C:$D,2,0), "N/A")</f>
        <v>N/A</v>
      </c>
      <c r="H1404" s="26">
        <f>IFERROR(VLOOKUP(F1404,Lists!$C:$F,4,0),0)</f>
        <v>0</v>
      </c>
    </row>
    <row r="1405" spans="1:8" x14ac:dyDescent="0.25">
      <c r="A1405" s="16"/>
      <c r="D1405" s="9" t="str">
        <f t="shared" si="140"/>
        <v xml:space="preserve"> - </v>
      </c>
      <c r="G1405" s="4" t="str">
        <f>IFERROR(VLOOKUP(F1405,Lists!$C:$D,2,0), "N/A")</f>
        <v>N/A</v>
      </c>
      <c r="H1405" s="26">
        <f>IFERROR(VLOOKUP(F1405,Lists!$C:$F,4,0),0)</f>
        <v>0</v>
      </c>
    </row>
    <row r="1406" spans="1:8" x14ac:dyDescent="0.25">
      <c r="A1406" s="16"/>
      <c r="D1406" s="9" t="str">
        <f t="shared" si="140"/>
        <v xml:space="preserve"> - </v>
      </c>
      <c r="G1406" s="4" t="str">
        <f>IFERROR(VLOOKUP(F1406,Lists!$C:$D,2,0), "N/A")</f>
        <v>N/A</v>
      </c>
      <c r="H1406" s="26">
        <f>IFERROR(VLOOKUP(F1406,Lists!$C:$F,4,0),0)</f>
        <v>0</v>
      </c>
    </row>
    <row r="1407" spans="1:8" x14ac:dyDescent="0.25">
      <c r="A1407" s="16"/>
      <c r="D1407" s="9" t="str">
        <f t="shared" si="140"/>
        <v xml:space="preserve"> - </v>
      </c>
      <c r="G1407" s="4" t="str">
        <f>IFERROR(VLOOKUP(F1407,Lists!$C:$D,2,0), "N/A")</f>
        <v>N/A</v>
      </c>
      <c r="H1407" s="26">
        <f>IFERROR(VLOOKUP(F1407,Lists!$C:$F,4,0),0)</f>
        <v>0</v>
      </c>
    </row>
    <row r="1408" spans="1:8" x14ac:dyDescent="0.25">
      <c r="A1408" s="16"/>
      <c r="D1408" s="9" t="str">
        <f t="shared" si="140"/>
        <v xml:space="preserve"> - </v>
      </c>
      <c r="G1408" s="4" t="str">
        <f>IFERROR(VLOOKUP(F1408,Lists!$C:$D,2,0), "N/A")</f>
        <v>N/A</v>
      </c>
      <c r="H1408" s="26">
        <f>IFERROR(VLOOKUP(F1408,Lists!$C:$F,4,0),0)</f>
        <v>0</v>
      </c>
    </row>
    <row r="1409" spans="1:8" x14ac:dyDescent="0.25">
      <c r="A1409" s="16"/>
      <c r="D1409" s="9" t="str">
        <f t="shared" si="140"/>
        <v xml:space="preserve"> - </v>
      </c>
      <c r="G1409" s="4" t="str">
        <f>IFERROR(VLOOKUP(F1409,Lists!$C:$D,2,0), "N/A")</f>
        <v>N/A</v>
      </c>
      <c r="H1409" s="26">
        <f>IFERROR(VLOOKUP(F1409,Lists!$C:$F,4,0),0)</f>
        <v>0</v>
      </c>
    </row>
    <row r="1410" spans="1:8" x14ac:dyDescent="0.25">
      <c r="A1410" s="16"/>
      <c r="D1410" s="9" t="str">
        <f t="shared" si="140"/>
        <v xml:space="preserve"> - </v>
      </c>
      <c r="G1410" s="4" t="str">
        <f>IFERROR(VLOOKUP(F1410,Lists!$C:$D,2,0), "N/A")</f>
        <v>N/A</v>
      </c>
      <c r="H1410" s="26">
        <f>IFERROR(VLOOKUP(F1410,Lists!$C:$F,4,0),0)</f>
        <v>0</v>
      </c>
    </row>
    <row r="1411" spans="1:8" x14ac:dyDescent="0.25">
      <c r="A1411" s="16"/>
      <c r="D1411" s="9" t="str">
        <f t="shared" si="140"/>
        <v xml:space="preserve"> - </v>
      </c>
      <c r="G1411" s="4" t="str">
        <f>IFERROR(VLOOKUP(F1411,Lists!$C:$D,2,0), "N/A")</f>
        <v>N/A</v>
      </c>
      <c r="H1411" s="26">
        <f>IFERROR(VLOOKUP(F1411,Lists!$C:$F,4,0),0)</f>
        <v>0</v>
      </c>
    </row>
    <row r="1412" spans="1:8" x14ac:dyDescent="0.25">
      <c r="A1412" s="16"/>
      <c r="D1412" s="9" t="str">
        <f t="shared" si="140"/>
        <v xml:space="preserve"> - </v>
      </c>
      <c r="G1412" s="4" t="str">
        <f>IFERROR(VLOOKUP(F1412,Lists!$C:$D,2,0), "N/A")</f>
        <v>N/A</v>
      </c>
      <c r="H1412" s="26">
        <f>IFERROR(VLOOKUP(F1412,Lists!$C:$F,4,0),0)</f>
        <v>0</v>
      </c>
    </row>
    <row r="1413" spans="1:8" x14ac:dyDescent="0.25">
      <c r="A1413" s="16"/>
      <c r="D1413" s="9" t="str">
        <f t="shared" si="140"/>
        <v xml:space="preserve"> - </v>
      </c>
      <c r="G1413" s="4" t="str">
        <f>IFERROR(VLOOKUP(F1413,Lists!$C:$D,2,0), "N/A")</f>
        <v>N/A</v>
      </c>
      <c r="H1413" s="26">
        <f>IFERROR(VLOOKUP(F1413,Lists!$C:$F,4,0),0)</f>
        <v>0</v>
      </c>
    </row>
    <row r="1414" spans="1:8" x14ac:dyDescent="0.25">
      <c r="A1414" s="16"/>
      <c r="D1414" s="9" t="str">
        <f t="shared" si="140"/>
        <v xml:space="preserve"> - </v>
      </c>
      <c r="G1414" s="4" t="str">
        <f>IFERROR(VLOOKUP(F1414,Lists!$C:$D,2,0), "N/A")</f>
        <v>N/A</v>
      </c>
      <c r="H1414" s="26">
        <f>IFERROR(VLOOKUP(F1414,Lists!$C:$F,4,0),0)</f>
        <v>0</v>
      </c>
    </row>
    <row r="1415" spans="1:8" x14ac:dyDescent="0.25">
      <c r="A1415" s="16"/>
      <c r="D1415" s="9" t="str">
        <f t="shared" si="140"/>
        <v xml:space="preserve"> - </v>
      </c>
      <c r="G1415" s="4" t="str">
        <f>IFERROR(VLOOKUP(F1415,Lists!$C:$D,2,0), "N/A")</f>
        <v>N/A</v>
      </c>
      <c r="H1415" s="26">
        <f>IFERROR(VLOOKUP(F1415,Lists!$C:$F,4,0),0)</f>
        <v>0</v>
      </c>
    </row>
    <row r="1416" spans="1:8" x14ac:dyDescent="0.25">
      <c r="A1416" s="16"/>
      <c r="D1416" s="9" t="str">
        <f t="shared" ref="D1416:D1479" si="141">CONCATENATE(B1416," - ",C1416)</f>
        <v xml:space="preserve"> - </v>
      </c>
      <c r="G1416" s="4" t="str">
        <f>IFERROR(VLOOKUP(F1416,Lists!$C:$D,2,0), "N/A")</f>
        <v>N/A</v>
      </c>
      <c r="H1416" s="26">
        <f>IFERROR(VLOOKUP(F1416,Lists!$C:$F,4,0),0)</f>
        <v>0</v>
      </c>
    </row>
    <row r="1417" spans="1:8" x14ac:dyDescent="0.25">
      <c r="A1417" s="16"/>
      <c r="D1417" s="9" t="str">
        <f t="shared" si="141"/>
        <v xml:space="preserve"> - </v>
      </c>
      <c r="G1417" s="4" t="str">
        <f>IFERROR(VLOOKUP(F1417,Lists!$C:$D,2,0), "N/A")</f>
        <v>N/A</v>
      </c>
      <c r="H1417" s="26">
        <f>IFERROR(VLOOKUP(F1417,Lists!$C:$F,4,0),0)</f>
        <v>0</v>
      </c>
    </row>
    <row r="1418" spans="1:8" x14ac:dyDescent="0.25">
      <c r="A1418" s="16"/>
      <c r="D1418" s="9" t="str">
        <f t="shared" si="141"/>
        <v xml:space="preserve"> - </v>
      </c>
      <c r="G1418" s="4" t="str">
        <f>IFERROR(VLOOKUP(F1418,Lists!$C:$D,2,0), "N/A")</f>
        <v>N/A</v>
      </c>
      <c r="H1418" s="26">
        <f>IFERROR(VLOOKUP(F1418,Lists!$C:$F,4,0),0)</f>
        <v>0</v>
      </c>
    </row>
    <row r="1419" spans="1:8" x14ac:dyDescent="0.25">
      <c r="A1419" s="16"/>
      <c r="D1419" s="9" t="str">
        <f t="shared" si="141"/>
        <v xml:space="preserve"> - </v>
      </c>
      <c r="G1419" s="4" t="str">
        <f>IFERROR(VLOOKUP(F1419,Lists!$C:$D,2,0), "N/A")</f>
        <v>N/A</v>
      </c>
      <c r="H1419" s="26">
        <f>IFERROR(VLOOKUP(F1419,Lists!$C:$F,4,0),0)</f>
        <v>0</v>
      </c>
    </row>
    <row r="1420" spans="1:8" x14ac:dyDescent="0.25">
      <c r="A1420" s="16"/>
      <c r="D1420" s="9" t="str">
        <f t="shared" si="141"/>
        <v xml:space="preserve"> - </v>
      </c>
      <c r="G1420" s="4" t="str">
        <f>IFERROR(VLOOKUP(F1420,Lists!$C:$D,2,0), "N/A")</f>
        <v>N/A</v>
      </c>
      <c r="H1420" s="26">
        <f>IFERROR(VLOOKUP(F1420,Lists!$C:$F,4,0),0)</f>
        <v>0</v>
      </c>
    </row>
    <row r="1421" spans="1:8" x14ac:dyDescent="0.25">
      <c r="A1421" s="16"/>
      <c r="D1421" s="9" t="str">
        <f t="shared" si="141"/>
        <v xml:space="preserve"> - </v>
      </c>
      <c r="G1421" s="4" t="str">
        <f>IFERROR(VLOOKUP(F1421,Lists!$C:$D,2,0), "N/A")</f>
        <v>N/A</v>
      </c>
      <c r="H1421" s="26">
        <f>IFERROR(VLOOKUP(F1421,Lists!$C:$F,4,0),0)</f>
        <v>0</v>
      </c>
    </row>
    <row r="1422" spans="1:8" x14ac:dyDescent="0.25">
      <c r="A1422" s="16"/>
      <c r="D1422" s="9" t="str">
        <f t="shared" si="141"/>
        <v xml:space="preserve"> - </v>
      </c>
      <c r="G1422" s="4" t="str">
        <f>IFERROR(VLOOKUP(F1422,Lists!$C:$D,2,0), "N/A")</f>
        <v>N/A</v>
      </c>
      <c r="H1422" s="26">
        <f>IFERROR(VLOOKUP(F1422,Lists!$C:$F,4,0),0)</f>
        <v>0</v>
      </c>
    </row>
    <row r="1423" spans="1:8" x14ac:dyDescent="0.25">
      <c r="A1423" s="16"/>
      <c r="D1423" s="9" t="str">
        <f t="shared" si="141"/>
        <v xml:space="preserve"> - </v>
      </c>
      <c r="G1423" s="4" t="str">
        <f>IFERROR(VLOOKUP(F1423,Lists!$C:$D,2,0), "N/A")</f>
        <v>N/A</v>
      </c>
      <c r="H1423" s="26">
        <f>IFERROR(VLOOKUP(F1423,Lists!$C:$F,4,0),0)</f>
        <v>0</v>
      </c>
    </row>
    <row r="1424" spans="1:8" x14ac:dyDescent="0.25">
      <c r="A1424" s="16"/>
      <c r="D1424" s="9" t="str">
        <f t="shared" si="141"/>
        <v xml:space="preserve"> - </v>
      </c>
      <c r="G1424" s="4" t="str">
        <f>IFERROR(VLOOKUP(F1424,Lists!$C:$D,2,0), "N/A")</f>
        <v>N/A</v>
      </c>
      <c r="H1424" s="26">
        <f>IFERROR(VLOOKUP(F1424,Lists!$C:$F,4,0),0)</f>
        <v>0</v>
      </c>
    </row>
    <row r="1425" spans="1:8" x14ac:dyDescent="0.25">
      <c r="A1425" s="16"/>
      <c r="D1425" s="9" t="str">
        <f t="shared" si="141"/>
        <v xml:space="preserve"> - </v>
      </c>
      <c r="G1425" s="4" t="str">
        <f>IFERROR(VLOOKUP(F1425,Lists!$C:$D,2,0), "N/A")</f>
        <v>N/A</v>
      </c>
      <c r="H1425" s="26">
        <f>IFERROR(VLOOKUP(F1425,Lists!$C:$F,4,0),0)</f>
        <v>0</v>
      </c>
    </row>
    <row r="1426" spans="1:8" x14ac:dyDescent="0.25">
      <c r="A1426" s="16"/>
      <c r="D1426" s="9" t="str">
        <f t="shared" si="141"/>
        <v xml:space="preserve"> - </v>
      </c>
      <c r="G1426" s="4" t="str">
        <f>IFERROR(VLOOKUP(F1426,Lists!$C:$D,2,0), "N/A")</f>
        <v>N/A</v>
      </c>
      <c r="H1426" s="26">
        <f>IFERROR(VLOOKUP(F1426,Lists!$C:$F,4,0),0)</f>
        <v>0</v>
      </c>
    </row>
    <row r="1427" spans="1:8" x14ac:dyDescent="0.25">
      <c r="A1427" s="16"/>
      <c r="D1427" s="9" t="str">
        <f t="shared" si="141"/>
        <v xml:space="preserve"> - </v>
      </c>
      <c r="G1427" s="4" t="str">
        <f>IFERROR(VLOOKUP(F1427,Lists!$C:$D,2,0), "N/A")</f>
        <v>N/A</v>
      </c>
      <c r="H1427" s="26">
        <f>IFERROR(VLOOKUP(F1427,Lists!$C:$F,4,0),0)</f>
        <v>0</v>
      </c>
    </row>
    <row r="1428" spans="1:8" x14ac:dyDescent="0.25">
      <c r="A1428" s="16"/>
      <c r="D1428" s="9" t="str">
        <f t="shared" si="141"/>
        <v xml:space="preserve"> - </v>
      </c>
      <c r="G1428" s="4" t="str">
        <f>IFERROR(VLOOKUP(F1428,Lists!$C:$D,2,0), "N/A")</f>
        <v>N/A</v>
      </c>
      <c r="H1428" s="26">
        <f>IFERROR(VLOOKUP(F1428,Lists!$C:$F,4,0),0)</f>
        <v>0</v>
      </c>
    </row>
    <row r="1429" spans="1:8" x14ac:dyDescent="0.25">
      <c r="A1429" s="16"/>
      <c r="D1429" s="9" t="str">
        <f t="shared" si="141"/>
        <v xml:space="preserve"> - </v>
      </c>
      <c r="G1429" s="4" t="str">
        <f>IFERROR(VLOOKUP(F1429,Lists!$C:$D,2,0), "N/A")</f>
        <v>N/A</v>
      </c>
      <c r="H1429" s="26">
        <f>IFERROR(VLOOKUP(F1429,Lists!$C:$F,4,0),0)</f>
        <v>0</v>
      </c>
    </row>
    <row r="1430" spans="1:8" x14ac:dyDescent="0.25">
      <c r="A1430" s="16"/>
      <c r="D1430" s="9" t="str">
        <f t="shared" si="141"/>
        <v xml:space="preserve"> - </v>
      </c>
      <c r="G1430" s="4" t="str">
        <f>IFERROR(VLOOKUP(F1430,Lists!$C:$D,2,0), "N/A")</f>
        <v>N/A</v>
      </c>
      <c r="H1430" s="26">
        <f>IFERROR(VLOOKUP(F1430,Lists!$C:$F,4,0),0)</f>
        <v>0</v>
      </c>
    </row>
    <row r="1431" spans="1:8" x14ac:dyDescent="0.25">
      <c r="A1431" s="16"/>
      <c r="D1431" s="9" t="str">
        <f t="shared" si="141"/>
        <v xml:space="preserve"> - </v>
      </c>
      <c r="G1431" s="4" t="str">
        <f>IFERROR(VLOOKUP(F1431,Lists!$C:$D,2,0), "N/A")</f>
        <v>N/A</v>
      </c>
      <c r="H1431" s="26">
        <f>IFERROR(VLOOKUP(F1431,Lists!$C:$F,4,0),0)</f>
        <v>0</v>
      </c>
    </row>
    <row r="1432" spans="1:8" x14ac:dyDescent="0.25">
      <c r="A1432" s="16"/>
      <c r="D1432" s="9" t="str">
        <f t="shared" si="141"/>
        <v xml:space="preserve"> - </v>
      </c>
      <c r="G1432" s="4" t="str">
        <f>IFERROR(VLOOKUP(F1432,Lists!$C:$D,2,0), "N/A")</f>
        <v>N/A</v>
      </c>
      <c r="H1432" s="26">
        <f>IFERROR(VLOOKUP(F1432,Lists!$C:$F,4,0),0)</f>
        <v>0</v>
      </c>
    </row>
    <row r="1433" spans="1:8" x14ac:dyDescent="0.25">
      <c r="A1433" s="16"/>
      <c r="D1433" s="9" t="str">
        <f t="shared" si="141"/>
        <v xml:space="preserve"> - </v>
      </c>
      <c r="G1433" s="4" t="str">
        <f>IFERROR(VLOOKUP(F1433,Lists!$C:$D,2,0), "N/A")</f>
        <v>N/A</v>
      </c>
      <c r="H1433" s="26">
        <f>IFERROR(VLOOKUP(F1433,Lists!$C:$F,4,0),0)</f>
        <v>0</v>
      </c>
    </row>
    <row r="1434" spans="1:8" x14ac:dyDescent="0.25">
      <c r="A1434" s="16"/>
      <c r="D1434" s="9" t="str">
        <f t="shared" si="141"/>
        <v xml:space="preserve"> - </v>
      </c>
      <c r="G1434" s="4" t="str">
        <f>IFERROR(VLOOKUP(F1434,Lists!$C:$D,2,0), "N/A")</f>
        <v>N/A</v>
      </c>
      <c r="H1434" s="26">
        <f>IFERROR(VLOOKUP(F1434,Lists!$C:$F,4,0),0)</f>
        <v>0</v>
      </c>
    </row>
    <row r="1435" spans="1:8" x14ac:dyDescent="0.25">
      <c r="A1435" s="16"/>
      <c r="D1435" s="9" t="str">
        <f t="shared" si="141"/>
        <v xml:space="preserve"> - </v>
      </c>
      <c r="G1435" s="4" t="str">
        <f>IFERROR(VLOOKUP(F1435,Lists!$C:$D,2,0), "N/A")</f>
        <v>N/A</v>
      </c>
      <c r="H1435" s="26">
        <f>IFERROR(VLOOKUP(F1435,Lists!$C:$F,4,0),0)</f>
        <v>0</v>
      </c>
    </row>
    <row r="1436" spans="1:8" x14ac:dyDescent="0.25">
      <c r="A1436" s="16"/>
      <c r="D1436" s="9" t="str">
        <f t="shared" si="141"/>
        <v xml:space="preserve"> - </v>
      </c>
      <c r="G1436" s="4" t="str">
        <f>IFERROR(VLOOKUP(F1436,Lists!$C:$D,2,0), "N/A")</f>
        <v>N/A</v>
      </c>
      <c r="H1436" s="26">
        <f>IFERROR(VLOOKUP(F1436,Lists!$C:$F,4,0),0)</f>
        <v>0</v>
      </c>
    </row>
    <row r="1437" spans="1:8" x14ac:dyDescent="0.25">
      <c r="A1437" s="16"/>
      <c r="D1437" s="9" t="str">
        <f t="shared" si="141"/>
        <v xml:space="preserve"> - </v>
      </c>
      <c r="G1437" s="4" t="str">
        <f>IFERROR(VLOOKUP(F1437,Lists!$C:$D,2,0), "N/A")</f>
        <v>N/A</v>
      </c>
      <c r="H1437" s="26">
        <f>IFERROR(VLOOKUP(F1437,Lists!$C:$F,4,0),0)</f>
        <v>0</v>
      </c>
    </row>
    <row r="1438" spans="1:8" x14ac:dyDescent="0.25">
      <c r="A1438" s="16"/>
      <c r="D1438" s="9" t="str">
        <f t="shared" si="141"/>
        <v xml:space="preserve"> - </v>
      </c>
      <c r="G1438" s="4" t="str">
        <f>IFERROR(VLOOKUP(F1438,Lists!$C:$D,2,0), "N/A")</f>
        <v>N/A</v>
      </c>
      <c r="H1438" s="26">
        <f>IFERROR(VLOOKUP(F1438,Lists!$C:$F,4,0),0)</f>
        <v>0</v>
      </c>
    </row>
    <row r="1439" spans="1:8" x14ac:dyDescent="0.25">
      <c r="A1439" s="16"/>
      <c r="D1439" s="9" t="str">
        <f t="shared" si="141"/>
        <v xml:space="preserve"> - </v>
      </c>
      <c r="G1439" s="4" t="str">
        <f>IFERROR(VLOOKUP(F1439,Lists!$C:$D,2,0), "N/A")</f>
        <v>N/A</v>
      </c>
      <c r="H1439" s="26">
        <f>IFERROR(VLOOKUP(F1439,Lists!$C:$F,4,0),0)</f>
        <v>0</v>
      </c>
    </row>
    <row r="1440" spans="1:8" x14ac:dyDescent="0.25">
      <c r="A1440" s="16"/>
      <c r="D1440" s="9" t="str">
        <f t="shared" si="141"/>
        <v xml:space="preserve"> - </v>
      </c>
      <c r="G1440" s="4" t="str">
        <f>IFERROR(VLOOKUP(F1440,Lists!$C:$D,2,0), "N/A")</f>
        <v>N/A</v>
      </c>
      <c r="H1440" s="26">
        <f>IFERROR(VLOOKUP(F1440,Lists!$C:$F,4,0),0)</f>
        <v>0</v>
      </c>
    </row>
    <row r="1441" spans="1:8" x14ac:dyDescent="0.25">
      <c r="A1441" s="16"/>
      <c r="D1441" s="9" t="str">
        <f t="shared" si="141"/>
        <v xml:space="preserve"> - </v>
      </c>
      <c r="G1441" s="4" t="str">
        <f>IFERROR(VLOOKUP(F1441,Lists!$C:$D,2,0), "N/A")</f>
        <v>N/A</v>
      </c>
      <c r="H1441" s="26">
        <f>IFERROR(VLOOKUP(F1441,Lists!$C:$F,4,0),0)</f>
        <v>0</v>
      </c>
    </row>
    <row r="1442" spans="1:8" x14ac:dyDescent="0.25">
      <c r="A1442" s="16"/>
      <c r="D1442" s="9" t="str">
        <f t="shared" si="141"/>
        <v xml:space="preserve"> - </v>
      </c>
      <c r="G1442" s="4" t="str">
        <f>IFERROR(VLOOKUP(F1442,Lists!$C:$D,2,0), "N/A")</f>
        <v>N/A</v>
      </c>
      <c r="H1442" s="26">
        <f>IFERROR(VLOOKUP(F1442,Lists!$C:$F,4,0),0)</f>
        <v>0</v>
      </c>
    </row>
    <row r="1443" spans="1:8" x14ac:dyDescent="0.25">
      <c r="A1443" s="16"/>
      <c r="D1443" s="9" t="str">
        <f t="shared" si="141"/>
        <v xml:space="preserve"> - </v>
      </c>
      <c r="G1443" s="4" t="str">
        <f>IFERROR(VLOOKUP(F1443,Lists!$C:$D,2,0), "N/A")</f>
        <v>N/A</v>
      </c>
      <c r="H1443" s="26">
        <f>IFERROR(VLOOKUP(F1443,Lists!$C:$F,4,0),0)</f>
        <v>0</v>
      </c>
    </row>
    <row r="1444" spans="1:8" x14ac:dyDescent="0.25">
      <c r="A1444" s="16"/>
      <c r="D1444" s="9" t="str">
        <f t="shared" si="141"/>
        <v xml:space="preserve"> - </v>
      </c>
      <c r="G1444" s="4" t="str">
        <f>IFERROR(VLOOKUP(F1444,Lists!$C:$D,2,0), "N/A")</f>
        <v>N/A</v>
      </c>
      <c r="H1444" s="26">
        <f>IFERROR(VLOOKUP(F1444,Lists!$C:$F,4,0),0)</f>
        <v>0</v>
      </c>
    </row>
    <row r="1445" spans="1:8" x14ac:dyDescent="0.25">
      <c r="A1445" s="16"/>
      <c r="D1445" s="9" t="str">
        <f t="shared" si="141"/>
        <v xml:space="preserve"> - </v>
      </c>
      <c r="G1445" s="4" t="str">
        <f>IFERROR(VLOOKUP(F1445,Lists!$C:$D,2,0), "N/A")</f>
        <v>N/A</v>
      </c>
      <c r="H1445" s="26">
        <f>IFERROR(VLOOKUP(F1445,Lists!$C:$F,4,0),0)</f>
        <v>0</v>
      </c>
    </row>
    <row r="1446" spans="1:8" x14ac:dyDescent="0.25">
      <c r="A1446" s="16"/>
      <c r="D1446" s="9" t="str">
        <f t="shared" si="141"/>
        <v xml:space="preserve"> - </v>
      </c>
      <c r="G1446" s="4" t="str">
        <f>IFERROR(VLOOKUP(F1446,Lists!$C:$D,2,0), "N/A")</f>
        <v>N/A</v>
      </c>
      <c r="H1446" s="26">
        <f>IFERROR(VLOOKUP(F1446,Lists!$C:$F,4,0),0)</f>
        <v>0</v>
      </c>
    </row>
    <row r="1447" spans="1:8" x14ac:dyDescent="0.25">
      <c r="A1447" s="16"/>
      <c r="D1447" s="9" t="str">
        <f t="shared" si="141"/>
        <v xml:space="preserve"> - </v>
      </c>
      <c r="G1447" s="4" t="str">
        <f>IFERROR(VLOOKUP(F1447,Lists!$C:$D,2,0), "N/A")</f>
        <v>N/A</v>
      </c>
      <c r="H1447" s="26">
        <f>IFERROR(VLOOKUP(F1447,Lists!$C:$F,4,0),0)</f>
        <v>0</v>
      </c>
    </row>
    <row r="1448" spans="1:8" x14ac:dyDescent="0.25">
      <c r="A1448" s="16"/>
      <c r="D1448" s="9" t="str">
        <f t="shared" si="141"/>
        <v xml:space="preserve"> - </v>
      </c>
      <c r="G1448" s="4" t="str">
        <f>IFERROR(VLOOKUP(F1448,Lists!$C:$D,2,0), "N/A")</f>
        <v>N/A</v>
      </c>
      <c r="H1448" s="26">
        <f>IFERROR(VLOOKUP(F1448,Lists!$C:$F,4,0),0)</f>
        <v>0</v>
      </c>
    </row>
    <row r="1449" spans="1:8" x14ac:dyDescent="0.25">
      <c r="A1449" s="16"/>
      <c r="D1449" s="9" t="str">
        <f t="shared" si="141"/>
        <v xml:space="preserve"> - </v>
      </c>
      <c r="G1449" s="4" t="str">
        <f>IFERROR(VLOOKUP(F1449,Lists!$C:$D,2,0), "N/A")</f>
        <v>N/A</v>
      </c>
      <c r="H1449" s="26">
        <f>IFERROR(VLOOKUP(F1449,Lists!$C:$F,4,0),0)</f>
        <v>0</v>
      </c>
    </row>
    <row r="1450" spans="1:8" x14ac:dyDescent="0.25">
      <c r="A1450" s="16"/>
      <c r="D1450" s="9" t="str">
        <f t="shared" si="141"/>
        <v xml:space="preserve"> - </v>
      </c>
      <c r="G1450" s="4" t="str">
        <f>IFERROR(VLOOKUP(F1450,Lists!$C:$D,2,0), "N/A")</f>
        <v>N/A</v>
      </c>
      <c r="H1450" s="26">
        <f>IFERROR(VLOOKUP(F1450,Lists!$C:$F,4,0),0)</f>
        <v>0</v>
      </c>
    </row>
    <row r="1451" spans="1:8" x14ac:dyDescent="0.25">
      <c r="A1451" s="16"/>
      <c r="D1451" s="9" t="str">
        <f t="shared" si="141"/>
        <v xml:space="preserve"> - </v>
      </c>
      <c r="G1451" s="4" t="str">
        <f>IFERROR(VLOOKUP(F1451,Lists!$C:$D,2,0), "N/A")</f>
        <v>N/A</v>
      </c>
      <c r="H1451" s="26">
        <f>IFERROR(VLOOKUP(F1451,Lists!$C:$F,4,0),0)</f>
        <v>0</v>
      </c>
    </row>
    <row r="1452" spans="1:8" x14ac:dyDescent="0.25">
      <c r="A1452" s="16"/>
      <c r="D1452" s="9" t="str">
        <f t="shared" si="141"/>
        <v xml:space="preserve"> - </v>
      </c>
      <c r="G1452" s="4" t="str">
        <f>IFERROR(VLOOKUP(F1452,Lists!$C:$D,2,0), "N/A")</f>
        <v>N/A</v>
      </c>
      <c r="H1452" s="26">
        <f>IFERROR(VLOOKUP(F1452,Lists!$C:$F,4,0),0)</f>
        <v>0</v>
      </c>
    </row>
    <row r="1453" spans="1:8" x14ac:dyDescent="0.25">
      <c r="A1453" s="16"/>
      <c r="D1453" s="9" t="str">
        <f t="shared" si="141"/>
        <v xml:space="preserve"> - </v>
      </c>
      <c r="G1453" s="4" t="str">
        <f>IFERROR(VLOOKUP(F1453,Lists!$C:$D,2,0), "N/A")</f>
        <v>N/A</v>
      </c>
      <c r="H1453" s="26">
        <f>IFERROR(VLOOKUP(F1453,Lists!$C:$F,4,0),0)</f>
        <v>0</v>
      </c>
    </row>
    <row r="1454" spans="1:8" x14ac:dyDescent="0.25">
      <c r="A1454" s="16"/>
      <c r="D1454" s="9" t="str">
        <f t="shared" si="141"/>
        <v xml:space="preserve"> - </v>
      </c>
      <c r="G1454" s="4" t="str">
        <f>IFERROR(VLOOKUP(F1454,Lists!$C:$D,2,0), "N/A")</f>
        <v>N/A</v>
      </c>
      <c r="H1454" s="26">
        <f>IFERROR(VLOOKUP(F1454,Lists!$C:$F,4,0),0)</f>
        <v>0</v>
      </c>
    </row>
    <row r="1455" spans="1:8" x14ac:dyDescent="0.25">
      <c r="A1455" s="16"/>
      <c r="D1455" s="9" t="str">
        <f t="shared" si="141"/>
        <v xml:space="preserve"> - </v>
      </c>
      <c r="G1455" s="4" t="str">
        <f>IFERROR(VLOOKUP(F1455,Lists!$C:$D,2,0), "N/A")</f>
        <v>N/A</v>
      </c>
      <c r="H1455" s="26">
        <f>IFERROR(VLOOKUP(F1455,Lists!$C:$F,4,0),0)</f>
        <v>0</v>
      </c>
    </row>
    <row r="1456" spans="1:8" x14ac:dyDescent="0.25">
      <c r="A1456" s="16"/>
      <c r="D1456" s="9" t="str">
        <f t="shared" si="141"/>
        <v xml:space="preserve"> - </v>
      </c>
      <c r="G1456" s="4" t="str">
        <f>IFERROR(VLOOKUP(F1456,Lists!$C:$D,2,0), "N/A")</f>
        <v>N/A</v>
      </c>
      <c r="H1456" s="26">
        <f>IFERROR(VLOOKUP(F1456,Lists!$C:$F,4,0),0)</f>
        <v>0</v>
      </c>
    </row>
    <row r="1457" spans="1:8" x14ac:dyDescent="0.25">
      <c r="A1457" s="16"/>
      <c r="D1457" s="9" t="str">
        <f t="shared" si="141"/>
        <v xml:space="preserve"> - </v>
      </c>
      <c r="G1457" s="4" t="str">
        <f>IFERROR(VLOOKUP(F1457,Lists!$C:$D,2,0), "N/A")</f>
        <v>N/A</v>
      </c>
      <c r="H1457" s="26">
        <f>IFERROR(VLOOKUP(F1457,Lists!$C:$F,4,0),0)</f>
        <v>0</v>
      </c>
    </row>
    <row r="1458" spans="1:8" x14ac:dyDescent="0.25">
      <c r="A1458" s="16"/>
      <c r="D1458" s="9" t="str">
        <f t="shared" si="141"/>
        <v xml:space="preserve"> - </v>
      </c>
      <c r="G1458" s="4" t="str">
        <f>IFERROR(VLOOKUP(F1458,Lists!$C:$D,2,0), "N/A")</f>
        <v>N/A</v>
      </c>
      <c r="H1458" s="26">
        <f>IFERROR(VLOOKUP(F1458,Lists!$C:$F,4,0),0)</f>
        <v>0</v>
      </c>
    </row>
    <row r="1459" spans="1:8" x14ac:dyDescent="0.25">
      <c r="A1459" s="16"/>
      <c r="D1459" s="9" t="str">
        <f t="shared" si="141"/>
        <v xml:space="preserve"> - </v>
      </c>
      <c r="G1459" s="4" t="str">
        <f>IFERROR(VLOOKUP(F1459,Lists!$C:$D,2,0), "N/A")</f>
        <v>N/A</v>
      </c>
      <c r="H1459" s="26">
        <f>IFERROR(VLOOKUP(F1459,Lists!$C:$F,4,0),0)</f>
        <v>0</v>
      </c>
    </row>
    <row r="1460" spans="1:8" x14ac:dyDescent="0.25">
      <c r="A1460" s="16"/>
      <c r="D1460" s="9" t="str">
        <f t="shared" si="141"/>
        <v xml:space="preserve"> - </v>
      </c>
      <c r="G1460" s="4" t="str">
        <f>IFERROR(VLOOKUP(F1460,Lists!$C:$D,2,0), "N/A")</f>
        <v>N/A</v>
      </c>
      <c r="H1460" s="26">
        <f>IFERROR(VLOOKUP(F1460,Lists!$C:$F,4,0),0)</f>
        <v>0</v>
      </c>
    </row>
    <row r="1461" spans="1:8" x14ac:dyDescent="0.25">
      <c r="A1461" s="16"/>
      <c r="D1461" s="9" t="str">
        <f t="shared" si="141"/>
        <v xml:space="preserve"> - </v>
      </c>
      <c r="G1461" s="4" t="str">
        <f>IFERROR(VLOOKUP(F1461,Lists!$C:$D,2,0), "N/A")</f>
        <v>N/A</v>
      </c>
      <c r="H1461" s="26">
        <f>IFERROR(VLOOKUP(F1461,Lists!$C:$F,4,0),0)</f>
        <v>0</v>
      </c>
    </row>
    <row r="1462" spans="1:8" x14ac:dyDescent="0.25">
      <c r="A1462" s="16"/>
      <c r="D1462" s="9" t="str">
        <f t="shared" si="141"/>
        <v xml:space="preserve"> - </v>
      </c>
      <c r="G1462" s="4" t="str">
        <f>IFERROR(VLOOKUP(F1462,Lists!$C:$D,2,0), "N/A")</f>
        <v>N/A</v>
      </c>
      <c r="H1462" s="26">
        <f>IFERROR(VLOOKUP(F1462,Lists!$C:$F,4,0),0)</f>
        <v>0</v>
      </c>
    </row>
    <row r="1463" spans="1:8" x14ac:dyDescent="0.25">
      <c r="A1463" s="16"/>
      <c r="D1463" s="9" t="str">
        <f t="shared" si="141"/>
        <v xml:space="preserve"> - </v>
      </c>
      <c r="G1463" s="4" t="str">
        <f>IFERROR(VLOOKUP(F1463,Lists!$C:$D,2,0), "N/A")</f>
        <v>N/A</v>
      </c>
      <c r="H1463" s="26">
        <f>IFERROR(VLOOKUP(F1463,Lists!$C:$F,4,0),0)</f>
        <v>0</v>
      </c>
    </row>
    <row r="1464" spans="1:8" x14ac:dyDescent="0.25">
      <c r="A1464" s="16"/>
      <c r="D1464" s="9" t="str">
        <f t="shared" si="141"/>
        <v xml:space="preserve"> - </v>
      </c>
      <c r="G1464" s="4" t="str">
        <f>IFERROR(VLOOKUP(F1464,Lists!$C:$D,2,0), "N/A")</f>
        <v>N/A</v>
      </c>
      <c r="H1464" s="26">
        <f>IFERROR(VLOOKUP(F1464,Lists!$C:$F,4,0),0)</f>
        <v>0</v>
      </c>
    </row>
    <row r="1465" spans="1:8" x14ac:dyDescent="0.25">
      <c r="A1465" s="16"/>
      <c r="D1465" s="9" t="str">
        <f t="shared" si="141"/>
        <v xml:space="preserve"> - </v>
      </c>
      <c r="G1465" s="4" t="str">
        <f>IFERROR(VLOOKUP(F1465,Lists!$C:$D,2,0), "N/A")</f>
        <v>N/A</v>
      </c>
      <c r="H1465" s="26">
        <f>IFERROR(VLOOKUP(F1465,Lists!$C:$F,4,0),0)</f>
        <v>0</v>
      </c>
    </row>
    <row r="1466" spans="1:8" x14ac:dyDescent="0.25">
      <c r="A1466" s="16"/>
      <c r="D1466" s="9" t="str">
        <f t="shared" si="141"/>
        <v xml:space="preserve"> - </v>
      </c>
      <c r="G1466" s="4" t="str">
        <f>IFERROR(VLOOKUP(F1466,Lists!$C:$D,2,0), "N/A")</f>
        <v>N/A</v>
      </c>
      <c r="H1466" s="26">
        <f>IFERROR(VLOOKUP(F1466,Lists!$C:$F,4,0),0)</f>
        <v>0</v>
      </c>
    </row>
    <row r="1467" spans="1:8" x14ac:dyDescent="0.25">
      <c r="A1467" s="16"/>
      <c r="D1467" s="9" t="str">
        <f t="shared" si="141"/>
        <v xml:space="preserve"> - </v>
      </c>
      <c r="G1467" s="4" t="str">
        <f>IFERROR(VLOOKUP(F1467,Lists!$C:$D,2,0), "N/A")</f>
        <v>N/A</v>
      </c>
      <c r="H1467" s="26">
        <f>IFERROR(VLOOKUP(F1467,Lists!$C:$F,4,0),0)</f>
        <v>0</v>
      </c>
    </row>
    <row r="1468" spans="1:8" x14ac:dyDescent="0.25">
      <c r="A1468" s="16"/>
      <c r="D1468" s="9" t="str">
        <f t="shared" si="141"/>
        <v xml:space="preserve"> - </v>
      </c>
      <c r="G1468" s="4" t="str">
        <f>IFERROR(VLOOKUP(F1468,Lists!$C:$D,2,0), "N/A")</f>
        <v>N/A</v>
      </c>
      <c r="H1468" s="26">
        <f>IFERROR(VLOOKUP(F1468,Lists!$C:$F,4,0),0)</f>
        <v>0</v>
      </c>
    </row>
    <row r="1469" spans="1:8" x14ac:dyDescent="0.25">
      <c r="A1469" s="16"/>
      <c r="D1469" s="9" t="str">
        <f t="shared" si="141"/>
        <v xml:space="preserve"> - </v>
      </c>
      <c r="G1469" s="4" t="str">
        <f>IFERROR(VLOOKUP(F1469,Lists!$C:$D,2,0), "N/A")</f>
        <v>N/A</v>
      </c>
      <c r="H1469" s="26">
        <f>IFERROR(VLOOKUP(F1469,Lists!$C:$F,4,0),0)</f>
        <v>0</v>
      </c>
    </row>
    <row r="1470" spans="1:8" x14ac:dyDescent="0.25">
      <c r="A1470" s="16"/>
      <c r="D1470" s="9" t="str">
        <f t="shared" si="141"/>
        <v xml:space="preserve"> - </v>
      </c>
      <c r="G1470" s="4" t="str">
        <f>IFERROR(VLOOKUP(F1470,Lists!$C:$D,2,0), "N/A")</f>
        <v>N/A</v>
      </c>
      <c r="H1470" s="26">
        <f>IFERROR(VLOOKUP(F1470,Lists!$C:$F,4,0),0)</f>
        <v>0</v>
      </c>
    </row>
    <row r="1471" spans="1:8" x14ac:dyDescent="0.25">
      <c r="A1471" s="16"/>
      <c r="D1471" s="9" t="str">
        <f t="shared" si="141"/>
        <v xml:space="preserve"> - </v>
      </c>
      <c r="G1471" s="4" t="str">
        <f>IFERROR(VLOOKUP(F1471,Lists!$C:$D,2,0), "N/A")</f>
        <v>N/A</v>
      </c>
      <c r="H1471" s="26">
        <f>IFERROR(VLOOKUP(F1471,Lists!$C:$F,4,0),0)</f>
        <v>0</v>
      </c>
    </row>
    <row r="1472" spans="1:8" x14ac:dyDescent="0.25">
      <c r="A1472" s="16"/>
      <c r="D1472" s="9" t="str">
        <f t="shared" si="141"/>
        <v xml:space="preserve"> - </v>
      </c>
      <c r="G1472" s="4" t="str">
        <f>IFERROR(VLOOKUP(F1472,Lists!$C:$D,2,0), "N/A")</f>
        <v>N/A</v>
      </c>
      <c r="H1472" s="26">
        <f>IFERROR(VLOOKUP(F1472,Lists!$C:$F,4,0),0)</f>
        <v>0</v>
      </c>
    </row>
    <row r="1473" spans="1:8" x14ac:dyDescent="0.25">
      <c r="A1473" s="16"/>
      <c r="D1473" s="9" t="str">
        <f t="shared" si="141"/>
        <v xml:space="preserve"> - </v>
      </c>
      <c r="G1473" s="4" t="str">
        <f>IFERROR(VLOOKUP(F1473,Lists!$C:$D,2,0), "N/A")</f>
        <v>N/A</v>
      </c>
      <c r="H1473" s="26">
        <f>IFERROR(VLOOKUP(F1473,Lists!$C:$F,4,0),0)</f>
        <v>0</v>
      </c>
    </row>
    <row r="1474" spans="1:8" x14ac:dyDescent="0.25">
      <c r="A1474" s="16"/>
      <c r="D1474" s="9" t="str">
        <f t="shared" si="141"/>
        <v xml:space="preserve"> - </v>
      </c>
      <c r="G1474" s="4" t="str">
        <f>IFERROR(VLOOKUP(F1474,Lists!$C:$D,2,0), "N/A")</f>
        <v>N/A</v>
      </c>
      <c r="H1474" s="26">
        <f>IFERROR(VLOOKUP(F1474,Lists!$C:$F,4,0),0)</f>
        <v>0</v>
      </c>
    </row>
    <row r="1475" spans="1:8" x14ac:dyDescent="0.25">
      <c r="A1475" s="16"/>
      <c r="D1475" s="9" t="str">
        <f t="shared" si="141"/>
        <v xml:space="preserve"> - </v>
      </c>
      <c r="G1475" s="4" t="str">
        <f>IFERROR(VLOOKUP(F1475,Lists!$C:$D,2,0), "N/A")</f>
        <v>N/A</v>
      </c>
      <c r="H1475" s="26">
        <f>IFERROR(VLOOKUP(F1475,Lists!$C:$F,4,0),0)</f>
        <v>0</v>
      </c>
    </row>
    <row r="1476" spans="1:8" x14ac:dyDescent="0.25">
      <c r="A1476" s="16"/>
      <c r="D1476" s="9" t="str">
        <f t="shared" si="141"/>
        <v xml:space="preserve"> - </v>
      </c>
      <c r="G1476" s="4" t="str">
        <f>IFERROR(VLOOKUP(F1476,Lists!$C:$D,2,0), "N/A")</f>
        <v>N/A</v>
      </c>
      <c r="H1476" s="26">
        <f>IFERROR(VLOOKUP(F1476,Lists!$C:$F,4,0),0)</f>
        <v>0</v>
      </c>
    </row>
    <row r="1477" spans="1:8" x14ac:dyDescent="0.25">
      <c r="A1477" s="16"/>
      <c r="D1477" s="9" t="str">
        <f t="shared" si="141"/>
        <v xml:space="preserve"> - </v>
      </c>
      <c r="G1477" s="4" t="str">
        <f>IFERROR(VLOOKUP(F1477,Lists!$C:$D,2,0), "N/A")</f>
        <v>N/A</v>
      </c>
      <c r="H1477" s="26">
        <f>IFERROR(VLOOKUP(F1477,Lists!$C:$F,4,0),0)</f>
        <v>0</v>
      </c>
    </row>
    <row r="1478" spans="1:8" x14ac:dyDescent="0.25">
      <c r="A1478" s="16"/>
      <c r="D1478" s="9" t="str">
        <f t="shared" si="141"/>
        <v xml:space="preserve"> - </v>
      </c>
      <c r="G1478" s="4" t="str">
        <f>IFERROR(VLOOKUP(F1478,Lists!$C:$D,2,0), "N/A")</f>
        <v>N/A</v>
      </c>
      <c r="H1478" s="26">
        <f>IFERROR(VLOOKUP(F1478,Lists!$C:$F,4,0),0)</f>
        <v>0</v>
      </c>
    </row>
    <row r="1479" spans="1:8" x14ac:dyDescent="0.25">
      <c r="A1479" s="16"/>
      <c r="D1479" s="9" t="str">
        <f t="shared" si="141"/>
        <v xml:space="preserve"> - </v>
      </c>
      <c r="G1479" s="4" t="str">
        <f>IFERROR(VLOOKUP(F1479,Lists!$C:$D,2,0), "N/A")</f>
        <v>N/A</v>
      </c>
      <c r="H1479" s="26">
        <f>IFERROR(VLOOKUP(F1479,Lists!$C:$F,4,0),0)</f>
        <v>0</v>
      </c>
    </row>
    <row r="1480" spans="1:8" x14ac:dyDescent="0.25">
      <c r="A1480" s="16"/>
      <c r="D1480" s="9" t="str">
        <f t="shared" ref="D1480:D1524" si="142">CONCATENATE(B1480," - ",C1480)</f>
        <v xml:space="preserve"> - </v>
      </c>
      <c r="G1480" s="4" t="str">
        <f>IFERROR(VLOOKUP(F1480,Lists!$C:$D,2,0), "N/A")</f>
        <v>N/A</v>
      </c>
      <c r="H1480" s="26">
        <f>IFERROR(VLOOKUP(F1480,Lists!$C:$F,4,0),0)</f>
        <v>0</v>
      </c>
    </row>
    <row r="1481" spans="1:8" x14ac:dyDescent="0.25">
      <c r="A1481" s="16"/>
      <c r="D1481" s="9" t="str">
        <f t="shared" si="142"/>
        <v xml:space="preserve"> - </v>
      </c>
      <c r="G1481" s="4" t="str">
        <f>IFERROR(VLOOKUP(F1481,Lists!$C:$D,2,0), "N/A")</f>
        <v>N/A</v>
      </c>
      <c r="H1481" s="26">
        <f>IFERROR(VLOOKUP(F1481,Lists!$C:$F,4,0),0)</f>
        <v>0</v>
      </c>
    </row>
    <row r="1482" spans="1:8" x14ac:dyDescent="0.25">
      <c r="A1482" s="16"/>
      <c r="D1482" s="9" t="str">
        <f t="shared" si="142"/>
        <v xml:space="preserve"> - </v>
      </c>
      <c r="G1482" s="4" t="str">
        <f>IFERROR(VLOOKUP(F1482,Lists!$C:$D,2,0), "N/A")</f>
        <v>N/A</v>
      </c>
      <c r="H1482" s="26">
        <f>IFERROR(VLOOKUP(F1482,Lists!$C:$F,4,0),0)</f>
        <v>0</v>
      </c>
    </row>
    <row r="1483" spans="1:8" x14ac:dyDescent="0.25">
      <c r="A1483" s="16"/>
      <c r="D1483" s="9" t="str">
        <f t="shared" si="142"/>
        <v xml:space="preserve"> - </v>
      </c>
      <c r="G1483" s="4" t="str">
        <f>IFERROR(VLOOKUP(F1483,Lists!$C:$D,2,0), "N/A")</f>
        <v>N/A</v>
      </c>
      <c r="H1483" s="26">
        <f>IFERROR(VLOOKUP(F1483,Lists!$C:$F,4,0),0)</f>
        <v>0</v>
      </c>
    </row>
    <row r="1484" spans="1:8" x14ac:dyDescent="0.25">
      <c r="A1484" s="16"/>
      <c r="D1484" s="9" t="str">
        <f t="shared" si="142"/>
        <v xml:space="preserve"> - </v>
      </c>
      <c r="G1484" s="4" t="str">
        <f>IFERROR(VLOOKUP(F1484,Lists!$C:$D,2,0), "N/A")</f>
        <v>N/A</v>
      </c>
      <c r="H1484" s="26">
        <f>IFERROR(VLOOKUP(F1484,Lists!$C:$F,4,0),0)</f>
        <v>0</v>
      </c>
    </row>
    <row r="1485" spans="1:8" x14ac:dyDescent="0.25">
      <c r="A1485" s="16"/>
      <c r="D1485" s="9" t="str">
        <f t="shared" si="142"/>
        <v xml:space="preserve"> - </v>
      </c>
      <c r="G1485" s="4" t="str">
        <f>IFERROR(VLOOKUP(F1485,Lists!$C:$D,2,0), "N/A")</f>
        <v>N/A</v>
      </c>
      <c r="H1485" s="26">
        <f>IFERROR(VLOOKUP(F1485,Lists!$C:$F,4,0),0)</f>
        <v>0</v>
      </c>
    </row>
    <row r="1486" spans="1:8" x14ac:dyDescent="0.25">
      <c r="A1486" s="16"/>
      <c r="D1486" s="9" t="str">
        <f t="shared" si="142"/>
        <v xml:space="preserve"> - </v>
      </c>
      <c r="G1486" s="4" t="str">
        <f>IFERROR(VLOOKUP(F1486,Lists!$C:$D,2,0), "N/A")</f>
        <v>N/A</v>
      </c>
      <c r="H1486" s="26">
        <f>IFERROR(VLOOKUP(F1486,Lists!$C:$F,4,0),0)</f>
        <v>0</v>
      </c>
    </row>
    <row r="1487" spans="1:8" x14ac:dyDescent="0.25">
      <c r="A1487" s="16"/>
      <c r="D1487" s="9" t="str">
        <f t="shared" si="142"/>
        <v xml:space="preserve"> - </v>
      </c>
      <c r="G1487" s="4" t="str">
        <f>IFERROR(VLOOKUP(F1487,Lists!$C:$D,2,0), "N/A")</f>
        <v>N/A</v>
      </c>
      <c r="H1487" s="26">
        <f>IFERROR(VLOOKUP(F1487,Lists!$C:$F,4,0),0)</f>
        <v>0</v>
      </c>
    </row>
    <row r="1488" spans="1:8" x14ac:dyDescent="0.25">
      <c r="A1488" s="16"/>
      <c r="D1488" s="9" t="str">
        <f t="shared" si="142"/>
        <v xml:space="preserve"> - </v>
      </c>
      <c r="G1488" s="4" t="str">
        <f>IFERROR(VLOOKUP(F1488,Lists!$C:$D,2,0), "N/A")</f>
        <v>N/A</v>
      </c>
      <c r="H1488" s="26">
        <f>IFERROR(VLOOKUP(F1488,Lists!$C:$F,4,0),0)</f>
        <v>0</v>
      </c>
    </row>
    <row r="1489" spans="1:8" x14ac:dyDescent="0.25">
      <c r="A1489" s="16"/>
      <c r="D1489" s="9" t="str">
        <f t="shared" si="142"/>
        <v xml:space="preserve"> - </v>
      </c>
      <c r="G1489" s="4" t="str">
        <f>IFERROR(VLOOKUP(F1489,Lists!$C:$D,2,0), "N/A")</f>
        <v>N/A</v>
      </c>
      <c r="H1489" s="26">
        <f>IFERROR(VLOOKUP(F1489,Lists!$C:$F,4,0),0)</f>
        <v>0</v>
      </c>
    </row>
    <row r="1490" spans="1:8" x14ac:dyDescent="0.25">
      <c r="A1490" s="16"/>
      <c r="D1490" s="9" t="str">
        <f t="shared" si="142"/>
        <v xml:space="preserve"> - </v>
      </c>
      <c r="G1490" s="4" t="str">
        <f>IFERROR(VLOOKUP(F1490,Lists!$C:$D,2,0), "N/A")</f>
        <v>N/A</v>
      </c>
      <c r="H1490" s="26">
        <f>IFERROR(VLOOKUP(F1490,Lists!$C:$F,4,0),0)</f>
        <v>0</v>
      </c>
    </row>
    <row r="1491" spans="1:8" x14ac:dyDescent="0.25">
      <c r="A1491" s="16"/>
      <c r="D1491" s="9" t="str">
        <f t="shared" si="142"/>
        <v xml:space="preserve"> - </v>
      </c>
      <c r="G1491" s="4" t="str">
        <f>IFERROR(VLOOKUP(F1491,Lists!$C:$D,2,0), "N/A")</f>
        <v>N/A</v>
      </c>
      <c r="H1491" s="26">
        <f>IFERROR(VLOOKUP(F1491,Lists!$C:$F,4,0),0)</f>
        <v>0</v>
      </c>
    </row>
    <row r="1492" spans="1:8" x14ac:dyDescent="0.25">
      <c r="A1492" s="16"/>
      <c r="D1492" s="9" t="str">
        <f t="shared" si="142"/>
        <v xml:space="preserve"> - </v>
      </c>
      <c r="G1492" s="4" t="str">
        <f>IFERROR(VLOOKUP(F1492,Lists!$C:$D,2,0), "N/A")</f>
        <v>N/A</v>
      </c>
      <c r="H1492" s="26">
        <f>IFERROR(VLOOKUP(F1492,Lists!$C:$F,4,0),0)</f>
        <v>0</v>
      </c>
    </row>
    <row r="1493" spans="1:8" x14ac:dyDescent="0.25">
      <c r="A1493" s="16"/>
      <c r="D1493" s="9" t="str">
        <f t="shared" si="142"/>
        <v xml:space="preserve"> - </v>
      </c>
      <c r="G1493" s="4" t="str">
        <f>IFERROR(VLOOKUP(F1493,Lists!$C:$D,2,0), "N/A")</f>
        <v>N/A</v>
      </c>
      <c r="H1493" s="26">
        <f>IFERROR(VLOOKUP(F1493,Lists!$C:$F,4,0),0)</f>
        <v>0</v>
      </c>
    </row>
    <row r="1494" spans="1:8" x14ac:dyDescent="0.25">
      <c r="A1494" s="16"/>
      <c r="D1494" s="9" t="str">
        <f t="shared" si="142"/>
        <v xml:space="preserve"> - </v>
      </c>
      <c r="G1494" s="4" t="str">
        <f>IFERROR(VLOOKUP(F1494,Lists!$C:$D,2,0), "N/A")</f>
        <v>N/A</v>
      </c>
      <c r="H1494" s="26">
        <f>IFERROR(VLOOKUP(F1494,Lists!$C:$F,4,0),0)</f>
        <v>0</v>
      </c>
    </row>
    <row r="1495" spans="1:8" x14ac:dyDescent="0.25">
      <c r="A1495" s="16"/>
      <c r="D1495" s="9" t="str">
        <f t="shared" si="142"/>
        <v xml:space="preserve"> - </v>
      </c>
      <c r="G1495" s="4" t="str">
        <f>IFERROR(VLOOKUP(F1495,Lists!$C:$D,2,0), "N/A")</f>
        <v>N/A</v>
      </c>
      <c r="H1495" s="26">
        <f>IFERROR(VLOOKUP(F1495,Lists!$C:$F,4,0),0)</f>
        <v>0</v>
      </c>
    </row>
    <row r="1496" spans="1:8" x14ac:dyDescent="0.25">
      <c r="A1496" s="16"/>
      <c r="D1496" s="9" t="str">
        <f t="shared" si="142"/>
        <v xml:space="preserve"> - </v>
      </c>
      <c r="G1496" s="4" t="str">
        <f>IFERROR(VLOOKUP(F1496,Lists!$C:$D,2,0), "N/A")</f>
        <v>N/A</v>
      </c>
      <c r="H1496" s="26">
        <f>IFERROR(VLOOKUP(F1496,Lists!$C:$F,4,0),0)</f>
        <v>0</v>
      </c>
    </row>
    <row r="1497" spans="1:8" x14ac:dyDescent="0.25">
      <c r="A1497" s="16"/>
      <c r="D1497" s="9" t="str">
        <f t="shared" si="142"/>
        <v xml:space="preserve"> - </v>
      </c>
      <c r="G1497" s="4" t="str">
        <f>IFERROR(VLOOKUP(F1497,Lists!$C:$D,2,0), "N/A")</f>
        <v>N/A</v>
      </c>
      <c r="H1497" s="26">
        <f>IFERROR(VLOOKUP(F1497,Lists!$C:$F,4,0),0)</f>
        <v>0</v>
      </c>
    </row>
    <row r="1498" spans="1:8" x14ac:dyDescent="0.25">
      <c r="A1498" s="16"/>
      <c r="D1498" s="9" t="str">
        <f t="shared" si="142"/>
        <v xml:space="preserve"> - </v>
      </c>
      <c r="G1498" s="4" t="str">
        <f>IFERROR(VLOOKUP(F1498,Lists!$C:$D,2,0), "N/A")</f>
        <v>N/A</v>
      </c>
      <c r="H1498" s="26">
        <f>IFERROR(VLOOKUP(F1498,Lists!$C:$F,4,0),0)</f>
        <v>0</v>
      </c>
    </row>
    <row r="1499" spans="1:8" x14ac:dyDescent="0.25">
      <c r="A1499" s="16"/>
      <c r="D1499" s="9" t="str">
        <f t="shared" si="142"/>
        <v xml:space="preserve"> - </v>
      </c>
      <c r="G1499" s="4" t="str">
        <f>IFERROR(VLOOKUP(F1499,Lists!$C:$D,2,0), "N/A")</f>
        <v>N/A</v>
      </c>
      <c r="H1499" s="26">
        <f>IFERROR(VLOOKUP(F1499,Lists!$C:$F,4,0),0)</f>
        <v>0</v>
      </c>
    </row>
    <row r="1500" spans="1:8" x14ac:dyDescent="0.25">
      <c r="A1500" s="16"/>
      <c r="D1500" s="9" t="str">
        <f t="shared" si="142"/>
        <v xml:space="preserve"> - </v>
      </c>
      <c r="G1500" s="4" t="str">
        <f>IFERROR(VLOOKUP(F1500,Lists!$C:$D,2,0), "N/A")</f>
        <v>N/A</v>
      </c>
      <c r="H1500" s="26">
        <f>IFERROR(VLOOKUP(F1500,Lists!$C:$F,4,0),0)</f>
        <v>0</v>
      </c>
    </row>
    <row r="1501" spans="1:8" x14ac:dyDescent="0.25">
      <c r="A1501" s="16"/>
      <c r="D1501" s="9" t="str">
        <f t="shared" si="142"/>
        <v xml:space="preserve"> - </v>
      </c>
      <c r="G1501" s="4" t="str">
        <f>IFERROR(VLOOKUP(F1501,Lists!$C:$D,2,0), "N/A")</f>
        <v>N/A</v>
      </c>
      <c r="H1501" s="26">
        <f>IFERROR(VLOOKUP(F1501,Lists!$C:$F,4,0),0)</f>
        <v>0</v>
      </c>
    </row>
    <row r="1502" spans="1:8" x14ac:dyDescent="0.25">
      <c r="A1502" s="16"/>
      <c r="D1502" s="9" t="str">
        <f t="shared" si="142"/>
        <v xml:space="preserve"> - </v>
      </c>
      <c r="G1502" s="4" t="str">
        <f>IFERROR(VLOOKUP(F1502,Lists!$C:$D,2,0), "N/A")</f>
        <v>N/A</v>
      </c>
      <c r="H1502" s="26">
        <f>IFERROR(VLOOKUP(F1502,Lists!$C:$F,4,0),0)</f>
        <v>0</v>
      </c>
    </row>
    <row r="1503" spans="1:8" x14ac:dyDescent="0.25">
      <c r="A1503" s="16"/>
      <c r="D1503" s="9" t="str">
        <f t="shared" si="142"/>
        <v xml:space="preserve"> - </v>
      </c>
      <c r="G1503" s="4" t="str">
        <f>IFERROR(VLOOKUP(F1503,Lists!$C:$D,2,0), "N/A")</f>
        <v>N/A</v>
      </c>
      <c r="H1503" s="26">
        <f>IFERROR(VLOOKUP(F1503,Lists!$C:$F,4,0),0)</f>
        <v>0</v>
      </c>
    </row>
    <row r="1504" spans="1:8" x14ac:dyDescent="0.25">
      <c r="A1504" s="16"/>
      <c r="D1504" s="9" t="str">
        <f t="shared" si="142"/>
        <v xml:space="preserve"> - </v>
      </c>
      <c r="G1504" s="4" t="str">
        <f>IFERROR(VLOOKUP(F1504,Lists!$C:$D,2,0), "N/A")</f>
        <v>N/A</v>
      </c>
      <c r="H1504" s="26">
        <f>IFERROR(VLOOKUP(F1504,Lists!$C:$F,4,0),0)</f>
        <v>0</v>
      </c>
    </row>
    <row r="1505" spans="1:8" x14ac:dyDescent="0.25">
      <c r="A1505" s="16"/>
      <c r="D1505" s="9" t="str">
        <f t="shared" si="142"/>
        <v xml:space="preserve"> - </v>
      </c>
      <c r="G1505" s="4" t="str">
        <f>IFERROR(VLOOKUP(F1505,Lists!$C:$D,2,0), "N/A")</f>
        <v>N/A</v>
      </c>
      <c r="H1505" s="26">
        <f>IFERROR(VLOOKUP(F1505,Lists!$C:$F,4,0),0)</f>
        <v>0</v>
      </c>
    </row>
    <row r="1506" spans="1:8" x14ac:dyDescent="0.25">
      <c r="A1506" s="16"/>
      <c r="D1506" s="9" t="str">
        <f t="shared" si="142"/>
        <v xml:space="preserve"> - </v>
      </c>
      <c r="G1506" s="4" t="str">
        <f>IFERROR(VLOOKUP(F1506,Lists!$C:$D,2,0), "N/A")</f>
        <v>N/A</v>
      </c>
      <c r="H1506" s="26">
        <f>IFERROR(VLOOKUP(F1506,Lists!$C:$F,4,0),0)</f>
        <v>0</v>
      </c>
    </row>
    <row r="1507" spans="1:8" x14ac:dyDescent="0.25">
      <c r="A1507" s="16"/>
      <c r="D1507" s="9" t="str">
        <f t="shared" si="142"/>
        <v xml:space="preserve"> - </v>
      </c>
      <c r="G1507" s="4" t="str">
        <f>IFERROR(VLOOKUP(F1507,Lists!$C:$D,2,0), "N/A")</f>
        <v>N/A</v>
      </c>
      <c r="H1507" s="26">
        <f>IFERROR(VLOOKUP(F1507,Lists!$C:$F,4,0),0)</f>
        <v>0</v>
      </c>
    </row>
    <row r="1508" spans="1:8" x14ac:dyDescent="0.25">
      <c r="A1508" s="16"/>
      <c r="D1508" s="9" t="str">
        <f t="shared" si="142"/>
        <v xml:space="preserve"> - </v>
      </c>
      <c r="G1508" s="4" t="str">
        <f>IFERROR(VLOOKUP(F1508,Lists!$C:$D,2,0), "N/A")</f>
        <v>N/A</v>
      </c>
      <c r="H1508" s="26">
        <f>IFERROR(VLOOKUP(F1508,Lists!$C:$F,4,0),0)</f>
        <v>0</v>
      </c>
    </row>
    <row r="1509" spans="1:8" x14ac:dyDescent="0.25">
      <c r="A1509" s="16"/>
      <c r="D1509" s="9" t="str">
        <f t="shared" si="142"/>
        <v xml:space="preserve"> - </v>
      </c>
      <c r="G1509" s="4" t="str">
        <f>IFERROR(VLOOKUP(F1509,Lists!$C:$D,2,0), "N/A")</f>
        <v>N/A</v>
      </c>
      <c r="H1509" s="26">
        <f>IFERROR(VLOOKUP(F1509,Lists!$C:$F,4,0),0)</f>
        <v>0</v>
      </c>
    </row>
    <row r="1510" spans="1:8" x14ac:dyDescent="0.25">
      <c r="A1510" s="16"/>
      <c r="D1510" s="9" t="str">
        <f t="shared" si="142"/>
        <v xml:space="preserve"> - </v>
      </c>
      <c r="G1510" s="4" t="str">
        <f>IFERROR(VLOOKUP(F1510,Lists!$C:$D,2,0), "N/A")</f>
        <v>N/A</v>
      </c>
      <c r="H1510" s="26">
        <f>IFERROR(VLOOKUP(F1510,Lists!$C:$F,4,0),0)</f>
        <v>0</v>
      </c>
    </row>
    <row r="1511" spans="1:8" x14ac:dyDescent="0.25">
      <c r="A1511" s="16"/>
      <c r="D1511" s="9" t="str">
        <f t="shared" si="142"/>
        <v xml:space="preserve"> - </v>
      </c>
      <c r="G1511" s="4" t="str">
        <f>IFERROR(VLOOKUP(F1511,Lists!$C:$D,2,0), "N/A")</f>
        <v>N/A</v>
      </c>
      <c r="H1511" s="26">
        <f>IFERROR(VLOOKUP(F1511,Lists!$C:$F,4,0),0)</f>
        <v>0</v>
      </c>
    </row>
    <row r="1512" spans="1:8" x14ac:dyDescent="0.25">
      <c r="A1512" s="16"/>
      <c r="D1512" s="9" t="str">
        <f t="shared" si="142"/>
        <v xml:space="preserve"> - </v>
      </c>
      <c r="G1512" s="4" t="str">
        <f>IFERROR(VLOOKUP(F1512,Lists!$C:$D,2,0), "N/A")</f>
        <v>N/A</v>
      </c>
      <c r="H1512" s="26">
        <f>IFERROR(VLOOKUP(F1512,Lists!$C:$F,4,0),0)</f>
        <v>0</v>
      </c>
    </row>
    <row r="1513" spans="1:8" x14ac:dyDescent="0.25">
      <c r="A1513" s="16"/>
      <c r="D1513" s="9" t="str">
        <f t="shared" si="142"/>
        <v xml:space="preserve"> - </v>
      </c>
      <c r="G1513" s="4" t="str">
        <f>IFERROR(VLOOKUP(F1513,Lists!$C:$D,2,0), "N/A")</f>
        <v>N/A</v>
      </c>
      <c r="H1513" s="26">
        <f>IFERROR(VLOOKUP(F1513,Lists!$C:$F,4,0),0)</f>
        <v>0</v>
      </c>
    </row>
    <row r="1514" spans="1:8" x14ac:dyDescent="0.25">
      <c r="A1514" s="16"/>
      <c r="D1514" s="9" t="str">
        <f t="shared" si="142"/>
        <v xml:space="preserve"> - </v>
      </c>
      <c r="G1514" s="4" t="str">
        <f>IFERROR(VLOOKUP(F1514,Lists!$C:$D,2,0), "N/A")</f>
        <v>N/A</v>
      </c>
      <c r="H1514" s="26">
        <f>IFERROR(VLOOKUP(F1514,Lists!$C:$F,4,0),0)</f>
        <v>0</v>
      </c>
    </row>
    <row r="1515" spans="1:8" x14ac:dyDescent="0.25">
      <c r="A1515" s="16"/>
      <c r="D1515" s="9" t="str">
        <f t="shared" si="142"/>
        <v xml:space="preserve"> - </v>
      </c>
      <c r="G1515" s="4" t="str">
        <f>IFERROR(VLOOKUP(F1515,Lists!$C:$D,2,0), "N/A")</f>
        <v>N/A</v>
      </c>
      <c r="H1515" s="26">
        <f>IFERROR(VLOOKUP(F1515,Lists!$C:$F,4,0),0)</f>
        <v>0</v>
      </c>
    </row>
    <row r="1516" spans="1:8" x14ac:dyDescent="0.25">
      <c r="A1516" s="16"/>
      <c r="D1516" s="9" t="str">
        <f t="shared" si="142"/>
        <v xml:space="preserve"> - </v>
      </c>
      <c r="G1516" s="4" t="str">
        <f>IFERROR(VLOOKUP(F1516,Lists!$C:$D,2,0), "N/A")</f>
        <v>N/A</v>
      </c>
      <c r="H1516" s="26">
        <f>IFERROR(VLOOKUP(F1516,Lists!$C:$F,4,0),0)</f>
        <v>0</v>
      </c>
    </row>
    <row r="1517" spans="1:8" x14ac:dyDescent="0.25">
      <c r="A1517" s="16"/>
      <c r="D1517" s="9" t="str">
        <f t="shared" si="142"/>
        <v xml:space="preserve"> - </v>
      </c>
      <c r="G1517" s="4" t="str">
        <f>IFERROR(VLOOKUP(F1517,Lists!$C:$D,2,0), "N/A")</f>
        <v>N/A</v>
      </c>
      <c r="H1517" s="26">
        <f>IFERROR(VLOOKUP(F1517,Lists!$C:$F,4,0),0)</f>
        <v>0</v>
      </c>
    </row>
    <row r="1518" spans="1:8" x14ac:dyDescent="0.25">
      <c r="A1518" s="16"/>
      <c r="D1518" s="9" t="str">
        <f t="shared" si="142"/>
        <v xml:space="preserve"> - </v>
      </c>
      <c r="G1518" s="4" t="str">
        <f>IFERROR(VLOOKUP(F1518,Lists!$C:$D,2,0), "N/A")</f>
        <v>N/A</v>
      </c>
      <c r="H1518" s="26">
        <f>IFERROR(VLOOKUP(F1518,Lists!$C:$F,4,0),0)</f>
        <v>0</v>
      </c>
    </row>
    <row r="1519" spans="1:8" x14ac:dyDescent="0.25">
      <c r="A1519" s="16"/>
      <c r="D1519" s="9" t="str">
        <f t="shared" si="142"/>
        <v xml:space="preserve"> - </v>
      </c>
      <c r="G1519" s="4" t="str">
        <f>IFERROR(VLOOKUP(F1519,Lists!$C:$D,2,0), "N/A")</f>
        <v>N/A</v>
      </c>
      <c r="H1519" s="26">
        <f>IFERROR(VLOOKUP(F1519,Lists!$C:$F,4,0),0)</f>
        <v>0</v>
      </c>
    </row>
    <row r="1520" spans="1:8" x14ac:dyDescent="0.25">
      <c r="A1520" s="16"/>
      <c r="D1520" s="9" t="str">
        <f t="shared" si="142"/>
        <v xml:space="preserve"> - </v>
      </c>
      <c r="G1520" s="4" t="str">
        <f>IFERROR(VLOOKUP(F1520,Lists!$C:$D,2,0), "N/A")</f>
        <v>N/A</v>
      </c>
      <c r="H1520" s="26">
        <f>IFERROR(VLOOKUP(F1520,Lists!$C:$F,4,0),0)</f>
        <v>0</v>
      </c>
    </row>
    <row r="1521" spans="1:8" x14ac:dyDescent="0.25">
      <c r="A1521" s="16"/>
      <c r="D1521" s="9" t="str">
        <f t="shared" si="142"/>
        <v xml:space="preserve"> - </v>
      </c>
      <c r="G1521" s="4" t="str">
        <f>IFERROR(VLOOKUP(F1521,Lists!$C:$D,2,0), "N/A")</f>
        <v>N/A</v>
      </c>
      <c r="H1521" s="26">
        <f>IFERROR(VLOOKUP(F1521,Lists!$C:$F,4,0),0)</f>
        <v>0</v>
      </c>
    </row>
    <row r="1522" spans="1:8" x14ac:dyDescent="0.25">
      <c r="A1522" s="16"/>
      <c r="D1522" s="9" t="str">
        <f t="shared" si="142"/>
        <v xml:space="preserve"> - </v>
      </c>
      <c r="G1522" s="4" t="str">
        <f>IFERROR(VLOOKUP(F1522,Lists!$C:$D,2,0), "N/A")</f>
        <v>N/A</v>
      </c>
      <c r="H1522" s="26">
        <f>IFERROR(VLOOKUP(F1522,Lists!$C:$F,4,0),0)</f>
        <v>0</v>
      </c>
    </row>
    <row r="1523" spans="1:8" x14ac:dyDescent="0.25">
      <c r="A1523" s="16"/>
      <c r="D1523" s="9" t="str">
        <f t="shared" si="142"/>
        <v xml:space="preserve"> - </v>
      </c>
      <c r="G1523" s="4" t="str">
        <f>IFERROR(VLOOKUP(F1523,Lists!$C:$D,2,0), "N/A")</f>
        <v>N/A</v>
      </c>
      <c r="H1523" s="26">
        <f>IFERROR(VLOOKUP(F1523,Lists!$C:$F,4,0),0)</f>
        <v>0</v>
      </c>
    </row>
    <row r="1524" spans="1:8" x14ac:dyDescent="0.25">
      <c r="A1524" s="16"/>
      <c r="D1524" s="9" t="str">
        <f t="shared" si="142"/>
        <v xml:space="preserve"> - </v>
      </c>
      <c r="G1524" s="4" t="str">
        <f>IFERROR(VLOOKUP(F1524,Lists!$C:$D,2,0), "N/A")</f>
        <v>N/A</v>
      </c>
      <c r="H1524" s="26">
        <f>IFERROR(VLOOKUP(F1524,Lists!$C:$F,4,0),0)</f>
        <v>0</v>
      </c>
    </row>
    <row r="1525" spans="1:8" x14ac:dyDescent="0.25">
      <c r="A1525" s="16"/>
      <c r="G1525" s="4" t="str">
        <f>IFERROR(VLOOKUP(F1525,Lists!$C:$D,2,0), "N/A")</f>
        <v>N/A</v>
      </c>
      <c r="H1525" s="26">
        <f>IFERROR(VLOOKUP(F1525,Lists!$C:$F,4,0),0)</f>
        <v>0</v>
      </c>
    </row>
    <row r="1526" spans="1:8" x14ac:dyDescent="0.25">
      <c r="A1526" s="16"/>
      <c r="G1526" s="4" t="str">
        <f>IFERROR(VLOOKUP(F1526,Lists!$C:$D,2,0), "N/A")</f>
        <v>N/A</v>
      </c>
      <c r="H1526" s="26">
        <f>IFERROR(VLOOKUP(F1526,Lists!$C:$F,4,0),0)</f>
        <v>0</v>
      </c>
    </row>
    <row r="1527" spans="1:8" x14ac:dyDescent="0.25">
      <c r="A1527" s="16"/>
      <c r="G1527" s="4" t="str">
        <f>IFERROR(VLOOKUP(F1527,Lists!$C:$D,2,0), "N/A")</f>
        <v>N/A</v>
      </c>
      <c r="H1527" s="26">
        <f>IFERROR(VLOOKUP(F1527,Lists!$C:$F,4,0),0)</f>
        <v>0</v>
      </c>
    </row>
    <row r="1528" spans="1:8" x14ac:dyDescent="0.25">
      <c r="A1528" s="16"/>
      <c r="G1528" s="4" t="str">
        <f>IFERROR(VLOOKUP(F1528,Lists!$C:$D,2,0), "N/A")</f>
        <v>N/A</v>
      </c>
      <c r="H1528" s="26">
        <f>IFERROR(VLOOKUP(F1528,Lists!$C:$F,4,0),0)</f>
        <v>0</v>
      </c>
    </row>
    <row r="1529" spans="1:8" x14ac:dyDescent="0.25">
      <c r="A1529" s="16"/>
      <c r="G1529" s="4" t="str">
        <f>IFERROR(VLOOKUP(F1529,Lists!$C:$D,2,0), "N/A")</f>
        <v>N/A</v>
      </c>
      <c r="H1529" s="26">
        <f>IFERROR(VLOOKUP(F1529,Lists!$C:$F,4,0),0)</f>
        <v>0</v>
      </c>
    </row>
    <row r="1530" spans="1:8" x14ac:dyDescent="0.25">
      <c r="A1530" s="16"/>
      <c r="G1530" s="4" t="str">
        <f>IFERROR(VLOOKUP(F1530,Lists!$C:$D,2,0), "N/A")</f>
        <v>N/A</v>
      </c>
      <c r="H1530" s="26">
        <f>IFERROR(VLOOKUP(F1530,Lists!$C:$F,4,0),0)</f>
        <v>0</v>
      </c>
    </row>
    <row r="1531" spans="1:8" x14ac:dyDescent="0.25">
      <c r="A1531" s="16"/>
      <c r="G1531" s="4" t="str">
        <f>IFERROR(VLOOKUP(F1531,Lists!$C:$D,2,0), "N/A")</f>
        <v>N/A</v>
      </c>
      <c r="H1531" s="26">
        <f>IFERROR(VLOOKUP(F1531,Lists!$C:$F,4,0),0)</f>
        <v>0</v>
      </c>
    </row>
    <row r="1532" spans="1:8" x14ac:dyDescent="0.25">
      <c r="A1532" s="16"/>
      <c r="G1532" s="4" t="str">
        <f>IFERROR(VLOOKUP(F1532,Lists!$C:$D,2,0), "N/A")</f>
        <v>N/A</v>
      </c>
      <c r="H1532" s="26">
        <f>IFERROR(VLOOKUP(F1532,Lists!$C:$F,4,0),0)</f>
        <v>0</v>
      </c>
    </row>
    <row r="1533" spans="1:8" x14ac:dyDescent="0.25">
      <c r="A1533" s="16"/>
      <c r="G1533" s="4" t="str">
        <f>IFERROR(VLOOKUP(F1533,Lists!$C:$D,2,0), "N/A")</f>
        <v>N/A</v>
      </c>
      <c r="H1533" s="26">
        <f>IFERROR(VLOOKUP(F1533,Lists!$C:$F,4,0),0)</f>
        <v>0</v>
      </c>
    </row>
    <row r="1534" spans="1:8" x14ac:dyDescent="0.25">
      <c r="A1534" s="16"/>
      <c r="G1534" s="4" t="str">
        <f>IFERROR(VLOOKUP(F1534,Lists!$C:$D,2,0), "N/A")</f>
        <v>N/A</v>
      </c>
      <c r="H1534" s="26">
        <f>IFERROR(VLOOKUP(F1534,Lists!$C:$F,4,0),0)</f>
        <v>0</v>
      </c>
    </row>
    <row r="1535" spans="1:8" x14ac:dyDescent="0.25">
      <c r="A1535" s="16"/>
      <c r="G1535" s="4" t="str">
        <f>IFERROR(VLOOKUP(F1535,Lists!$C:$D,2,0), "N/A")</f>
        <v>N/A</v>
      </c>
      <c r="H1535" s="26">
        <f>IFERROR(VLOOKUP(F1535,Lists!$C:$F,4,0),0)</f>
        <v>0</v>
      </c>
    </row>
    <row r="1536" spans="1:8" x14ac:dyDescent="0.25">
      <c r="A1536" s="16"/>
      <c r="G1536" s="4" t="str">
        <f>IFERROR(VLOOKUP(F1536,Lists!$C:$D,2,0), "N/A")</f>
        <v>N/A</v>
      </c>
      <c r="H1536" s="26">
        <f>IFERROR(VLOOKUP(F1536,Lists!$C:$F,4,0),0)</f>
        <v>0</v>
      </c>
    </row>
    <row r="1537" spans="1:8" x14ac:dyDescent="0.25">
      <c r="A1537" s="16"/>
      <c r="G1537" s="4" t="str">
        <f>IFERROR(VLOOKUP(F1537,Lists!$C:$D,2,0), "N/A")</f>
        <v>N/A</v>
      </c>
      <c r="H1537" s="26">
        <f>IFERROR(VLOOKUP(F1537,Lists!$C:$F,4,0),0)</f>
        <v>0</v>
      </c>
    </row>
    <row r="1538" spans="1:8" x14ac:dyDescent="0.25">
      <c r="A1538" s="16"/>
      <c r="G1538" s="4" t="str">
        <f>IFERROR(VLOOKUP(F1538,Lists!$C:$D,2,0), "N/A")</f>
        <v>N/A</v>
      </c>
      <c r="H1538" s="26">
        <f>IFERROR(VLOOKUP(F1538,Lists!$C:$F,4,0),0)</f>
        <v>0</v>
      </c>
    </row>
    <row r="1539" spans="1:8" x14ac:dyDescent="0.25">
      <c r="A1539" s="16"/>
      <c r="G1539" s="4" t="str">
        <f>IFERROR(VLOOKUP(F1539,Lists!$C:$D,2,0), "N/A")</f>
        <v>N/A</v>
      </c>
      <c r="H1539" s="26">
        <f>IFERROR(VLOOKUP(F1539,Lists!$C:$F,4,0),0)</f>
        <v>0</v>
      </c>
    </row>
    <row r="1540" spans="1:8" x14ac:dyDescent="0.25">
      <c r="A1540" s="16"/>
      <c r="G1540" s="4" t="str">
        <f>IFERROR(VLOOKUP(F1540,Lists!$C:$D,2,0), "N/A")</f>
        <v>N/A</v>
      </c>
      <c r="H1540" s="26">
        <f>IFERROR(VLOOKUP(F1540,Lists!$C:$F,4,0),0)</f>
        <v>0</v>
      </c>
    </row>
    <row r="1541" spans="1:8" x14ac:dyDescent="0.25">
      <c r="A1541" s="16"/>
      <c r="G1541" s="4" t="str">
        <f>IFERROR(VLOOKUP(F1541,Lists!$C:$D,2,0), "N/A")</f>
        <v>N/A</v>
      </c>
      <c r="H1541" s="26">
        <f>IFERROR(VLOOKUP(F1541,Lists!$C:$F,4,0),0)</f>
        <v>0</v>
      </c>
    </row>
    <row r="1542" spans="1:8" x14ac:dyDescent="0.25">
      <c r="A1542" s="16"/>
      <c r="G1542" s="4" t="str">
        <f>IFERROR(VLOOKUP(F1542,Lists!$C:$D,2,0), "N/A")</f>
        <v>N/A</v>
      </c>
      <c r="H1542" s="26">
        <f>IFERROR(VLOOKUP(F1542,Lists!$C:$F,4,0),0)</f>
        <v>0</v>
      </c>
    </row>
    <row r="1543" spans="1:8" x14ac:dyDescent="0.25">
      <c r="A1543" s="16"/>
      <c r="G1543" s="4" t="str">
        <f>IFERROR(VLOOKUP(F1543,Lists!$C:$D,2,0), "N/A")</f>
        <v>N/A</v>
      </c>
      <c r="H1543" s="26">
        <f>IFERROR(VLOOKUP(F1543,Lists!$C:$F,4,0),0)</f>
        <v>0</v>
      </c>
    </row>
    <row r="1544" spans="1:8" x14ac:dyDescent="0.25">
      <c r="A1544" s="16"/>
      <c r="G1544" s="4" t="str">
        <f>IFERROR(VLOOKUP(F1544,Lists!$C:$D,2,0), "N/A")</f>
        <v>N/A</v>
      </c>
      <c r="H1544" s="26">
        <f>IFERROR(VLOOKUP(F1544,Lists!$C:$F,4,0),0)</f>
        <v>0</v>
      </c>
    </row>
    <row r="1545" spans="1:8" x14ac:dyDescent="0.25">
      <c r="A1545" s="16"/>
      <c r="G1545" s="4" t="str">
        <f>IFERROR(VLOOKUP(F1545,Lists!$C:$D,2,0), "N/A")</f>
        <v>N/A</v>
      </c>
      <c r="H1545" s="26">
        <f>IFERROR(VLOOKUP(F1545,Lists!$C:$F,4,0),0)</f>
        <v>0</v>
      </c>
    </row>
    <row r="1546" spans="1:8" x14ac:dyDescent="0.25">
      <c r="A1546" s="16"/>
      <c r="G1546" s="4" t="str">
        <f>IFERROR(VLOOKUP(F1546,Lists!$C:$D,2,0), "N/A")</f>
        <v>N/A</v>
      </c>
      <c r="H1546" s="26">
        <f>IFERROR(VLOOKUP(F1546,Lists!$C:$F,4,0),0)</f>
        <v>0</v>
      </c>
    </row>
    <row r="1547" spans="1:8" x14ac:dyDescent="0.25">
      <c r="A1547" s="16"/>
      <c r="G1547" s="4" t="str">
        <f>IFERROR(VLOOKUP(F1547,Lists!$C:$D,2,0), "N/A")</f>
        <v>N/A</v>
      </c>
      <c r="H1547" s="26">
        <f>IFERROR(VLOOKUP(F1547,Lists!$C:$F,4,0),0)</f>
        <v>0</v>
      </c>
    </row>
    <row r="1548" spans="1:8" x14ac:dyDescent="0.25">
      <c r="A1548" s="16"/>
      <c r="G1548" s="4" t="str">
        <f>IFERROR(VLOOKUP(F1548,Lists!$C:$D,2,0), "N/A")</f>
        <v>N/A</v>
      </c>
      <c r="H1548" s="26">
        <f>IFERROR(VLOOKUP(F1548,Lists!$C:$F,4,0),0)</f>
        <v>0</v>
      </c>
    </row>
    <row r="1549" spans="1:8" x14ac:dyDescent="0.25">
      <c r="A1549" s="16"/>
      <c r="G1549" s="4" t="str">
        <f>IFERROR(VLOOKUP(F1549,Lists!$C:$D,2,0), "N/A")</f>
        <v>N/A</v>
      </c>
      <c r="H1549" s="26">
        <f>IFERROR(VLOOKUP(F1549,Lists!$C:$F,4,0),0)</f>
        <v>0</v>
      </c>
    </row>
    <row r="1550" spans="1:8" x14ac:dyDescent="0.25">
      <c r="A1550" s="16"/>
      <c r="G1550" s="4" t="str">
        <f>IFERROR(VLOOKUP(F1550,Lists!$C:$D,2,0), "N/A")</f>
        <v>N/A</v>
      </c>
      <c r="H1550" s="26">
        <f>IFERROR(VLOOKUP(F1550,Lists!$C:$F,4,0),0)</f>
        <v>0</v>
      </c>
    </row>
    <row r="1551" spans="1:8" x14ac:dyDescent="0.25">
      <c r="A1551" s="16"/>
      <c r="G1551" s="4" t="str">
        <f>IFERROR(VLOOKUP(F1551,Lists!$C:$D,2,0), "N/A")</f>
        <v>N/A</v>
      </c>
      <c r="H1551" s="26">
        <f>IFERROR(VLOOKUP(F1551,Lists!$C:$F,4,0),0)</f>
        <v>0</v>
      </c>
    </row>
    <row r="1552" spans="1:8" x14ac:dyDescent="0.25">
      <c r="A1552" s="16"/>
      <c r="G1552" s="4" t="str">
        <f>IFERROR(VLOOKUP(F1552,Lists!$C:$D,2,0), "N/A")</f>
        <v>N/A</v>
      </c>
      <c r="H1552" s="26">
        <f>IFERROR(VLOOKUP(F1552,Lists!$C:$F,4,0),0)</f>
        <v>0</v>
      </c>
    </row>
    <row r="1553" spans="1:8" x14ac:dyDescent="0.25">
      <c r="A1553" s="16"/>
      <c r="G1553" s="4" t="str">
        <f>IFERROR(VLOOKUP(F1553,Lists!$C:$D,2,0), "N/A")</f>
        <v>N/A</v>
      </c>
      <c r="H1553" s="26">
        <f>IFERROR(VLOOKUP(F1553,Lists!$C:$F,4,0),0)</f>
        <v>0</v>
      </c>
    </row>
    <row r="1554" spans="1:8" x14ac:dyDescent="0.25">
      <c r="A1554" s="16"/>
      <c r="G1554" s="4" t="str">
        <f>IFERROR(VLOOKUP(F1554,Lists!$C:$D,2,0), "N/A")</f>
        <v>N/A</v>
      </c>
      <c r="H1554" s="26">
        <f>IFERROR(VLOOKUP(F1554,Lists!$C:$F,4,0),0)</f>
        <v>0</v>
      </c>
    </row>
    <row r="1555" spans="1:8" x14ac:dyDescent="0.25">
      <c r="A1555" s="16"/>
      <c r="G1555" s="4" t="str">
        <f>IFERROR(VLOOKUP(F1555,Lists!$C:$D,2,0), "N/A")</f>
        <v>N/A</v>
      </c>
      <c r="H1555" s="26">
        <f>IFERROR(VLOOKUP(F1555,Lists!$C:$F,4,0),0)</f>
        <v>0</v>
      </c>
    </row>
    <row r="1556" spans="1:8" x14ac:dyDescent="0.25">
      <c r="A1556" s="16"/>
      <c r="G1556" s="4" t="str">
        <f>IFERROR(VLOOKUP(F1556,Lists!$C:$D,2,0), "N/A")</f>
        <v>N/A</v>
      </c>
      <c r="H1556" s="26">
        <f>IFERROR(VLOOKUP(F1556,Lists!$C:$F,4,0),0)</f>
        <v>0</v>
      </c>
    </row>
    <row r="1557" spans="1:8" x14ac:dyDescent="0.25">
      <c r="A1557" s="16"/>
      <c r="G1557" s="4" t="str">
        <f>IFERROR(VLOOKUP(F1557,Lists!$C:$D,2,0), "N/A")</f>
        <v>N/A</v>
      </c>
      <c r="H1557" s="26">
        <f>IFERROR(VLOOKUP(F1557,Lists!$C:$F,4,0),0)</f>
        <v>0</v>
      </c>
    </row>
    <row r="1558" spans="1:8" x14ac:dyDescent="0.25">
      <c r="A1558" s="16"/>
      <c r="G1558" s="4" t="str">
        <f>IFERROR(VLOOKUP(F1558,Lists!$C:$D,2,0), "N/A")</f>
        <v>N/A</v>
      </c>
      <c r="H1558" s="26">
        <f>IFERROR(VLOOKUP(F1558,Lists!$C:$F,4,0),0)</f>
        <v>0</v>
      </c>
    </row>
    <row r="1559" spans="1:8" x14ac:dyDescent="0.25">
      <c r="A1559" s="16"/>
      <c r="G1559" s="4" t="str">
        <f>IFERROR(VLOOKUP(F1559,Lists!$C:$D,2,0), "N/A")</f>
        <v>N/A</v>
      </c>
      <c r="H1559" s="26">
        <f>IFERROR(VLOOKUP(F1559,Lists!$C:$F,4,0),0)</f>
        <v>0</v>
      </c>
    </row>
    <row r="1560" spans="1:8" x14ac:dyDescent="0.25">
      <c r="A1560" s="16"/>
      <c r="G1560" s="4" t="str">
        <f>IFERROR(VLOOKUP(F1560,Lists!$C:$D,2,0), "N/A")</f>
        <v>N/A</v>
      </c>
      <c r="H1560" s="26">
        <f>IFERROR(VLOOKUP(F1560,Lists!$C:$F,4,0),0)</f>
        <v>0</v>
      </c>
    </row>
    <row r="1561" spans="1:8" x14ac:dyDescent="0.25">
      <c r="A1561" s="16"/>
      <c r="G1561" s="4" t="str">
        <f>IFERROR(VLOOKUP(F1561,Lists!$C:$D,2,0), "N/A")</f>
        <v>N/A</v>
      </c>
      <c r="H1561" s="26">
        <f>IFERROR(VLOOKUP(F1561,Lists!$C:$F,4,0),0)</f>
        <v>0</v>
      </c>
    </row>
    <row r="1562" spans="1:8" x14ac:dyDescent="0.25">
      <c r="A1562" s="16"/>
      <c r="G1562" s="4" t="str">
        <f>IFERROR(VLOOKUP(F1562,Lists!$C:$D,2,0), "N/A")</f>
        <v>N/A</v>
      </c>
      <c r="H1562" s="26">
        <f>IFERROR(VLOOKUP(F1562,Lists!$C:$F,4,0),0)</f>
        <v>0</v>
      </c>
    </row>
    <row r="1563" spans="1:8" x14ac:dyDescent="0.25">
      <c r="A1563" s="16"/>
      <c r="G1563" s="4" t="str">
        <f>IFERROR(VLOOKUP(F1563,Lists!$C:$D,2,0), "N/A")</f>
        <v>N/A</v>
      </c>
      <c r="H1563" s="26">
        <f>IFERROR(VLOOKUP(F1563,Lists!$C:$F,4,0),0)</f>
        <v>0</v>
      </c>
    </row>
    <row r="1564" spans="1:8" x14ac:dyDescent="0.25">
      <c r="A1564" s="16"/>
      <c r="G1564" s="4" t="str">
        <f>IFERROR(VLOOKUP(F1564,Lists!$C:$D,2,0), "N/A")</f>
        <v>N/A</v>
      </c>
      <c r="H1564" s="26">
        <f>IFERROR(VLOOKUP(F1564,Lists!$C:$F,4,0),0)</f>
        <v>0</v>
      </c>
    </row>
    <row r="1565" spans="1:8" x14ac:dyDescent="0.25">
      <c r="A1565" s="16"/>
      <c r="G1565" s="4" t="str">
        <f>IFERROR(VLOOKUP(F1565,Lists!$C:$D,2,0), "N/A")</f>
        <v>N/A</v>
      </c>
      <c r="H1565" s="26">
        <f>IFERROR(VLOOKUP(F1565,Lists!$C:$F,4,0),0)</f>
        <v>0</v>
      </c>
    </row>
    <row r="1566" spans="1:8" x14ac:dyDescent="0.25">
      <c r="A1566" s="16"/>
      <c r="G1566" s="4" t="str">
        <f>IFERROR(VLOOKUP(F1566,Lists!$C:$D,2,0), "N/A")</f>
        <v>N/A</v>
      </c>
      <c r="H1566" s="26">
        <f>IFERROR(VLOOKUP(F1566,Lists!$C:$F,4,0),0)</f>
        <v>0</v>
      </c>
    </row>
    <row r="1567" spans="1:8" x14ac:dyDescent="0.25">
      <c r="A1567" s="16"/>
      <c r="G1567" s="4" t="str">
        <f>IFERROR(VLOOKUP(F1567,Lists!$C:$D,2,0), "N/A")</f>
        <v>N/A</v>
      </c>
      <c r="H1567" s="26">
        <f>IFERROR(VLOOKUP(F1567,Lists!$C:$F,4,0),0)</f>
        <v>0</v>
      </c>
    </row>
    <row r="1568" spans="1:8" x14ac:dyDescent="0.25">
      <c r="A1568" s="16"/>
      <c r="G1568" s="4" t="str">
        <f>IFERROR(VLOOKUP(F1568,Lists!$C:$D,2,0), "N/A")</f>
        <v>N/A</v>
      </c>
      <c r="H1568" s="26">
        <f>IFERROR(VLOOKUP(F1568,Lists!$C:$F,4,0),0)</f>
        <v>0</v>
      </c>
    </row>
    <row r="1569" spans="1:8" x14ac:dyDescent="0.25">
      <c r="A1569" s="16"/>
      <c r="G1569" s="4" t="str">
        <f>IFERROR(VLOOKUP(F1569,Lists!$C:$D,2,0), "N/A")</f>
        <v>N/A</v>
      </c>
      <c r="H1569" s="26">
        <f>IFERROR(VLOOKUP(F1569,Lists!$C:$F,4,0),0)</f>
        <v>0</v>
      </c>
    </row>
    <row r="1570" spans="1:8" x14ac:dyDescent="0.25">
      <c r="A1570" s="16"/>
      <c r="G1570" s="4" t="str">
        <f>IFERROR(VLOOKUP(F1570,Lists!$C:$D,2,0), "N/A")</f>
        <v>N/A</v>
      </c>
      <c r="H1570" s="26">
        <f>IFERROR(VLOOKUP(F1570,Lists!$C:$F,4,0),0)</f>
        <v>0</v>
      </c>
    </row>
    <row r="1571" spans="1:8" x14ac:dyDescent="0.25">
      <c r="A1571" s="16"/>
      <c r="G1571" s="4" t="str">
        <f>IFERROR(VLOOKUP(F1571,Lists!$C:$D,2,0), "N/A")</f>
        <v>N/A</v>
      </c>
      <c r="H1571" s="26">
        <f>IFERROR(VLOOKUP(F1571,Lists!$C:$F,4,0),0)</f>
        <v>0</v>
      </c>
    </row>
    <row r="1572" spans="1:8" x14ac:dyDescent="0.25">
      <c r="A1572" s="16"/>
      <c r="G1572" s="4" t="str">
        <f>IFERROR(VLOOKUP(F1572,Lists!$C:$D,2,0), "N/A")</f>
        <v>N/A</v>
      </c>
      <c r="H1572" s="26">
        <f>IFERROR(VLOOKUP(F1572,Lists!$C:$F,4,0),0)</f>
        <v>0</v>
      </c>
    </row>
    <row r="1573" spans="1:8" x14ac:dyDescent="0.25">
      <c r="A1573" s="16"/>
      <c r="G1573" s="4" t="str">
        <f>IFERROR(VLOOKUP(F1573,Lists!$C:$D,2,0), "N/A")</f>
        <v>N/A</v>
      </c>
      <c r="H1573" s="26">
        <f>IFERROR(VLOOKUP(F1573,Lists!$C:$F,4,0),0)</f>
        <v>0</v>
      </c>
    </row>
    <row r="1574" spans="1:8" x14ac:dyDescent="0.25">
      <c r="A1574" s="16"/>
      <c r="G1574" s="4" t="str">
        <f>IFERROR(VLOOKUP(F1574,Lists!$C:$D,2,0), "N/A")</f>
        <v>N/A</v>
      </c>
      <c r="H1574" s="26">
        <f>IFERROR(VLOOKUP(F1574,Lists!$C:$F,4,0),0)</f>
        <v>0</v>
      </c>
    </row>
    <row r="1575" spans="1:8" x14ac:dyDescent="0.25">
      <c r="A1575" s="16"/>
      <c r="G1575" s="4" t="str">
        <f>IFERROR(VLOOKUP(F1575,Lists!$C:$D,2,0), "N/A")</f>
        <v>N/A</v>
      </c>
      <c r="H1575" s="26">
        <f>IFERROR(VLOOKUP(F1575,Lists!$C:$F,4,0),0)</f>
        <v>0</v>
      </c>
    </row>
    <row r="1576" spans="1:8" x14ac:dyDescent="0.25">
      <c r="A1576" s="16"/>
      <c r="G1576" s="4" t="str">
        <f>IFERROR(VLOOKUP(F1576,Lists!$C:$D,2,0), "N/A")</f>
        <v>N/A</v>
      </c>
      <c r="H1576" s="26">
        <f>IFERROR(VLOOKUP(F1576,Lists!$C:$F,4,0),0)</f>
        <v>0</v>
      </c>
    </row>
    <row r="1577" spans="1:8" x14ac:dyDescent="0.25">
      <c r="A1577" s="16"/>
      <c r="G1577" s="4" t="str">
        <f>IFERROR(VLOOKUP(F1577,Lists!$C:$D,2,0), "N/A")</f>
        <v>N/A</v>
      </c>
      <c r="H1577" s="26">
        <f>IFERROR(VLOOKUP(F1577,Lists!$C:$F,4,0),0)</f>
        <v>0</v>
      </c>
    </row>
    <row r="1578" spans="1:8" x14ac:dyDescent="0.25">
      <c r="A1578" s="16"/>
      <c r="G1578" s="4" t="str">
        <f>IFERROR(VLOOKUP(F1578,Lists!$C:$D,2,0), "N/A")</f>
        <v>N/A</v>
      </c>
      <c r="H1578" s="26">
        <f>IFERROR(VLOOKUP(F1578,Lists!$C:$F,4,0),0)</f>
        <v>0</v>
      </c>
    </row>
    <row r="1579" spans="1:8" x14ac:dyDescent="0.25">
      <c r="A1579" s="16"/>
      <c r="G1579" s="4" t="str">
        <f>IFERROR(VLOOKUP(F1579,Lists!$C:$D,2,0), "N/A")</f>
        <v>N/A</v>
      </c>
      <c r="H1579" s="26">
        <f>IFERROR(VLOOKUP(F1579,Lists!$C:$F,4,0),0)</f>
        <v>0</v>
      </c>
    </row>
    <row r="1580" spans="1:8" x14ac:dyDescent="0.25">
      <c r="A1580" s="16"/>
      <c r="G1580" s="4" t="str">
        <f>IFERROR(VLOOKUP(F1580,Lists!$C:$D,2,0), "N/A")</f>
        <v>N/A</v>
      </c>
      <c r="H1580" s="26">
        <f>IFERROR(VLOOKUP(F1580,Lists!$C:$F,4,0),0)</f>
        <v>0</v>
      </c>
    </row>
    <row r="1581" spans="1:8" x14ac:dyDescent="0.25">
      <c r="A1581" s="16"/>
      <c r="G1581" s="4" t="str">
        <f>IFERROR(VLOOKUP(F1581,Lists!$C:$D,2,0), "N/A")</f>
        <v>N/A</v>
      </c>
      <c r="H1581" s="26">
        <f>IFERROR(VLOOKUP(F1581,Lists!$C:$F,4,0),0)</f>
        <v>0</v>
      </c>
    </row>
    <row r="1582" spans="1:8" x14ac:dyDescent="0.25">
      <c r="A1582" s="16"/>
      <c r="G1582" s="4" t="str">
        <f>IFERROR(VLOOKUP(F1582,Lists!$C:$D,2,0), "N/A")</f>
        <v>N/A</v>
      </c>
      <c r="H1582" s="26">
        <f>IFERROR(VLOOKUP(F1582,Lists!$C:$F,4,0),0)</f>
        <v>0</v>
      </c>
    </row>
    <row r="1583" spans="1:8" x14ac:dyDescent="0.25">
      <c r="A1583" s="16"/>
      <c r="G1583" s="4" t="str">
        <f>IFERROR(VLOOKUP(F1583,Lists!$C:$D,2,0), "N/A")</f>
        <v>N/A</v>
      </c>
      <c r="H1583" s="26">
        <f>IFERROR(VLOOKUP(F1583,Lists!$C:$F,4,0),0)</f>
        <v>0</v>
      </c>
    </row>
    <row r="1584" spans="1:8" x14ac:dyDescent="0.25">
      <c r="A1584" s="16"/>
      <c r="G1584" s="4" t="str">
        <f>IFERROR(VLOOKUP(F1584,Lists!$C:$D,2,0), "N/A")</f>
        <v>N/A</v>
      </c>
      <c r="H1584" s="26">
        <f>IFERROR(VLOOKUP(F1584,Lists!$C:$F,4,0),0)</f>
        <v>0</v>
      </c>
    </row>
    <row r="1585" spans="1:8" x14ac:dyDescent="0.25">
      <c r="A1585" s="16"/>
      <c r="G1585" s="4" t="str">
        <f>IFERROR(VLOOKUP(F1585,Lists!$C:$D,2,0), "N/A")</f>
        <v>N/A</v>
      </c>
      <c r="H1585" s="26">
        <f>IFERROR(VLOOKUP(F1585,Lists!$C:$F,4,0),0)</f>
        <v>0</v>
      </c>
    </row>
    <row r="1586" spans="1:8" x14ac:dyDescent="0.25">
      <c r="A1586" s="16"/>
      <c r="G1586" s="4" t="str">
        <f>IFERROR(VLOOKUP(F1586,Lists!$C:$D,2,0), "N/A")</f>
        <v>N/A</v>
      </c>
      <c r="H1586" s="26">
        <f>IFERROR(VLOOKUP(F1586,Lists!$C:$F,4,0),0)</f>
        <v>0</v>
      </c>
    </row>
    <row r="1587" spans="1:8" x14ac:dyDescent="0.25">
      <c r="A1587" s="16"/>
      <c r="G1587" s="4" t="str">
        <f>IFERROR(VLOOKUP(F1587,Lists!$C:$D,2,0), "N/A")</f>
        <v>N/A</v>
      </c>
      <c r="H1587" s="26">
        <f>IFERROR(VLOOKUP(F1587,Lists!$C:$F,4,0),0)</f>
        <v>0</v>
      </c>
    </row>
    <row r="1588" spans="1:8" x14ac:dyDescent="0.25">
      <c r="A1588" s="16"/>
      <c r="G1588" s="4" t="str">
        <f>IFERROR(VLOOKUP(F1588,Lists!$C:$D,2,0), "N/A")</f>
        <v>N/A</v>
      </c>
      <c r="H1588" s="26">
        <f>IFERROR(VLOOKUP(F1588,Lists!$C:$F,4,0),0)</f>
        <v>0</v>
      </c>
    </row>
    <row r="1589" spans="1:8" x14ac:dyDescent="0.25">
      <c r="A1589" s="16"/>
      <c r="G1589" s="4" t="str">
        <f>IFERROR(VLOOKUP(F1589,Lists!$C:$D,2,0), "N/A")</f>
        <v>N/A</v>
      </c>
      <c r="H1589" s="26">
        <f>IFERROR(VLOOKUP(F1589,Lists!$C:$F,4,0),0)</f>
        <v>0</v>
      </c>
    </row>
    <row r="1590" spans="1:8" x14ac:dyDescent="0.25">
      <c r="A1590" s="16"/>
      <c r="G1590" s="4" t="str">
        <f>IFERROR(VLOOKUP(F1590,Lists!$C:$D,2,0), "N/A")</f>
        <v>N/A</v>
      </c>
      <c r="H1590" s="26">
        <f>IFERROR(VLOOKUP(F1590,Lists!$C:$F,4,0),0)</f>
        <v>0</v>
      </c>
    </row>
    <row r="1591" spans="1:8" x14ac:dyDescent="0.25">
      <c r="A1591" s="16"/>
      <c r="G1591" s="4" t="str">
        <f>IFERROR(VLOOKUP(F1591,Lists!$C:$D,2,0), "N/A")</f>
        <v>N/A</v>
      </c>
      <c r="H1591" s="26">
        <f>IFERROR(VLOOKUP(F1591,Lists!$C:$F,4,0),0)</f>
        <v>0</v>
      </c>
    </row>
    <row r="1592" spans="1:8" x14ac:dyDescent="0.25">
      <c r="A1592" s="16"/>
      <c r="G1592" s="4" t="str">
        <f>IFERROR(VLOOKUP(F1592,Lists!$C:$D,2,0), "N/A")</f>
        <v>N/A</v>
      </c>
      <c r="H1592" s="26">
        <f>IFERROR(VLOOKUP(F1592,Lists!$C:$F,4,0),0)</f>
        <v>0</v>
      </c>
    </row>
    <row r="1593" spans="1:8" x14ac:dyDescent="0.25">
      <c r="A1593" s="16"/>
      <c r="G1593" s="4" t="str">
        <f>IFERROR(VLOOKUP(F1593,Lists!$C:$D,2,0), "N/A")</f>
        <v>N/A</v>
      </c>
      <c r="H1593" s="26">
        <f>IFERROR(VLOOKUP(F1593,Lists!$C:$F,4,0),0)</f>
        <v>0</v>
      </c>
    </row>
    <row r="1594" spans="1:8" x14ac:dyDescent="0.25">
      <c r="A1594" s="16"/>
      <c r="G1594" s="4" t="str">
        <f>IFERROR(VLOOKUP(F1594,Lists!$C:$D,2,0), "N/A")</f>
        <v>N/A</v>
      </c>
      <c r="H1594" s="26">
        <f>IFERROR(VLOOKUP(F1594,Lists!$C:$F,4,0),0)</f>
        <v>0</v>
      </c>
    </row>
    <row r="1595" spans="1:8" x14ac:dyDescent="0.25">
      <c r="A1595" s="16"/>
      <c r="G1595" s="4" t="str">
        <f>IFERROR(VLOOKUP(F1595,Lists!$C:$D,2,0), "N/A")</f>
        <v>N/A</v>
      </c>
      <c r="H1595" s="26">
        <f>IFERROR(VLOOKUP(F1595,Lists!$C:$F,4,0),0)</f>
        <v>0</v>
      </c>
    </row>
    <row r="1596" spans="1:8" x14ac:dyDescent="0.25">
      <c r="A1596" s="16"/>
      <c r="G1596" s="4" t="str">
        <f>IFERROR(VLOOKUP(F1596,Lists!$C:$D,2,0), "N/A")</f>
        <v>N/A</v>
      </c>
      <c r="H1596" s="26">
        <f>IFERROR(VLOOKUP(F1596,Lists!$C:$F,4,0),0)</f>
        <v>0</v>
      </c>
    </row>
    <row r="1597" spans="1:8" x14ac:dyDescent="0.25">
      <c r="A1597" s="16"/>
      <c r="G1597" s="4" t="str">
        <f>IFERROR(VLOOKUP(F1597,Lists!$C:$D,2,0), "N/A")</f>
        <v>N/A</v>
      </c>
      <c r="H1597" s="26">
        <f>IFERROR(VLOOKUP(F1597,Lists!$C:$F,4,0),0)</f>
        <v>0</v>
      </c>
    </row>
    <row r="1598" spans="1:8" x14ac:dyDescent="0.25">
      <c r="A1598" s="16"/>
      <c r="G1598" s="4" t="str">
        <f>IFERROR(VLOOKUP(F1598,Lists!$C:$D,2,0), "N/A")</f>
        <v>N/A</v>
      </c>
      <c r="H1598" s="26">
        <f>IFERROR(VLOOKUP(F1598,Lists!$C:$F,4,0),0)</f>
        <v>0</v>
      </c>
    </row>
    <row r="1599" spans="1:8" x14ac:dyDescent="0.25">
      <c r="A1599" s="16"/>
      <c r="G1599" s="4" t="str">
        <f>IFERROR(VLOOKUP(F1599,Lists!$C:$D,2,0), "N/A")</f>
        <v>N/A</v>
      </c>
      <c r="H1599" s="26">
        <f>IFERROR(VLOOKUP(F1599,Lists!$C:$F,4,0),0)</f>
        <v>0</v>
      </c>
    </row>
    <row r="1600" spans="1:8" x14ac:dyDescent="0.25">
      <c r="A1600" s="16"/>
      <c r="G1600" s="4" t="str">
        <f>IFERROR(VLOOKUP(F1600,Lists!$C:$D,2,0), "N/A")</f>
        <v>N/A</v>
      </c>
      <c r="H1600" s="26">
        <f>IFERROR(VLOOKUP(F1600,Lists!$C:$F,4,0),0)</f>
        <v>0</v>
      </c>
    </row>
    <row r="1601" spans="1:8" x14ac:dyDescent="0.25">
      <c r="A1601" s="16"/>
      <c r="G1601" s="4" t="str">
        <f>IFERROR(VLOOKUP(F1601,Lists!$C:$D,2,0), "N/A")</f>
        <v>N/A</v>
      </c>
      <c r="H1601" s="26">
        <f>IFERROR(VLOOKUP(F1601,Lists!$C:$F,4,0),0)</f>
        <v>0</v>
      </c>
    </row>
    <row r="1602" spans="1:8" x14ac:dyDescent="0.25">
      <c r="A1602" s="16"/>
      <c r="G1602" s="4" t="str">
        <f>IFERROR(VLOOKUP(F1602,Lists!$C:$D,2,0), "N/A")</f>
        <v>N/A</v>
      </c>
      <c r="H1602" s="26">
        <f>IFERROR(VLOOKUP(F1602,Lists!$C:$F,4,0),0)</f>
        <v>0</v>
      </c>
    </row>
    <row r="1603" spans="1:8" x14ac:dyDescent="0.25">
      <c r="A1603" s="16"/>
      <c r="G1603" s="4" t="str">
        <f>IFERROR(VLOOKUP(F1603,Lists!$C:$D,2,0), "N/A")</f>
        <v>N/A</v>
      </c>
      <c r="H1603" s="26">
        <f>IFERROR(VLOOKUP(F1603,Lists!$C:$F,4,0),0)</f>
        <v>0</v>
      </c>
    </row>
    <row r="1604" spans="1:8" x14ac:dyDescent="0.25">
      <c r="A1604" s="16"/>
      <c r="G1604" s="4" t="str">
        <f>IFERROR(VLOOKUP(F1604,Lists!$C:$D,2,0), "N/A")</f>
        <v>N/A</v>
      </c>
      <c r="H1604" s="26">
        <f>IFERROR(VLOOKUP(F1604,Lists!$C:$F,4,0),0)</f>
        <v>0</v>
      </c>
    </row>
    <row r="1605" spans="1:8" x14ac:dyDescent="0.25">
      <c r="A1605" s="16"/>
      <c r="G1605" s="4" t="str">
        <f>IFERROR(VLOOKUP(F1605,Lists!$C:$D,2,0), "N/A")</f>
        <v>N/A</v>
      </c>
      <c r="H1605" s="26">
        <f>IFERROR(VLOOKUP(F1605,Lists!$C:$F,4,0),0)</f>
        <v>0</v>
      </c>
    </row>
    <row r="1606" spans="1:8" x14ac:dyDescent="0.25">
      <c r="A1606" s="16"/>
      <c r="G1606" s="4" t="str">
        <f>IFERROR(VLOOKUP(F1606,Lists!$C:$D,2,0), "N/A")</f>
        <v>N/A</v>
      </c>
      <c r="H1606" s="26">
        <f>IFERROR(VLOOKUP(F1606,Lists!$C:$F,4,0),0)</f>
        <v>0</v>
      </c>
    </row>
    <row r="1607" spans="1:8" x14ac:dyDescent="0.25">
      <c r="A1607" s="16"/>
      <c r="G1607" s="4" t="str">
        <f>IFERROR(VLOOKUP(F1607,Lists!$C:$D,2,0), "N/A")</f>
        <v>N/A</v>
      </c>
      <c r="H1607" s="26">
        <f>IFERROR(VLOOKUP(F1607,Lists!$C:$F,4,0),0)</f>
        <v>0</v>
      </c>
    </row>
    <row r="1608" spans="1:8" x14ac:dyDescent="0.25">
      <c r="A1608" s="16"/>
      <c r="G1608" s="4" t="str">
        <f>IFERROR(VLOOKUP(F1608,Lists!$C:$D,2,0), "N/A")</f>
        <v>N/A</v>
      </c>
      <c r="H1608" s="26">
        <f>IFERROR(VLOOKUP(F1608,Lists!$C:$F,4,0),0)</f>
        <v>0</v>
      </c>
    </row>
    <row r="1609" spans="1:8" x14ac:dyDescent="0.25">
      <c r="A1609" s="16"/>
      <c r="G1609" s="4" t="str">
        <f>IFERROR(VLOOKUP(F1609,Lists!$C:$D,2,0), "N/A")</f>
        <v>N/A</v>
      </c>
      <c r="H1609" s="26">
        <f>IFERROR(VLOOKUP(F1609,Lists!$C:$F,4,0),0)</f>
        <v>0</v>
      </c>
    </row>
    <row r="1610" spans="1:8" x14ac:dyDescent="0.25">
      <c r="A1610" s="16"/>
      <c r="G1610" s="4" t="str">
        <f>IFERROR(VLOOKUP(F1610,Lists!$C:$D,2,0), "N/A")</f>
        <v>N/A</v>
      </c>
      <c r="H1610" s="26">
        <f>IFERROR(VLOOKUP(F1610,Lists!$C:$F,4,0),0)</f>
        <v>0</v>
      </c>
    </row>
    <row r="1611" spans="1:8" x14ac:dyDescent="0.25">
      <c r="A1611" s="16"/>
      <c r="G1611" s="4" t="str">
        <f>IFERROR(VLOOKUP(F1611,Lists!$C:$D,2,0), "N/A")</f>
        <v>N/A</v>
      </c>
      <c r="H1611" s="26">
        <f>IFERROR(VLOOKUP(F1611,Lists!$C:$F,4,0),0)</f>
        <v>0</v>
      </c>
    </row>
    <row r="1612" spans="1:8" x14ac:dyDescent="0.25">
      <c r="A1612" s="16"/>
      <c r="G1612" s="4" t="str">
        <f>IFERROR(VLOOKUP(F1612,Lists!$C:$D,2,0), "N/A")</f>
        <v>N/A</v>
      </c>
      <c r="H1612" s="26">
        <f>IFERROR(VLOOKUP(F1612,Lists!$C:$F,4,0),0)</f>
        <v>0</v>
      </c>
    </row>
    <row r="1613" spans="1:8" x14ac:dyDescent="0.25">
      <c r="A1613" s="16"/>
      <c r="G1613" s="4" t="str">
        <f>IFERROR(VLOOKUP(F1613,Lists!$C:$D,2,0), "N/A")</f>
        <v>N/A</v>
      </c>
      <c r="H1613" s="26">
        <f>IFERROR(VLOOKUP(F1613,Lists!$C:$F,4,0),0)</f>
        <v>0</v>
      </c>
    </row>
    <row r="1614" spans="1:8" x14ac:dyDescent="0.25">
      <c r="A1614" s="16"/>
      <c r="G1614" s="4" t="str">
        <f>IFERROR(VLOOKUP(F1614,Lists!$C:$D,2,0), "N/A")</f>
        <v>N/A</v>
      </c>
      <c r="H1614" s="26">
        <f>IFERROR(VLOOKUP(F1614,Lists!$C:$F,4,0),0)</f>
        <v>0</v>
      </c>
    </row>
    <row r="1615" spans="1:8" x14ac:dyDescent="0.25">
      <c r="A1615" s="16"/>
      <c r="G1615" s="4" t="str">
        <f>IFERROR(VLOOKUP(F1615,Lists!$C:$D,2,0), "N/A")</f>
        <v>N/A</v>
      </c>
      <c r="H1615" s="26">
        <f>IFERROR(VLOOKUP(F1615,Lists!$C:$F,4,0),0)</f>
        <v>0</v>
      </c>
    </row>
    <row r="1616" spans="1:8" x14ac:dyDescent="0.25">
      <c r="A1616" s="16"/>
      <c r="G1616" s="4" t="str">
        <f>IFERROR(VLOOKUP(F1616,Lists!$C:$D,2,0), "N/A")</f>
        <v>N/A</v>
      </c>
      <c r="H1616" s="26">
        <f>IFERROR(VLOOKUP(F1616,Lists!$C:$F,4,0),0)</f>
        <v>0</v>
      </c>
    </row>
    <row r="1617" spans="1:8" x14ac:dyDescent="0.25">
      <c r="A1617" s="16"/>
      <c r="G1617" s="4" t="str">
        <f>IFERROR(VLOOKUP(F1617,Lists!$C:$D,2,0), "N/A")</f>
        <v>N/A</v>
      </c>
      <c r="H1617" s="26">
        <f>IFERROR(VLOOKUP(F1617,Lists!$C:$F,4,0),0)</f>
        <v>0</v>
      </c>
    </row>
    <row r="1618" spans="1:8" x14ac:dyDescent="0.25">
      <c r="A1618" s="16"/>
      <c r="G1618" s="4" t="str">
        <f>IFERROR(VLOOKUP(F1618,Lists!$C:$D,2,0), "N/A")</f>
        <v>N/A</v>
      </c>
      <c r="H1618" s="26">
        <f>IFERROR(VLOOKUP(F1618,Lists!$C:$F,4,0),0)</f>
        <v>0</v>
      </c>
    </row>
    <row r="1619" spans="1:8" x14ac:dyDescent="0.25">
      <c r="A1619" s="16"/>
      <c r="G1619" s="4" t="str">
        <f>IFERROR(VLOOKUP(F1619,Lists!$C:$D,2,0), "N/A")</f>
        <v>N/A</v>
      </c>
      <c r="H1619" s="26">
        <f>IFERROR(VLOOKUP(F1619,Lists!$C:$F,4,0),0)</f>
        <v>0</v>
      </c>
    </row>
    <row r="1620" spans="1:8" x14ac:dyDescent="0.25">
      <c r="A1620" s="16"/>
      <c r="G1620" s="4" t="str">
        <f>IFERROR(VLOOKUP(F1620,Lists!$C:$D,2,0), "N/A")</f>
        <v>N/A</v>
      </c>
      <c r="H1620" s="26">
        <f>IFERROR(VLOOKUP(F1620,Lists!$C:$F,4,0),0)</f>
        <v>0</v>
      </c>
    </row>
    <row r="1621" spans="1:8" x14ac:dyDescent="0.25">
      <c r="A1621" s="16"/>
      <c r="G1621" s="4" t="str">
        <f>IFERROR(VLOOKUP(F1621,Lists!$C:$D,2,0), "N/A")</f>
        <v>N/A</v>
      </c>
      <c r="H1621" s="26">
        <f>IFERROR(VLOOKUP(F1621,Lists!$C:$F,4,0),0)</f>
        <v>0</v>
      </c>
    </row>
    <row r="1622" spans="1:8" x14ac:dyDescent="0.25">
      <c r="A1622" s="16"/>
      <c r="G1622" s="4" t="str">
        <f>IFERROR(VLOOKUP(F1622,Lists!$C:$D,2,0), "N/A")</f>
        <v>N/A</v>
      </c>
      <c r="H1622" s="26">
        <f>IFERROR(VLOOKUP(F1622,Lists!$C:$F,4,0),0)</f>
        <v>0</v>
      </c>
    </row>
    <row r="1623" spans="1:8" x14ac:dyDescent="0.25">
      <c r="A1623" s="16"/>
      <c r="G1623" s="4" t="str">
        <f>IFERROR(VLOOKUP(F1623,Lists!$C:$D,2,0), "N/A")</f>
        <v>N/A</v>
      </c>
      <c r="H1623" s="26">
        <f>IFERROR(VLOOKUP(F1623,Lists!$C:$F,4,0),0)</f>
        <v>0</v>
      </c>
    </row>
    <row r="1624" spans="1:8" x14ac:dyDescent="0.25">
      <c r="A1624" s="16"/>
      <c r="G1624" s="4" t="str">
        <f>IFERROR(VLOOKUP(F1624,Lists!$C:$D,2,0), "N/A")</f>
        <v>N/A</v>
      </c>
      <c r="H1624" s="26">
        <f>IFERROR(VLOOKUP(F1624,Lists!$C:$F,4,0),0)</f>
        <v>0</v>
      </c>
    </row>
    <row r="1625" spans="1:8" x14ac:dyDescent="0.25">
      <c r="A1625" s="16"/>
      <c r="G1625" s="4" t="str">
        <f>IFERROR(VLOOKUP(F1625,Lists!$C:$D,2,0), "N/A")</f>
        <v>N/A</v>
      </c>
      <c r="H1625" s="26">
        <f>IFERROR(VLOOKUP(F1625,Lists!$C:$F,4,0),0)</f>
        <v>0</v>
      </c>
    </row>
    <row r="1626" spans="1:8" x14ac:dyDescent="0.25">
      <c r="G1626" s="4" t="str">
        <f>IFERROR(VLOOKUP(F1626,Lists!$C:$D,2,0), "N/A")</f>
        <v>N/A</v>
      </c>
      <c r="H1626" s="26">
        <f>IFERROR(VLOOKUP(F1626,Lists!$C:$F,4,0),0)</f>
        <v>0</v>
      </c>
    </row>
  </sheetData>
  <autoFilter ref="A1:N1343" xr:uid="{8354A063-2FF6-4867-9F2C-CAD0EDA6D650}">
    <sortState xmlns:xlrd2="http://schemas.microsoft.com/office/spreadsheetml/2017/richdata2" ref="A2:N1343">
      <sortCondition ref="C2:C1343"/>
    </sortState>
  </autoFilter>
  <phoneticPr fontId="7"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39" id="{00000000-000E-0000-0200-00001D000000}">
            <xm:f>L2=Lists!$Q$2</xm:f>
            <x14:dxf>
              <font>
                <color rgb="FF006100"/>
              </font>
              <fill>
                <patternFill>
                  <bgColor rgb="FFC6EFCE"/>
                </patternFill>
              </fill>
            </x14:dxf>
          </x14:cfRule>
          <x14:cfRule type="expression" priority="140" id="{00000000-000E-0000-0200-00001E000000}">
            <xm:f>L2&gt;Lists!$Q$2</xm:f>
            <x14:dxf>
              <font>
                <color rgb="FF9C0006"/>
              </font>
              <fill>
                <patternFill>
                  <bgColor rgb="FFFFC7CE"/>
                </patternFill>
              </fill>
            </x14:dxf>
          </x14:cfRule>
          <xm:sqref>L399:L412 L2:L388 L390 L414:L419 L421 L423 L425:L455 L457:L482 L484:L1343</xm:sqref>
        </x14:conditionalFormatting>
        <x14:conditionalFormatting xmlns:xm="http://schemas.microsoft.com/office/excel/2006/main">
          <x14:cfRule type="expression" priority="109" id="{14DAC605-8B19-48E7-8C83-9195D5A8DA54}">
            <xm:f>L367&gt;Lists!$Q$2</xm:f>
            <x14:dxf>
              <font>
                <color rgb="FF9C0006"/>
              </font>
              <fill>
                <patternFill>
                  <bgColor rgb="FFFFC7CE"/>
                </patternFill>
              </fill>
            </x14:dxf>
          </x14:cfRule>
          <xm:sqref>M399:M412 M367:M390 M414:M419 M421 M423 M425:M455 M457:M482 M484:M1343</xm:sqref>
        </x14:conditionalFormatting>
        <x14:conditionalFormatting xmlns:xm="http://schemas.microsoft.com/office/excel/2006/main">
          <x14:cfRule type="expression" priority="95" id="{39D44385-688C-412D-B9AE-4377662113EE}">
            <xm:f>L367=Lists!$Q$2</xm:f>
            <x14:dxf>
              <font>
                <color rgb="FF006100"/>
              </font>
              <fill>
                <patternFill>
                  <bgColor rgb="FFC6EFCE"/>
                </patternFill>
              </fill>
            </x14:dxf>
          </x14:cfRule>
          <x14:cfRule type="expression" priority="102" id="{8450BBD0-4F28-46C7-8E65-40A9F283B1E9}">
            <xm:f>L367&lt;Lists!$Q$2</xm:f>
            <x14:dxf>
              <font>
                <color rgb="FF006100"/>
              </font>
              <fill>
                <patternFill>
                  <bgColor rgb="FFC6EFCE"/>
                </patternFill>
              </fill>
            </x14:dxf>
          </x14:cfRule>
          <xm:sqref>M399:M412 M367:M390 M414:M419 M421 M423 M425:M455 M457:M482 M484:M1343</xm:sqref>
        </x14:conditionalFormatting>
        <x14:conditionalFormatting xmlns:xm="http://schemas.microsoft.com/office/excel/2006/main">
          <x14:cfRule type="expression" priority="94" id="{4B30AC1C-CB85-4422-9BD0-145E0D92F812}">
            <xm:f>L2&gt;Lists!$Q$2</xm:f>
            <x14:dxf>
              <font>
                <color rgb="FF9C0006"/>
              </font>
              <fill>
                <patternFill>
                  <bgColor rgb="FFFFC7CE"/>
                </patternFill>
              </fill>
            </x14:dxf>
          </x14:cfRule>
          <xm:sqref>M2:M366</xm:sqref>
        </x14:conditionalFormatting>
        <x14:conditionalFormatting xmlns:xm="http://schemas.microsoft.com/office/excel/2006/main">
          <x14:cfRule type="expression" priority="92" id="{D1554A33-C5A2-46DC-9FBB-E4B3B943B4C1}">
            <xm:f>L2=Lists!$Q$2</xm:f>
            <x14:dxf>
              <font>
                <color rgb="FF006100"/>
              </font>
              <fill>
                <patternFill>
                  <bgColor rgb="FFC6EFCE"/>
                </patternFill>
              </fill>
            </x14:dxf>
          </x14:cfRule>
          <x14:cfRule type="expression" priority="93" id="{C7EA1DF1-49DD-4F71-9418-4A570658EF0C}">
            <xm:f>L2&lt;Lists!$Q$2</xm:f>
            <x14:dxf>
              <font>
                <color rgb="FF006100"/>
              </font>
              <fill>
                <patternFill>
                  <bgColor rgb="FFC6EFCE"/>
                </patternFill>
              </fill>
            </x14:dxf>
          </x14:cfRule>
          <xm:sqref>M2:M366</xm:sqref>
        </x14:conditionalFormatting>
        <x14:conditionalFormatting xmlns:xm="http://schemas.microsoft.com/office/excel/2006/main">
          <x14:cfRule type="expression" priority="91" id="{C413A897-204B-4CFE-89D6-ECF78EC71F12}">
            <xm:f>L2&lt;Lists!$Q$2</xm:f>
            <x14:dxf>
              <font>
                <color rgb="FF006100"/>
              </font>
              <fill>
                <patternFill>
                  <bgColor rgb="FFC6EFCE"/>
                </patternFill>
              </fill>
            </x14:dxf>
          </x14:cfRule>
          <xm:sqref>L399:L412 L2:L388 L390 L414:L419 L421 L423 L425:L455 L457:L482 L484:L1343</xm:sqref>
        </x14:conditionalFormatting>
        <x14:conditionalFormatting xmlns:xm="http://schemas.microsoft.com/office/excel/2006/main">
          <x14:cfRule type="expression" priority="89" id="{233B0D35-0DF5-4885-A706-FD0043462BB9}">
            <xm:f>L396=Lists!$Q$2</xm:f>
            <x14:dxf>
              <font>
                <color rgb="FF006100"/>
              </font>
              <fill>
                <patternFill>
                  <bgColor rgb="FFC6EFCE"/>
                </patternFill>
              </fill>
            </x14:dxf>
          </x14:cfRule>
          <x14:cfRule type="expression" priority="90" id="{2B47A2F3-A5F9-4B07-A605-9D925B28BCE0}">
            <xm:f>L396&gt;Lists!$Q$2</xm:f>
            <x14:dxf>
              <font>
                <color rgb="FF9C0006"/>
              </font>
              <fill>
                <patternFill>
                  <bgColor rgb="FFFFC7CE"/>
                </patternFill>
              </fill>
            </x14:dxf>
          </x14:cfRule>
          <xm:sqref>L396 L398</xm:sqref>
        </x14:conditionalFormatting>
        <x14:conditionalFormatting xmlns:xm="http://schemas.microsoft.com/office/excel/2006/main">
          <x14:cfRule type="expression" priority="88" id="{51B7B614-F978-4551-96BA-DE5C28D99D71}">
            <xm:f>L396&gt;Lists!$Q$2</xm:f>
            <x14:dxf>
              <font>
                <color rgb="FF9C0006"/>
              </font>
              <fill>
                <patternFill>
                  <bgColor rgb="FFFFC7CE"/>
                </patternFill>
              </fill>
            </x14:dxf>
          </x14:cfRule>
          <xm:sqref>M396 M398</xm:sqref>
        </x14:conditionalFormatting>
        <x14:conditionalFormatting xmlns:xm="http://schemas.microsoft.com/office/excel/2006/main">
          <x14:cfRule type="expression" priority="86" id="{2DA96B6D-36EC-444B-B1C5-1B7FBFC3CFAC}">
            <xm:f>L396=Lists!$Q$2</xm:f>
            <x14:dxf>
              <font>
                <color rgb="FF006100"/>
              </font>
              <fill>
                <patternFill>
                  <bgColor rgb="FFC6EFCE"/>
                </patternFill>
              </fill>
            </x14:dxf>
          </x14:cfRule>
          <x14:cfRule type="expression" priority="87" id="{BE49341E-9FC9-4233-B9F0-9659108573F2}">
            <xm:f>L396&lt;Lists!$Q$2</xm:f>
            <x14:dxf>
              <font>
                <color rgb="FF006100"/>
              </font>
              <fill>
                <patternFill>
                  <bgColor rgb="FFC6EFCE"/>
                </patternFill>
              </fill>
            </x14:dxf>
          </x14:cfRule>
          <xm:sqref>M396 M398</xm:sqref>
        </x14:conditionalFormatting>
        <x14:conditionalFormatting xmlns:xm="http://schemas.microsoft.com/office/excel/2006/main">
          <x14:cfRule type="expression" priority="85" id="{D5CD51DF-A1C7-427B-8FF9-0B2698E5C125}">
            <xm:f>L396&lt;Lists!$Q$2</xm:f>
            <x14:dxf>
              <font>
                <color rgb="FF006100"/>
              </font>
              <fill>
                <patternFill>
                  <bgColor rgb="FFC6EFCE"/>
                </patternFill>
              </fill>
            </x14:dxf>
          </x14:cfRule>
          <xm:sqref>L396 L398</xm:sqref>
        </x14:conditionalFormatting>
        <x14:conditionalFormatting xmlns:xm="http://schemas.microsoft.com/office/excel/2006/main">
          <x14:cfRule type="expression" priority="83" id="{17DF5E66-52F1-45B9-9BBC-C4F21FCEC729}">
            <xm:f>L389=Lists!$Q$2</xm:f>
            <x14:dxf>
              <font>
                <color rgb="FF006100"/>
              </font>
              <fill>
                <patternFill>
                  <bgColor rgb="FFC6EFCE"/>
                </patternFill>
              </fill>
            </x14:dxf>
          </x14:cfRule>
          <x14:cfRule type="expression" priority="84" id="{9E962592-4AA2-448B-BE1B-7602165D45A5}">
            <xm:f>L389&gt;Lists!$Q$2</xm:f>
            <x14:dxf>
              <font>
                <color rgb="FF9C0006"/>
              </font>
              <fill>
                <patternFill>
                  <bgColor rgb="FFFFC7CE"/>
                </patternFill>
              </fill>
            </x14:dxf>
          </x14:cfRule>
          <xm:sqref>L389:L390</xm:sqref>
        </x14:conditionalFormatting>
        <x14:conditionalFormatting xmlns:xm="http://schemas.microsoft.com/office/excel/2006/main">
          <x14:cfRule type="expression" priority="79" id="{230BD3BD-A10F-4B45-8D8A-0DD12E563256}">
            <xm:f>L389&lt;Lists!$Q$2</xm:f>
            <x14:dxf>
              <font>
                <color rgb="FF006100"/>
              </font>
              <fill>
                <patternFill>
                  <bgColor rgb="FFC6EFCE"/>
                </patternFill>
              </fill>
            </x14:dxf>
          </x14:cfRule>
          <xm:sqref>L389:L390</xm:sqref>
        </x14:conditionalFormatting>
        <x14:conditionalFormatting xmlns:xm="http://schemas.microsoft.com/office/excel/2006/main">
          <x14:cfRule type="expression" priority="77" id="{078C9BE6-7406-4D1A-A51E-05E548212440}">
            <xm:f>L392=Lists!$Q$2</xm:f>
            <x14:dxf>
              <font>
                <color rgb="FF006100"/>
              </font>
              <fill>
                <patternFill>
                  <bgColor rgb="FFC6EFCE"/>
                </patternFill>
              </fill>
            </x14:dxf>
          </x14:cfRule>
          <x14:cfRule type="expression" priority="78" id="{4579D8CC-43FD-4B18-8C8D-46208ED941E8}">
            <xm:f>L392&gt;Lists!$Q$2</xm:f>
            <x14:dxf>
              <font>
                <color rgb="FF9C0006"/>
              </font>
              <fill>
                <patternFill>
                  <bgColor rgb="FFFFC7CE"/>
                </patternFill>
              </fill>
            </x14:dxf>
          </x14:cfRule>
          <xm:sqref>L392:L394</xm:sqref>
        </x14:conditionalFormatting>
        <x14:conditionalFormatting xmlns:xm="http://schemas.microsoft.com/office/excel/2006/main">
          <x14:cfRule type="expression" priority="76" id="{9436A81F-8712-47BC-B67B-B893EA74CB16}">
            <xm:f>L392&gt;Lists!$Q$2</xm:f>
            <x14:dxf>
              <font>
                <color rgb="FF9C0006"/>
              </font>
              <fill>
                <patternFill>
                  <bgColor rgb="FFFFC7CE"/>
                </patternFill>
              </fill>
            </x14:dxf>
          </x14:cfRule>
          <xm:sqref>M392:M394</xm:sqref>
        </x14:conditionalFormatting>
        <x14:conditionalFormatting xmlns:xm="http://schemas.microsoft.com/office/excel/2006/main">
          <x14:cfRule type="expression" priority="74" id="{A54F1E58-0891-42F4-BE34-B5C25C1D9972}">
            <xm:f>L392=Lists!$Q$2</xm:f>
            <x14:dxf>
              <font>
                <color rgb="FF006100"/>
              </font>
              <fill>
                <patternFill>
                  <bgColor rgb="FFC6EFCE"/>
                </patternFill>
              </fill>
            </x14:dxf>
          </x14:cfRule>
          <x14:cfRule type="expression" priority="75" id="{05E39871-3014-4AE6-A160-9D624C458731}">
            <xm:f>L392&lt;Lists!$Q$2</xm:f>
            <x14:dxf>
              <font>
                <color rgb="FF006100"/>
              </font>
              <fill>
                <patternFill>
                  <bgColor rgb="FFC6EFCE"/>
                </patternFill>
              </fill>
            </x14:dxf>
          </x14:cfRule>
          <xm:sqref>M392:M394</xm:sqref>
        </x14:conditionalFormatting>
        <x14:conditionalFormatting xmlns:xm="http://schemas.microsoft.com/office/excel/2006/main">
          <x14:cfRule type="expression" priority="73" id="{99B6A7EA-01E1-4EBC-A5F7-F98BEE15A3E0}">
            <xm:f>L392&lt;Lists!$Q$2</xm:f>
            <x14:dxf>
              <font>
                <color rgb="FF006100"/>
              </font>
              <fill>
                <patternFill>
                  <bgColor rgb="FFC6EFCE"/>
                </patternFill>
              </fill>
            </x14:dxf>
          </x14:cfRule>
          <xm:sqref>L392:L394</xm:sqref>
        </x14:conditionalFormatting>
        <x14:conditionalFormatting xmlns:xm="http://schemas.microsoft.com/office/excel/2006/main">
          <x14:cfRule type="expression" priority="71" id="{2FEBC1D3-D41F-42E1-BDAA-7645766199D2}">
            <xm:f>L392=Lists!$Q$2</xm:f>
            <x14:dxf>
              <font>
                <color rgb="FF006100"/>
              </font>
              <fill>
                <patternFill>
                  <bgColor rgb="FFC6EFCE"/>
                </patternFill>
              </fill>
            </x14:dxf>
          </x14:cfRule>
          <x14:cfRule type="expression" priority="72" id="{190507C8-9A09-49B2-8348-8467010074AE}">
            <xm:f>L392&gt;Lists!$Q$2</xm:f>
            <x14:dxf>
              <font>
                <color rgb="FF9C0006"/>
              </font>
              <fill>
                <patternFill>
                  <bgColor rgb="FFFFC7CE"/>
                </patternFill>
              </fill>
            </x14:dxf>
          </x14:cfRule>
          <xm:sqref>L392:L394</xm:sqref>
        </x14:conditionalFormatting>
        <x14:conditionalFormatting xmlns:xm="http://schemas.microsoft.com/office/excel/2006/main">
          <x14:cfRule type="expression" priority="70" id="{BE4981ED-84F1-47B4-B6E0-38416640E902}">
            <xm:f>L392&lt;Lists!$Q$2</xm:f>
            <x14:dxf>
              <font>
                <color rgb="FF006100"/>
              </font>
              <fill>
                <patternFill>
                  <bgColor rgb="FFC6EFCE"/>
                </patternFill>
              </fill>
            </x14:dxf>
          </x14:cfRule>
          <xm:sqref>L392:L394</xm:sqref>
        </x14:conditionalFormatting>
        <x14:conditionalFormatting xmlns:xm="http://schemas.microsoft.com/office/excel/2006/main">
          <x14:cfRule type="expression" priority="68" id="{C7E5750C-BA71-408D-A819-135697385AF3}">
            <xm:f>L391=Lists!$Q$2</xm:f>
            <x14:dxf>
              <font>
                <color rgb="FF006100"/>
              </font>
              <fill>
                <patternFill>
                  <bgColor rgb="FFC6EFCE"/>
                </patternFill>
              </fill>
            </x14:dxf>
          </x14:cfRule>
          <x14:cfRule type="expression" priority="69" id="{B9F2464F-B16B-4B9E-ADBE-4FA6096828A7}">
            <xm:f>L391&gt;Lists!$Q$2</xm:f>
            <x14:dxf>
              <font>
                <color rgb="FF9C0006"/>
              </font>
              <fill>
                <patternFill>
                  <bgColor rgb="FFFFC7CE"/>
                </patternFill>
              </fill>
            </x14:dxf>
          </x14:cfRule>
          <xm:sqref>L391</xm:sqref>
        </x14:conditionalFormatting>
        <x14:conditionalFormatting xmlns:xm="http://schemas.microsoft.com/office/excel/2006/main">
          <x14:cfRule type="expression" priority="67" id="{C83B89DA-2799-4F42-B66E-C9BEFCC7AE82}">
            <xm:f>L391&gt;Lists!$Q$2</xm:f>
            <x14:dxf>
              <font>
                <color rgb="FF9C0006"/>
              </font>
              <fill>
                <patternFill>
                  <bgColor rgb="FFFFC7CE"/>
                </patternFill>
              </fill>
            </x14:dxf>
          </x14:cfRule>
          <xm:sqref>M391</xm:sqref>
        </x14:conditionalFormatting>
        <x14:conditionalFormatting xmlns:xm="http://schemas.microsoft.com/office/excel/2006/main">
          <x14:cfRule type="expression" priority="65" id="{F9EA6964-A3AE-4AF2-B96B-29949F02CFF0}">
            <xm:f>L391=Lists!$Q$2</xm:f>
            <x14:dxf>
              <font>
                <color rgb="FF006100"/>
              </font>
              <fill>
                <patternFill>
                  <bgColor rgb="FFC6EFCE"/>
                </patternFill>
              </fill>
            </x14:dxf>
          </x14:cfRule>
          <x14:cfRule type="expression" priority="66" id="{4A000696-B0FF-421F-B36E-09FBED9F1FCB}">
            <xm:f>L391&lt;Lists!$Q$2</xm:f>
            <x14:dxf>
              <font>
                <color rgb="FF006100"/>
              </font>
              <fill>
                <patternFill>
                  <bgColor rgb="FFC6EFCE"/>
                </patternFill>
              </fill>
            </x14:dxf>
          </x14:cfRule>
          <xm:sqref>M391</xm:sqref>
        </x14:conditionalFormatting>
        <x14:conditionalFormatting xmlns:xm="http://schemas.microsoft.com/office/excel/2006/main">
          <x14:cfRule type="expression" priority="64" id="{7913B170-2127-4B69-ACCD-32534653BE26}">
            <xm:f>L391&lt;Lists!$Q$2</xm:f>
            <x14:dxf>
              <font>
                <color rgb="FF006100"/>
              </font>
              <fill>
                <patternFill>
                  <bgColor rgb="FFC6EFCE"/>
                </patternFill>
              </fill>
            </x14:dxf>
          </x14:cfRule>
          <xm:sqref>L391</xm:sqref>
        </x14:conditionalFormatting>
        <x14:conditionalFormatting xmlns:xm="http://schemas.microsoft.com/office/excel/2006/main">
          <x14:cfRule type="expression" priority="62" id="{29846B16-65AC-4243-8173-0380F182A386}">
            <xm:f>L391=Lists!$Q$2</xm:f>
            <x14:dxf>
              <font>
                <color rgb="FF006100"/>
              </font>
              <fill>
                <patternFill>
                  <bgColor rgb="FFC6EFCE"/>
                </patternFill>
              </fill>
            </x14:dxf>
          </x14:cfRule>
          <x14:cfRule type="expression" priority="63" id="{B82C157E-6E44-4985-8799-DAC722A84F6D}">
            <xm:f>L391&gt;Lists!$Q$2</xm:f>
            <x14:dxf>
              <font>
                <color rgb="FF9C0006"/>
              </font>
              <fill>
                <patternFill>
                  <bgColor rgb="FFFFC7CE"/>
                </patternFill>
              </fill>
            </x14:dxf>
          </x14:cfRule>
          <xm:sqref>L391</xm:sqref>
        </x14:conditionalFormatting>
        <x14:conditionalFormatting xmlns:xm="http://schemas.microsoft.com/office/excel/2006/main">
          <x14:cfRule type="expression" priority="61" id="{98AFCC61-D5EA-462F-BC2F-C9CA3C4B3898}">
            <xm:f>L391&lt;Lists!$Q$2</xm:f>
            <x14:dxf>
              <font>
                <color rgb="FF006100"/>
              </font>
              <fill>
                <patternFill>
                  <bgColor rgb="FFC6EFCE"/>
                </patternFill>
              </fill>
            </x14:dxf>
          </x14:cfRule>
          <xm:sqref>L391</xm:sqref>
        </x14:conditionalFormatting>
        <x14:conditionalFormatting xmlns:xm="http://schemas.microsoft.com/office/excel/2006/main">
          <x14:cfRule type="expression" priority="59" id="{8103BBE7-AA8B-4E73-ADE1-1742B6448680}">
            <xm:f>L397=Lists!$Q$2</xm:f>
            <x14:dxf>
              <font>
                <color rgb="FF006100"/>
              </font>
              <fill>
                <patternFill>
                  <bgColor rgb="FFC6EFCE"/>
                </patternFill>
              </fill>
            </x14:dxf>
          </x14:cfRule>
          <x14:cfRule type="expression" priority="60" id="{B171EFEE-B008-4C62-A64E-5753E036E377}">
            <xm:f>L397&gt;Lists!$Q$2</xm:f>
            <x14:dxf>
              <font>
                <color rgb="FF9C0006"/>
              </font>
              <fill>
                <patternFill>
                  <bgColor rgb="FFFFC7CE"/>
                </patternFill>
              </fill>
            </x14:dxf>
          </x14:cfRule>
          <xm:sqref>L397</xm:sqref>
        </x14:conditionalFormatting>
        <x14:conditionalFormatting xmlns:xm="http://schemas.microsoft.com/office/excel/2006/main">
          <x14:cfRule type="expression" priority="58" id="{7ED731E3-ED61-42E3-8B0C-8A08E00BAC6D}">
            <xm:f>L397&gt;Lists!$Q$2</xm:f>
            <x14:dxf>
              <font>
                <color rgb="FF9C0006"/>
              </font>
              <fill>
                <patternFill>
                  <bgColor rgb="FFFFC7CE"/>
                </patternFill>
              </fill>
            </x14:dxf>
          </x14:cfRule>
          <xm:sqref>M397</xm:sqref>
        </x14:conditionalFormatting>
        <x14:conditionalFormatting xmlns:xm="http://schemas.microsoft.com/office/excel/2006/main">
          <x14:cfRule type="expression" priority="56" id="{B5AA700F-CC91-4958-B425-165A1340AE6B}">
            <xm:f>L397=Lists!$Q$2</xm:f>
            <x14:dxf>
              <font>
                <color rgb="FF006100"/>
              </font>
              <fill>
                <patternFill>
                  <bgColor rgb="FFC6EFCE"/>
                </patternFill>
              </fill>
            </x14:dxf>
          </x14:cfRule>
          <x14:cfRule type="expression" priority="57" id="{4C91549D-89AD-479A-9DDB-5CD9E91FBD70}">
            <xm:f>L397&lt;Lists!$Q$2</xm:f>
            <x14:dxf>
              <font>
                <color rgb="FF006100"/>
              </font>
              <fill>
                <patternFill>
                  <bgColor rgb="FFC6EFCE"/>
                </patternFill>
              </fill>
            </x14:dxf>
          </x14:cfRule>
          <xm:sqref>M397</xm:sqref>
        </x14:conditionalFormatting>
        <x14:conditionalFormatting xmlns:xm="http://schemas.microsoft.com/office/excel/2006/main">
          <x14:cfRule type="expression" priority="55" id="{6B27FF73-B083-4580-B2F8-3470F59A94FD}">
            <xm:f>L397&lt;Lists!$Q$2</xm:f>
            <x14:dxf>
              <font>
                <color rgb="FF006100"/>
              </font>
              <fill>
                <patternFill>
                  <bgColor rgb="FFC6EFCE"/>
                </patternFill>
              </fill>
            </x14:dxf>
          </x14:cfRule>
          <xm:sqref>L397</xm:sqref>
        </x14:conditionalFormatting>
        <x14:conditionalFormatting xmlns:xm="http://schemas.microsoft.com/office/excel/2006/main">
          <x14:cfRule type="expression" priority="53" id="{A917F69A-F759-4C50-B179-616029F5A90D}">
            <xm:f>L395=Lists!$Q$2</xm:f>
            <x14:dxf>
              <font>
                <color rgb="FF006100"/>
              </font>
              <fill>
                <patternFill>
                  <bgColor rgb="FFC6EFCE"/>
                </patternFill>
              </fill>
            </x14:dxf>
          </x14:cfRule>
          <x14:cfRule type="expression" priority="54" id="{4920ABBC-C6B3-46A2-9E9B-5E6C1D4A9682}">
            <xm:f>L395&gt;Lists!$Q$2</xm:f>
            <x14:dxf>
              <font>
                <color rgb="FF9C0006"/>
              </font>
              <fill>
                <patternFill>
                  <bgColor rgb="FFFFC7CE"/>
                </patternFill>
              </fill>
            </x14:dxf>
          </x14:cfRule>
          <xm:sqref>L395</xm:sqref>
        </x14:conditionalFormatting>
        <x14:conditionalFormatting xmlns:xm="http://schemas.microsoft.com/office/excel/2006/main">
          <x14:cfRule type="expression" priority="52" id="{053E82E2-8565-4DA5-A141-5314BA2F17F9}">
            <xm:f>L395&gt;Lists!$Q$2</xm:f>
            <x14:dxf>
              <font>
                <color rgb="FF9C0006"/>
              </font>
              <fill>
                <patternFill>
                  <bgColor rgb="FFFFC7CE"/>
                </patternFill>
              </fill>
            </x14:dxf>
          </x14:cfRule>
          <xm:sqref>M395</xm:sqref>
        </x14:conditionalFormatting>
        <x14:conditionalFormatting xmlns:xm="http://schemas.microsoft.com/office/excel/2006/main">
          <x14:cfRule type="expression" priority="50" id="{C719121C-AA4C-41CF-9190-17E9484C5CA1}">
            <xm:f>L395=Lists!$Q$2</xm:f>
            <x14:dxf>
              <font>
                <color rgb="FF006100"/>
              </font>
              <fill>
                <patternFill>
                  <bgColor rgb="FFC6EFCE"/>
                </patternFill>
              </fill>
            </x14:dxf>
          </x14:cfRule>
          <x14:cfRule type="expression" priority="51" id="{0BC5FFE1-176E-4956-AC8A-5719D703A851}">
            <xm:f>L395&lt;Lists!$Q$2</xm:f>
            <x14:dxf>
              <font>
                <color rgb="FF006100"/>
              </font>
              <fill>
                <patternFill>
                  <bgColor rgb="FFC6EFCE"/>
                </patternFill>
              </fill>
            </x14:dxf>
          </x14:cfRule>
          <xm:sqref>M395</xm:sqref>
        </x14:conditionalFormatting>
        <x14:conditionalFormatting xmlns:xm="http://schemas.microsoft.com/office/excel/2006/main">
          <x14:cfRule type="expression" priority="49" id="{FAA27409-7AE5-4A51-A2D1-5A65C71E81B7}">
            <xm:f>L395&lt;Lists!$Q$2</xm:f>
            <x14:dxf>
              <font>
                <color rgb="FF006100"/>
              </font>
              <fill>
                <patternFill>
                  <bgColor rgb="FFC6EFCE"/>
                </patternFill>
              </fill>
            </x14:dxf>
          </x14:cfRule>
          <xm:sqref>L395</xm:sqref>
        </x14:conditionalFormatting>
        <x14:conditionalFormatting xmlns:xm="http://schemas.microsoft.com/office/excel/2006/main">
          <x14:cfRule type="expression" priority="47" id="{7AC2E12C-D4EE-4AEC-BFA9-A016082EFC21}">
            <xm:f>L413=Lists!$Q$2</xm:f>
            <x14:dxf>
              <font>
                <color rgb="FF006100"/>
              </font>
              <fill>
                <patternFill>
                  <bgColor rgb="FFC6EFCE"/>
                </patternFill>
              </fill>
            </x14:dxf>
          </x14:cfRule>
          <x14:cfRule type="expression" priority="48" id="{73B35B1A-B475-48C5-BB77-82740924DE37}">
            <xm:f>L413&gt;Lists!$Q$2</xm:f>
            <x14:dxf>
              <font>
                <color rgb="FF9C0006"/>
              </font>
              <fill>
                <patternFill>
                  <bgColor rgb="FFFFC7CE"/>
                </patternFill>
              </fill>
            </x14:dxf>
          </x14:cfRule>
          <xm:sqref>L413</xm:sqref>
        </x14:conditionalFormatting>
        <x14:conditionalFormatting xmlns:xm="http://schemas.microsoft.com/office/excel/2006/main">
          <x14:cfRule type="expression" priority="46" id="{5BCD1BD1-116D-486B-8AA2-492DF57599EC}">
            <xm:f>L413&gt;Lists!$Q$2</xm:f>
            <x14:dxf>
              <font>
                <color rgb="FF9C0006"/>
              </font>
              <fill>
                <patternFill>
                  <bgColor rgb="FFFFC7CE"/>
                </patternFill>
              </fill>
            </x14:dxf>
          </x14:cfRule>
          <xm:sqref>M413</xm:sqref>
        </x14:conditionalFormatting>
        <x14:conditionalFormatting xmlns:xm="http://schemas.microsoft.com/office/excel/2006/main">
          <x14:cfRule type="expression" priority="44" id="{797E058F-CA6D-43A6-815C-8403BD323F62}">
            <xm:f>L413=Lists!$Q$2</xm:f>
            <x14:dxf>
              <font>
                <color rgb="FF006100"/>
              </font>
              <fill>
                <patternFill>
                  <bgColor rgb="FFC6EFCE"/>
                </patternFill>
              </fill>
            </x14:dxf>
          </x14:cfRule>
          <x14:cfRule type="expression" priority="45" id="{D7785A37-53B3-4709-A422-8CA748D24309}">
            <xm:f>L413&lt;Lists!$Q$2</xm:f>
            <x14:dxf>
              <font>
                <color rgb="FF006100"/>
              </font>
              <fill>
                <patternFill>
                  <bgColor rgb="FFC6EFCE"/>
                </patternFill>
              </fill>
            </x14:dxf>
          </x14:cfRule>
          <xm:sqref>M413</xm:sqref>
        </x14:conditionalFormatting>
        <x14:conditionalFormatting xmlns:xm="http://schemas.microsoft.com/office/excel/2006/main">
          <x14:cfRule type="expression" priority="43" id="{AEAF87C2-F585-4A3B-B6E9-C413630E2155}">
            <xm:f>L413&lt;Lists!$Q$2</xm:f>
            <x14:dxf>
              <font>
                <color rgb="FF006100"/>
              </font>
              <fill>
                <patternFill>
                  <bgColor rgb="FFC6EFCE"/>
                </patternFill>
              </fill>
            </x14:dxf>
          </x14:cfRule>
          <xm:sqref>L413</xm:sqref>
        </x14:conditionalFormatting>
        <x14:conditionalFormatting xmlns:xm="http://schemas.microsoft.com/office/excel/2006/main">
          <x14:cfRule type="expression" priority="41" id="{D692FB78-DBFD-493B-86BA-D5A8596750CB}">
            <xm:f>L420=Lists!$Q$2</xm:f>
            <x14:dxf>
              <font>
                <color rgb="FF006100"/>
              </font>
              <fill>
                <patternFill>
                  <bgColor rgb="FFC6EFCE"/>
                </patternFill>
              </fill>
            </x14:dxf>
          </x14:cfRule>
          <x14:cfRule type="expression" priority="42" id="{4A94D397-1000-4092-9664-5BFC1629F954}">
            <xm:f>L420&gt;Lists!$Q$2</xm:f>
            <x14:dxf>
              <font>
                <color rgb="FF9C0006"/>
              </font>
              <fill>
                <patternFill>
                  <bgColor rgb="FFFFC7CE"/>
                </patternFill>
              </fill>
            </x14:dxf>
          </x14:cfRule>
          <xm:sqref>L420</xm:sqref>
        </x14:conditionalFormatting>
        <x14:conditionalFormatting xmlns:xm="http://schemas.microsoft.com/office/excel/2006/main">
          <x14:cfRule type="expression" priority="40" id="{20AD22C4-667C-429B-AF96-A286A44E319D}">
            <xm:f>L420&gt;Lists!$Q$2</xm:f>
            <x14:dxf>
              <font>
                <color rgb="FF9C0006"/>
              </font>
              <fill>
                <patternFill>
                  <bgColor rgb="FFFFC7CE"/>
                </patternFill>
              </fill>
            </x14:dxf>
          </x14:cfRule>
          <xm:sqref>M420</xm:sqref>
        </x14:conditionalFormatting>
        <x14:conditionalFormatting xmlns:xm="http://schemas.microsoft.com/office/excel/2006/main">
          <x14:cfRule type="expression" priority="38" id="{F57520A8-2ED9-453F-99B6-A5382FD3E51A}">
            <xm:f>L420=Lists!$Q$2</xm:f>
            <x14:dxf>
              <font>
                <color rgb="FF006100"/>
              </font>
              <fill>
                <patternFill>
                  <bgColor rgb="FFC6EFCE"/>
                </patternFill>
              </fill>
            </x14:dxf>
          </x14:cfRule>
          <x14:cfRule type="expression" priority="39" id="{E5597E79-F215-431E-A349-439122057929}">
            <xm:f>L420&lt;Lists!$Q$2</xm:f>
            <x14:dxf>
              <font>
                <color rgb="FF006100"/>
              </font>
              <fill>
                <patternFill>
                  <bgColor rgb="FFC6EFCE"/>
                </patternFill>
              </fill>
            </x14:dxf>
          </x14:cfRule>
          <xm:sqref>M420</xm:sqref>
        </x14:conditionalFormatting>
        <x14:conditionalFormatting xmlns:xm="http://schemas.microsoft.com/office/excel/2006/main">
          <x14:cfRule type="expression" priority="37" id="{A6107694-0C58-4273-8D98-759AA7F06814}">
            <xm:f>L420&lt;Lists!$Q$2</xm:f>
            <x14:dxf>
              <font>
                <color rgb="FF006100"/>
              </font>
              <fill>
                <patternFill>
                  <bgColor rgb="FFC6EFCE"/>
                </patternFill>
              </fill>
            </x14:dxf>
          </x14:cfRule>
          <xm:sqref>L420</xm:sqref>
        </x14:conditionalFormatting>
        <x14:conditionalFormatting xmlns:xm="http://schemas.microsoft.com/office/excel/2006/main">
          <x14:cfRule type="expression" priority="35" id="{4932727B-D476-4EDC-B08C-0BBBA1800BF6}">
            <xm:f>L422=Lists!$Q$2</xm:f>
            <x14:dxf>
              <font>
                <color rgb="FF006100"/>
              </font>
              <fill>
                <patternFill>
                  <bgColor rgb="FFC6EFCE"/>
                </patternFill>
              </fill>
            </x14:dxf>
          </x14:cfRule>
          <x14:cfRule type="expression" priority="36" id="{00D8DBEC-5D85-4A33-8A2D-8BD214AF70B5}">
            <xm:f>L422&gt;Lists!$Q$2</xm:f>
            <x14:dxf>
              <font>
                <color rgb="FF9C0006"/>
              </font>
              <fill>
                <patternFill>
                  <bgColor rgb="FFFFC7CE"/>
                </patternFill>
              </fill>
            </x14:dxf>
          </x14:cfRule>
          <xm:sqref>L422</xm:sqref>
        </x14:conditionalFormatting>
        <x14:conditionalFormatting xmlns:xm="http://schemas.microsoft.com/office/excel/2006/main">
          <x14:cfRule type="expression" priority="34" id="{192F601E-4B54-4C89-85C0-CB571FC73596}">
            <xm:f>L422&gt;Lists!$Q$2</xm:f>
            <x14:dxf>
              <font>
                <color rgb="FF9C0006"/>
              </font>
              <fill>
                <patternFill>
                  <bgColor rgb="FFFFC7CE"/>
                </patternFill>
              </fill>
            </x14:dxf>
          </x14:cfRule>
          <xm:sqref>M422</xm:sqref>
        </x14:conditionalFormatting>
        <x14:conditionalFormatting xmlns:xm="http://schemas.microsoft.com/office/excel/2006/main">
          <x14:cfRule type="expression" priority="32" id="{BA83EEFE-E700-4262-A887-45A90074178E}">
            <xm:f>L422=Lists!$Q$2</xm:f>
            <x14:dxf>
              <font>
                <color rgb="FF006100"/>
              </font>
              <fill>
                <patternFill>
                  <bgColor rgb="FFC6EFCE"/>
                </patternFill>
              </fill>
            </x14:dxf>
          </x14:cfRule>
          <x14:cfRule type="expression" priority="33" id="{FE3D36AC-400C-4605-BE76-F91AE158D035}">
            <xm:f>L422&lt;Lists!$Q$2</xm:f>
            <x14:dxf>
              <font>
                <color rgb="FF006100"/>
              </font>
              <fill>
                <patternFill>
                  <bgColor rgb="FFC6EFCE"/>
                </patternFill>
              </fill>
            </x14:dxf>
          </x14:cfRule>
          <xm:sqref>M422</xm:sqref>
        </x14:conditionalFormatting>
        <x14:conditionalFormatting xmlns:xm="http://schemas.microsoft.com/office/excel/2006/main">
          <x14:cfRule type="expression" priority="31" id="{9BAF953A-E919-47D0-8D33-C67FC480B0C9}">
            <xm:f>L422&lt;Lists!$Q$2</xm:f>
            <x14:dxf>
              <font>
                <color rgb="FF006100"/>
              </font>
              <fill>
                <patternFill>
                  <bgColor rgb="FFC6EFCE"/>
                </patternFill>
              </fill>
            </x14:dxf>
          </x14:cfRule>
          <xm:sqref>L422</xm:sqref>
        </x14:conditionalFormatting>
        <x14:conditionalFormatting xmlns:xm="http://schemas.microsoft.com/office/excel/2006/main">
          <x14:cfRule type="expression" priority="29" id="{A80F5024-0E19-4DAD-9B46-A0F5B27BCABB}">
            <xm:f>L424=Lists!$Q$2</xm:f>
            <x14:dxf>
              <font>
                <color rgb="FF006100"/>
              </font>
              <fill>
                <patternFill>
                  <bgColor rgb="FFC6EFCE"/>
                </patternFill>
              </fill>
            </x14:dxf>
          </x14:cfRule>
          <x14:cfRule type="expression" priority="30" id="{EA19C791-41FD-4A03-BCE0-A93717DAB959}">
            <xm:f>L424&gt;Lists!$Q$2</xm:f>
            <x14:dxf>
              <font>
                <color rgb="FF9C0006"/>
              </font>
              <fill>
                <patternFill>
                  <bgColor rgb="FFFFC7CE"/>
                </patternFill>
              </fill>
            </x14:dxf>
          </x14:cfRule>
          <xm:sqref>L424</xm:sqref>
        </x14:conditionalFormatting>
        <x14:conditionalFormatting xmlns:xm="http://schemas.microsoft.com/office/excel/2006/main">
          <x14:cfRule type="expression" priority="28" id="{4DD71E29-097B-4392-BB34-56E7E802C869}">
            <xm:f>L424&gt;Lists!$Q$2</xm:f>
            <x14:dxf>
              <font>
                <color rgb="FF9C0006"/>
              </font>
              <fill>
                <patternFill>
                  <bgColor rgb="FFFFC7CE"/>
                </patternFill>
              </fill>
            </x14:dxf>
          </x14:cfRule>
          <xm:sqref>M424</xm:sqref>
        </x14:conditionalFormatting>
        <x14:conditionalFormatting xmlns:xm="http://schemas.microsoft.com/office/excel/2006/main">
          <x14:cfRule type="expression" priority="26" id="{F8A738BF-3CF3-45AF-B4ED-0044A08CD7F5}">
            <xm:f>L424=Lists!$Q$2</xm:f>
            <x14:dxf>
              <font>
                <color rgb="FF006100"/>
              </font>
              <fill>
                <patternFill>
                  <bgColor rgb="FFC6EFCE"/>
                </patternFill>
              </fill>
            </x14:dxf>
          </x14:cfRule>
          <x14:cfRule type="expression" priority="27" id="{226D83C4-8DA8-4143-9488-E046C6A9640A}">
            <xm:f>L424&lt;Lists!$Q$2</xm:f>
            <x14:dxf>
              <font>
                <color rgb="FF006100"/>
              </font>
              <fill>
                <patternFill>
                  <bgColor rgb="FFC6EFCE"/>
                </patternFill>
              </fill>
            </x14:dxf>
          </x14:cfRule>
          <xm:sqref>M424</xm:sqref>
        </x14:conditionalFormatting>
        <x14:conditionalFormatting xmlns:xm="http://schemas.microsoft.com/office/excel/2006/main">
          <x14:cfRule type="expression" priority="25" id="{5F0611C6-7258-48E6-ADD2-9AB3A0D4DC90}">
            <xm:f>L424&lt;Lists!$Q$2</xm:f>
            <x14:dxf>
              <font>
                <color rgb="FF006100"/>
              </font>
              <fill>
                <patternFill>
                  <bgColor rgb="FFC6EFCE"/>
                </patternFill>
              </fill>
            </x14:dxf>
          </x14:cfRule>
          <xm:sqref>L424</xm:sqref>
        </x14:conditionalFormatting>
        <x14:conditionalFormatting xmlns:xm="http://schemas.microsoft.com/office/excel/2006/main">
          <x14:cfRule type="expression" priority="23" id="{A01E14EB-1FE1-4889-8E04-3E701C82AA2F}">
            <xm:f>L456=Lists!$Q$2</xm:f>
            <x14:dxf>
              <font>
                <color rgb="FF006100"/>
              </font>
              <fill>
                <patternFill>
                  <bgColor rgb="FFC6EFCE"/>
                </patternFill>
              </fill>
            </x14:dxf>
          </x14:cfRule>
          <x14:cfRule type="expression" priority="24" id="{DB656BCE-D3EC-49DE-850F-B8D466732E23}">
            <xm:f>L456&gt;Lists!$Q$2</xm:f>
            <x14:dxf>
              <font>
                <color rgb="FF9C0006"/>
              </font>
              <fill>
                <patternFill>
                  <bgColor rgb="FFFFC7CE"/>
                </patternFill>
              </fill>
            </x14:dxf>
          </x14:cfRule>
          <xm:sqref>L456</xm:sqref>
        </x14:conditionalFormatting>
        <x14:conditionalFormatting xmlns:xm="http://schemas.microsoft.com/office/excel/2006/main">
          <x14:cfRule type="expression" priority="22" id="{5913E5E0-69A9-4492-851C-4C5B3F3D96D4}">
            <xm:f>L456&gt;Lists!$Q$2</xm:f>
            <x14:dxf>
              <font>
                <color rgb="FF9C0006"/>
              </font>
              <fill>
                <patternFill>
                  <bgColor rgb="FFFFC7CE"/>
                </patternFill>
              </fill>
            </x14:dxf>
          </x14:cfRule>
          <xm:sqref>M456</xm:sqref>
        </x14:conditionalFormatting>
        <x14:conditionalFormatting xmlns:xm="http://schemas.microsoft.com/office/excel/2006/main">
          <x14:cfRule type="expression" priority="20" id="{6A3A93AF-7EA7-4C66-A7DF-013A9B72E3F4}">
            <xm:f>L456=Lists!$Q$2</xm:f>
            <x14:dxf>
              <font>
                <color rgb="FF006100"/>
              </font>
              <fill>
                <patternFill>
                  <bgColor rgb="FFC6EFCE"/>
                </patternFill>
              </fill>
            </x14:dxf>
          </x14:cfRule>
          <x14:cfRule type="expression" priority="21" id="{DC521CD0-8321-407A-A42E-C021F48A49F0}">
            <xm:f>L456&lt;Lists!$Q$2</xm:f>
            <x14:dxf>
              <font>
                <color rgb="FF006100"/>
              </font>
              <fill>
                <patternFill>
                  <bgColor rgb="FFC6EFCE"/>
                </patternFill>
              </fill>
            </x14:dxf>
          </x14:cfRule>
          <xm:sqref>M456</xm:sqref>
        </x14:conditionalFormatting>
        <x14:conditionalFormatting xmlns:xm="http://schemas.microsoft.com/office/excel/2006/main">
          <x14:cfRule type="expression" priority="19" id="{32BF6D51-97D5-4233-BC14-FD8E2BB35F35}">
            <xm:f>L456&lt;Lists!$Q$2</xm:f>
            <x14:dxf>
              <font>
                <color rgb="FF006100"/>
              </font>
              <fill>
                <patternFill>
                  <bgColor rgb="FFC6EFCE"/>
                </patternFill>
              </fill>
            </x14:dxf>
          </x14:cfRule>
          <xm:sqref>L456</xm:sqref>
        </x14:conditionalFormatting>
        <x14:conditionalFormatting xmlns:xm="http://schemas.microsoft.com/office/excel/2006/main">
          <x14:cfRule type="expression" priority="5" id="{F553A8C2-8B6E-4267-AA3B-2FC4C03C1B4B}">
            <xm:f>L483=Lists!$Q$2</xm:f>
            <x14:dxf>
              <font>
                <color rgb="FF006100"/>
              </font>
              <fill>
                <patternFill>
                  <bgColor rgb="FFC6EFCE"/>
                </patternFill>
              </fill>
            </x14:dxf>
          </x14:cfRule>
          <x14:cfRule type="expression" priority="6" id="{9A85B6D8-B089-4A09-8BC5-5EADD37254F1}">
            <xm:f>L483&gt;Lists!$Q$2</xm:f>
            <x14:dxf>
              <font>
                <color rgb="FF9C0006"/>
              </font>
              <fill>
                <patternFill>
                  <bgColor rgb="FFFFC7CE"/>
                </patternFill>
              </fill>
            </x14:dxf>
          </x14:cfRule>
          <xm:sqref>L483</xm:sqref>
        </x14:conditionalFormatting>
        <x14:conditionalFormatting xmlns:xm="http://schemas.microsoft.com/office/excel/2006/main">
          <x14:cfRule type="expression" priority="4" id="{2EB37288-6EBD-471B-B9E8-E06A2F5E13AF}">
            <xm:f>L483&gt;Lists!$Q$2</xm:f>
            <x14:dxf>
              <font>
                <color rgb="FF9C0006"/>
              </font>
              <fill>
                <patternFill>
                  <bgColor rgb="FFFFC7CE"/>
                </patternFill>
              </fill>
            </x14:dxf>
          </x14:cfRule>
          <xm:sqref>M483</xm:sqref>
        </x14:conditionalFormatting>
        <x14:conditionalFormatting xmlns:xm="http://schemas.microsoft.com/office/excel/2006/main">
          <x14:cfRule type="expression" priority="2" id="{566F31B0-9412-494B-A7CC-3B797F6D38CA}">
            <xm:f>L483=Lists!$Q$2</xm:f>
            <x14:dxf>
              <font>
                <color rgb="FF006100"/>
              </font>
              <fill>
                <patternFill>
                  <bgColor rgb="FFC6EFCE"/>
                </patternFill>
              </fill>
            </x14:dxf>
          </x14:cfRule>
          <x14:cfRule type="expression" priority="3" id="{F7D16B3F-B6E3-47F3-9B48-070562ECF1EB}">
            <xm:f>L483&lt;Lists!$Q$2</xm:f>
            <x14:dxf>
              <font>
                <color rgb="FF006100"/>
              </font>
              <fill>
                <patternFill>
                  <bgColor rgb="FFC6EFCE"/>
                </patternFill>
              </fill>
            </x14:dxf>
          </x14:cfRule>
          <xm:sqref>M483</xm:sqref>
        </x14:conditionalFormatting>
        <x14:conditionalFormatting xmlns:xm="http://schemas.microsoft.com/office/excel/2006/main">
          <x14:cfRule type="expression" priority="1" id="{2EFB47EB-08E2-4FE8-9B09-16633F89B061}">
            <xm:f>L483&lt;Lists!$Q$2</xm:f>
            <x14:dxf>
              <font>
                <color rgb="FF006100"/>
              </font>
              <fill>
                <patternFill>
                  <bgColor rgb="FFC6EFCE"/>
                </patternFill>
              </fill>
            </x14:dxf>
          </x14:cfRule>
          <xm:sqref>L483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5387067-8E0D-4B0A-86CD-F0A6470BFB89}">
          <x14:formula1>
            <xm:f>Lists!$C$2:$C$52</xm:f>
          </x14:formula1>
          <xm:sqref>F2:F357 F359:F1353</xm:sqref>
        </x14:dataValidation>
        <x14:dataValidation type="list" allowBlank="1" showInputMessage="1" showErrorMessage="1" xr:uid="{A4125676-DD12-47E3-A285-2748E2CD6F13}">
          <x14:formula1>
            <xm:f>Lists!$A$2:$A$52</xm:f>
          </x14:formula1>
          <xm:sqref>C2:C1344</xm:sqref>
        </x14:dataValidation>
        <x14:dataValidation type="list" allowBlank="1" showInputMessage="1" showErrorMessage="1" xr:uid="{96DB11A3-1BE5-4CE9-9E1A-95F6EBFD054B}">
          <x14:formula1>
            <xm:f>Lists!$B$2:$B$52</xm:f>
          </x14:formula1>
          <xm:sqref>E2:E1626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444A-26F6-4177-A4A1-B7780A5689AD}">
  <sheetPr>
    <tabColor rgb="FFFFFF99"/>
  </sheetPr>
  <dimension ref="A1:J700"/>
  <sheetViews>
    <sheetView workbookViewId="0">
      <selection activeCell="G522" sqref="G522"/>
    </sheetView>
  </sheetViews>
  <sheetFormatPr defaultRowHeight="15" x14ac:dyDescent="0.25"/>
  <cols>
    <col min="1" max="1" width="9.7109375" style="23" bestFit="1" customWidth="1"/>
    <col min="2" max="2" width="10.85546875" style="19" bestFit="1" customWidth="1"/>
    <col min="3" max="3" width="9.5703125" style="19" bestFit="1" customWidth="1"/>
    <col min="4" max="4" width="15.85546875" style="20" bestFit="1" customWidth="1"/>
    <col min="5" max="5" width="10.85546875" style="2" bestFit="1" customWidth="1"/>
    <col min="6" max="6" width="10.5703125" style="2" bestFit="1" customWidth="1"/>
    <col min="7" max="7" width="16.5703125" style="33" bestFit="1" customWidth="1"/>
    <col min="8" max="8" width="21.42578125" style="2" bestFit="1" customWidth="1"/>
  </cols>
  <sheetData>
    <row r="1" spans="1:10" s="21" customFormat="1" x14ac:dyDescent="0.25">
      <c r="A1" s="24" t="s">
        <v>0</v>
      </c>
      <c r="B1" s="21" t="s">
        <v>1</v>
      </c>
      <c r="C1" s="21" t="s">
        <v>65</v>
      </c>
      <c r="D1" s="22" t="s">
        <v>46</v>
      </c>
      <c r="E1" s="21" t="s">
        <v>47</v>
      </c>
      <c r="F1" s="21" t="s">
        <v>62</v>
      </c>
      <c r="G1" s="34" t="s">
        <v>63</v>
      </c>
      <c r="H1" s="21" t="s">
        <v>186</v>
      </c>
    </row>
    <row r="2" spans="1:10" x14ac:dyDescent="0.25">
      <c r="A2" s="1">
        <v>43832</v>
      </c>
      <c r="B2" s="2" t="s">
        <v>24</v>
      </c>
      <c r="C2" t="str">
        <f>CONCATENATE(A2," - ",B2)</f>
        <v>43832 - 3S</v>
      </c>
      <c r="D2" s="6">
        <f>IFERROR((VLOOKUP(C2,'Daily Scrap by Shift'!$A:$D,2,0)),0)</f>
        <v>0</v>
      </c>
      <c r="E2" s="6">
        <f>IFERROR((VLOOKUP(C2,'Daily Scrap by Shift'!$A:$D,3,0)),0)</f>
        <v>30</v>
      </c>
      <c r="F2" s="6">
        <f>IFERROR((VLOOKUP(C2,'Daily Scrap by Shift'!$A:$D,4,0)),0)</f>
        <v>0</v>
      </c>
      <c r="H2" s="3" t="e">
        <f>(F2-G2)/G2</f>
        <v>#DIV/0!</v>
      </c>
    </row>
    <row r="3" spans="1:10" x14ac:dyDescent="0.25">
      <c r="A3" s="1">
        <v>43832</v>
      </c>
      <c r="B3" s="2" t="s">
        <v>25</v>
      </c>
      <c r="C3" t="str">
        <f t="shared" ref="C3:C66" si="0">CONCATENATE(A3," - ",B3)</f>
        <v>43832 - 1S</v>
      </c>
      <c r="D3" s="6">
        <f>IFERROR((VLOOKUP(C3,'Daily Scrap by Shift'!$A:$D,2,0)),0)</f>
        <v>10414.200000000001</v>
      </c>
      <c r="E3" s="6">
        <f>IFERROR((VLOOKUP(C3,'Daily Scrap by Shift'!$A:$D,3,0)),0)</f>
        <v>709</v>
      </c>
      <c r="F3" s="6">
        <f>IFERROR((VLOOKUP(C3,'Daily Scrap by Shift'!$A:$D,4,0)),0)</f>
        <v>1363.380676</v>
      </c>
      <c r="G3" s="33">
        <v>795</v>
      </c>
      <c r="H3" s="3">
        <f t="shared" ref="H3:H66" si="1">(F3-G3)/G3</f>
        <v>0.71494424654088051</v>
      </c>
    </row>
    <row r="4" spans="1:10" x14ac:dyDescent="0.25">
      <c r="A4" s="1">
        <v>43832</v>
      </c>
      <c r="B4" s="2" t="s">
        <v>26</v>
      </c>
      <c r="C4" t="str">
        <f t="shared" si="0"/>
        <v>43832 - 2S</v>
      </c>
      <c r="D4" s="6">
        <f>IFERROR((VLOOKUP(C4,'Daily Scrap by Shift'!$A:$D,2,0)),0)</f>
        <v>15542.720000000001</v>
      </c>
      <c r="E4" s="6">
        <f>IFERROR((VLOOKUP(C4,'Daily Scrap by Shift'!$A:$D,3,0)),0)</f>
        <v>651</v>
      </c>
      <c r="F4" s="6">
        <f>IFERROR((VLOOKUP(C4,'Daily Scrap by Shift'!$A:$D,4,0)),0)</f>
        <v>1108.5557691999998</v>
      </c>
      <c r="G4" s="33">
        <v>897</v>
      </c>
      <c r="H4" s="3">
        <f t="shared" si="1"/>
        <v>0.23584812619843898</v>
      </c>
    </row>
    <row r="5" spans="1:10" x14ac:dyDescent="0.25">
      <c r="A5" s="1">
        <v>43833</v>
      </c>
      <c r="B5" s="2" t="s">
        <v>24</v>
      </c>
      <c r="C5" t="str">
        <f t="shared" si="0"/>
        <v>43833 - 3S</v>
      </c>
      <c r="D5" s="6">
        <f>IFERROR((VLOOKUP(C5,'Daily Scrap by Shift'!$A:$D,2,0)),0)</f>
        <v>5974.88</v>
      </c>
      <c r="E5" s="6">
        <f>IFERROR((VLOOKUP(C5,'Daily Scrap by Shift'!$A:$D,3,0)),0)</f>
        <v>480</v>
      </c>
      <c r="F5" s="6">
        <f>IFERROR((VLOOKUP(C5,'Daily Scrap by Shift'!$A:$D,4,0)),0)</f>
        <v>903.20403119999992</v>
      </c>
      <c r="G5" s="33">
        <v>514</v>
      </c>
      <c r="H5" s="3">
        <f t="shared" si="1"/>
        <v>0.75720628638132281</v>
      </c>
    </row>
    <row r="6" spans="1:10" x14ac:dyDescent="0.25">
      <c r="A6" s="1">
        <v>43833</v>
      </c>
      <c r="B6" s="2" t="s">
        <v>25</v>
      </c>
      <c r="C6" t="str">
        <f t="shared" si="0"/>
        <v>43833 - 1S</v>
      </c>
      <c r="D6" s="6">
        <f>IFERROR((VLOOKUP(C6,'Daily Scrap by Shift'!$A:$D,2,0)),0)</f>
        <v>13110.560000000001</v>
      </c>
      <c r="E6" s="6">
        <f>IFERROR((VLOOKUP(C6,'Daily Scrap by Shift'!$A:$D,3,0)),0)</f>
        <v>410</v>
      </c>
      <c r="F6" s="6">
        <f>IFERROR((VLOOKUP(C6,'Daily Scrap by Shift'!$A:$D,4,0)),0)</f>
        <v>796.00286159999996</v>
      </c>
      <c r="G6" s="33">
        <v>408</v>
      </c>
      <c r="H6" s="3">
        <f t="shared" si="1"/>
        <v>0.95098740588235287</v>
      </c>
    </row>
    <row r="7" spans="1:10" x14ac:dyDescent="0.25">
      <c r="A7" s="1">
        <v>43833</v>
      </c>
      <c r="B7" s="2" t="s">
        <v>26</v>
      </c>
      <c r="C7" t="str">
        <f t="shared" si="0"/>
        <v>43833 - 2S</v>
      </c>
      <c r="D7" s="6">
        <f>IFERROR((VLOOKUP(C7,'Daily Scrap by Shift'!$A:$D,2,0)),0)</f>
        <v>15943.25</v>
      </c>
      <c r="E7" s="6">
        <f>IFERROR((VLOOKUP(C7,'Daily Scrap by Shift'!$A:$D,3,0)),0)</f>
        <v>329</v>
      </c>
      <c r="F7" s="6">
        <f>IFERROR((VLOOKUP(C7,'Daily Scrap by Shift'!$A:$D,4,0)),0)</f>
        <v>640.01685999999995</v>
      </c>
      <c r="G7" s="33">
        <v>364</v>
      </c>
      <c r="H7" s="3">
        <f t="shared" si="1"/>
        <v>0.75828807692307676</v>
      </c>
    </row>
    <row r="8" spans="1:10" x14ac:dyDescent="0.25">
      <c r="A8" s="1">
        <v>43834</v>
      </c>
      <c r="B8" s="2" t="s">
        <v>24</v>
      </c>
      <c r="C8" t="str">
        <f t="shared" si="0"/>
        <v>43834 - 3S</v>
      </c>
      <c r="D8" s="6">
        <f>IFERROR((VLOOKUP(C8,'Daily Scrap by Shift'!$A:$D,2,0)),0)</f>
        <v>0</v>
      </c>
      <c r="E8" s="6">
        <f>IFERROR((VLOOKUP(C8,'Daily Scrap by Shift'!$A:$D,3,0)),0)</f>
        <v>0</v>
      </c>
      <c r="F8" s="6">
        <f>IFERROR((VLOOKUP(C8,'Daily Scrap by Shift'!$A:$D,4,0)),0)</f>
        <v>0</v>
      </c>
      <c r="H8" s="3" t="e">
        <f t="shared" si="1"/>
        <v>#DIV/0!</v>
      </c>
    </row>
    <row r="9" spans="1:10" x14ac:dyDescent="0.25">
      <c r="A9" s="1">
        <v>43834</v>
      </c>
      <c r="B9" s="2" t="s">
        <v>25</v>
      </c>
      <c r="C9" t="str">
        <f t="shared" si="0"/>
        <v>43834 - 1S</v>
      </c>
      <c r="D9" s="6">
        <f>IFERROR((VLOOKUP(C9,'Daily Scrap by Shift'!$A:$D,2,0)),0)</f>
        <v>10000</v>
      </c>
      <c r="E9" s="6">
        <f>IFERROR((VLOOKUP(C9,'Daily Scrap by Shift'!$A:$D,3,0)),0)</f>
        <v>23</v>
      </c>
      <c r="F9" s="6">
        <f>IFERROR((VLOOKUP(C9,'Daily Scrap by Shift'!$A:$D,4,0)),0)</f>
        <v>26.4976284</v>
      </c>
      <c r="H9" s="3" t="e">
        <f t="shared" si="1"/>
        <v>#DIV/0!</v>
      </c>
    </row>
    <row r="10" spans="1:10" x14ac:dyDescent="0.25">
      <c r="A10" s="1">
        <v>43834</v>
      </c>
      <c r="B10" s="2" t="s">
        <v>26</v>
      </c>
      <c r="C10" t="str">
        <f t="shared" si="0"/>
        <v>43834 - 2S</v>
      </c>
      <c r="D10" s="6">
        <f>IFERROR((VLOOKUP(C10,'Daily Scrap by Shift'!$A:$D,2,0)),0)</f>
        <v>9000</v>
      </c>
      <c r="E10" s="6">
        <f>IFERROR((VLOOKUP(C10,'Daily Scrap by Shift'!$A:$D,3,0)),0)</f>
        <v>10</v>
      </c>
      <c r="F10" s="6">
        <f>IFERROR((VLOOKUP(C10,'Daily Scrap by Shift'!$A:$D,4,0)),0)</f>
        <v>11.520707999999999</v>
      </c>
      <c r="H10" s="3" t="e">
        <f t="shared" si="1"/>
        <v>#DIV/0!</v>
      </c>
    </row>
    <row r="11" spans="1:10" x14ac:dyDescent="0.25">
      <c r="A11" s="1">
        <v>43835</v>
      </c>
      <c r="B11" s="2" t="s">
        <v>24</v>
      </c>
      <c r="C11" t="str">
        <f t="shared" si="0"/>
        <v>43835 - 3S</v>
      </c>
      <c r="D11" s="6">
        <f>IFERROR((VLOOKUP(C11,'Daily Scrap by Shift'!$A:$D,2,0)),0)</f>
        <v>0</v>
      </c>
      <c r="E11" s="6">
        <f>IFERROR((VLOOKUP(C11,'Daily Scrap by Shift'!$A:$D,3,0)),0)</f>
        <v>3</v>
      </c>
      <c r="F11" s="6">
        <f>IFERROR((VLOOKUP(C11,'Daily Scrap by Shift'!$A:$D,4,0)),0)</f>
        <v>0</v>
      </c>
      <c r="G11" s="33">
        <v>398</v>
      </c>
      <c r="H11" s="3">
        <f t="shared" si="1"/>
        <v>-1</v>
      </c>
    </row>
    <row r="12" spans="1:10" x14ac:dyDescent="0.25">
      <c r="A12" s="1">
        <v>43835</v>
      </c>
      <c r="B12" s="2" t="s">
        <v>25</v>
      </c>
      <c r="C12" t="str">
        <f t="shared" si="0"/>
        <v>43835 - 1S</v>
      </c>
      <c r="D12" s="6">
        <f>IFERROR((VLOOKUP(C12,'Daily Scrap by Shift'!$A:$D,2,0)),0)</f>
        <v>9000</v>
      </c>
      <c r="E12" s="6">
        <f>IFERROR((VLOOKUP(C12,'Daily Scrap by Shift'!$A:$D,3,0)),0)</f>
        <v>14</v>
      </c>
      <c r="F12" s="6">
        <f>IFERROR((VLOOKUP(C12,'Daily Scrap by Shift'!$A:$D,4,0)),0)</f>
        <v>16.128991199999998</v>
      </c>
      <c r="H12" s="3" t="e">
        <f t="shared" si="1"/>
        <v>#DIV/0!</v>
      </c>
    </row>
    <row r="13" spans="1:10" x14ac:dyDescent="0.25">
      <c r="A13" s="1">
        <v>43835</v>
      </c>
      <c r="B13" s="2" t="s">
        <v>26</v>
      </c>
      <c r="C13" t="str">
        <f t="shared" si="0"/>
        <v>43835 - 2S</v>
      </c>
      <c r="D13" s="6">
        <f>IFERROR((VLOOKUP(C13,'Daily Scrap by Shift'!$A:$D,2,0)),0)</f>
        <v>10000</v>
      </c>
      <c r="E13" s="6">
        <f>IFERROR((VLOOKUP(C13,'Daily Scrap by Shift'!$A:$D,3,0)),0)</f>
        <v>5</v>
      </c>
      <c r="F13" s="6">
        <f>IFERROR((VLOOKUP(C13,'Daily Scrap by Shift'!$A:$D,4,0)),0)</f>
        <v>5.7603539999999995</v>
      </c>
      <c r="H13" s="3" t="e">
        <f t="shared" si="1"/>
        <v>#DIV/0!</v>
      </c>
    </row>
    <row r="14" spans="1:10" x14ac:dyDescent="0.25">
      <c r="A14" s="1">
        <v>43836</v>
      </c>
      <c r="B14" s="2" t="s">
        <v>24</v>
      </c>
      <c r="C14" t="str">
        <f t="shared" si="0"/>
        <v>43836 - 3S</v>
      </c>
      <c r="D14" s="6">
        <f>IFERROR((VLOOKUP(C14,'Daily Scrap by Shift'!$A:$D,2,0)),0)</f>
        <v>6164</v>
      </c>
      <c r="E14" s="6">
        <f>IFERROR((VLOOKUP(C14,'Daily Scrap by Shift'!$A:$D,3,0)),0)</f>
        <v>263</v>
      </c>
      <c r="F14" s="6">
        <f>IFERROR((VLOOKUP(C14,'Daily Scrap by Shift'!$A:$D,4,0)),0)</f>
        <v>481.77042840000001</v>
      </c>
      <c r="H14" s="3" t="e">
        <f t="shared" si="1"/>
        <v>#DIV/0!</v>
      </c>
      <c r="J14" s="30" t="s">
        <v>229</v>
      </c>
    </row>
    <row r="15" spans="1:10" x14ac:dyDescent="0.25">
      <c r="A15" s="1">
        <v>43836</v>
      </c>
      <c r="B15" s="2" t="s">
        <v>25</v>
      </c>
      <c r="C15" t="str">
        <f t="shared" si="0"/>
        <v>43836 - 1S</v>
      </c>
      <c r="D15" s="6">
        <f>IFERROR((VLOOKUP(C15,'Daily Scrap by Shift'!$A:$D,2,0)),0)</f>
        <v>24302.400000000001</v>
      </c>
      <c r="E15" s="6">
        <f>IFERROR((VLOOKUP(C15,'Daily Scrap by Shift'!$A:$D,3,0)),0)</f>
        <v>460</v>
      </c>
      <c r="F15" s="6">
        <f>IFERROR((VLOOKUP(C15,'Daily Scrap by Shift'!$A:$D,4,0)),0)</f>
        <v>746.0237952</v>
      </c>
      <c r="G15" s="33">
        <v>440</v>
      </c>
      <c r="H15" s="3">
        <f t="shared" si="1"/>
        <v>0.69550862545454539</v>
      </c>
    </row>
    <row r="16" spans="1:10" x14ac:dyDescent="0.25">
      <c r="A16" s="1">
        <v>43836</v>
      </c>
      <c r="B16" s="2" t="s">
        <v>26</v>
      </c>
      <c r="C16" t="str">
        <f t="shared" si="0"/>
        <v>43836 - 2S</v>
      </c>
      <c r="D16" s="6">
        <f>IFERROR((VLOOKUP(C16,'Daily Scrap by Shift'!$A:$D,2,0)),0)</f>
        <v>20502.400000000001</v>
      </c>
      <c r="E16" s="6">
        <f>IFERROR((VLOOKUP(C16,'Daily Scrap by Shift'!$A:$D,3,0)),0)</f>
        <v>331</v>
      </c>
      <c r="F16" s="6">
        <f>IFERROR((VLOOKUP(C16,'Daily Scrap by Shift'!$A:$D,4,0)),0)</f>
        <v>608.52969080000003</v>
      </c>
      <c r="G16" s="33">
        <v>349</v>
      </c>
      <c r="H16" s="3">
        <f t="shared" si="1"/>
        <v>0.74363808252149</v>
      </c>
    </row>
    <row r="17" spans="1:8" x14ac:dyDescent="0.25">
      <c r="A17" s="1">
        <v>43837</v>
      </c>
      <c r="B17" s="2" t="s">
        <v>24</v>
      </c>
      <c r="C17" t="str">
        <f t="shared" si="0"/>
        <v>43837 - 3S</v>
      </c>
      <c r="D17" s="6">
        <f>IFERROR((VLOOKUP(C17,'Daily Scrap by Shift'!$A:$D,2,0)),0)</f>
        <v>9902.4</v>
      </c>
      <c r="E17" s="6">
        <f>IFERROR((VLOOKUP(C17,'Daily Scrap by Shift'!$A:$D,3,0)),0)</f>
        <v>334</v>
      </c>
      <c r="F17" s="6">
        <f>IFERROR((VLOOKUP(C17,'Daily Scrap by Shift'!$A:$D,4,0)),0)</f>
        <v>612.38358240000002</v>
      </c>
      <c r="G17" s="33">
        <v>408</v>
      </c>
      <c r="H17" s="3">
        <f t="shared" si="1"/>
        <v>0.50094015294117655</v>
      </c>
    </row>
    <row r="18" spans="1:8" x14ac:dyDescent="0.25">
      <c r="A18" s="1">
        <v>43837</v>
      </c>
      <c r="B18" s="2" t="s">
        <v>25</v>
      </c>
      <c r="C18" t="str">
        <f t="shared" si="0"/>
        <v>43837 - 1S</v>
      </c>
      <c r="D18" s="6">
        <f>IFERROR((VLOOKUP(C18,'Daily Scrap by Shift'!$A:$D,2,0)),0)</f>
        <v>22302.400000000001</v>
      </c>
      <c r="E18" s="6">
        <f>IFERROR((VLOOKUP(C18,'Daily Scrap by Shift'!$A:$D,3,0)),0)</f>
        <v>215</v>
      </c>
      <c r="F18" s="6">
        <f>IFERROR((VLOOKUP(C18,'Daily Scrap by Shift'!$A:$D,4,0)),0)</f>
        <v>382.52197719999998</v>
      </c>
      <c r="G18" s="33">
        <v>225</v>
      </c>
      <c r="H18" s="3">
        <f t="shared" si="1"/>
        <v>0.70009767644444432</v>
      </c>
    </row>
    <row r="19" spans="1:8" x14ac:dyDescent="0.25">
      <c r="A19" s="1">
        <v>43837</v>
      </c>
      <c r="B19" s="2" t="s">
        <v>26</v>
      </c>
      <c r="C19" t="str">
        <f t="shared" si="0"/>
        <v>43837 - 2S</v>
      </c>
      <c r="D19" s="6">
        <f>IFERROR((VLOOKUP(C19,'Daily Scrap by Shift'!$A:$D,2,0)),0)</f>
        <v>21702.400000000001</v>
      </c>
      <c r="E19" s="6">
        <f>IFERROR((VLOOKUP(C19,'Daily Scrap by Shift'!$A:$D,3,0)),0)</f>
        <v>407</v>
      </c>
      <c r="F19" s="6">
        <f>IFERROR((VLOOKUP(C19,'Daily Scrap by Shift'!$A:$D,4,0)),0)</f>
        <v>715.4544507999999</v>
      </c>
      <c r="G19" s="33">
        <v>407</v>
      </c>
      <c r="H19" s="3">
        <f t="shared" si="1"/>
        <v>0.75787334348894331</v>
      </c>
    </row>
    <row r="20" spans="1:8" x14ac:dyDescent="0.25">
      <c r="A20" s="1">
        <v>43838</v>
      </c>
      <c r="B20" s="2" t="s">
        <v>24</v>
      </c>
      <c r="C20" t="str">
        <f t="shared" si="0"/>
        <v>43838 - 3S</v>
      </c>
      <c r="D20" s="6">
        <f>IFERROR((VLOOKUP(C20,'Daily Scrap by Shift'!$A:$D,2,0)),0)</f>
        <v>11502.4</v>
      </c>
      <c r="E20" s="6">
        <f>IFERROR((VLOOKUP(C20,'Daily Scrap by Shift'!$A:$D,3,0)),0)</f>
        <v>444</v>
      </c>
      <c r="F20" s="6">
        <f>IFERROR((VLOOKUP(C20,'Daily Scrap by Shift'!$A:$D,4,0)),0)</f>
        <v>838.53018400000008</v>
      </c>
      <c r="G20" s="33">
        <v>510</v>
      </c>
      <c r="H20" s="3">
        <f t="shared" si="1"/>
        <v>0.64417683137254922</v>
      </c>
    </row>
    <row r="21" spans="1:8" x14ac:dyDescent="0.25">
      <c r="A21" s="1">
        <v>43838</v>
      </c>
      <c r="B21" s="2" t="s">
        <v>25</v>
      </c>
      <c r="C21" t="str">
        <f t="shared" si="0"/>
        <v>43838 - 1S</v>
      </c>
      <c r="D21" s="6">
        <f>IFERROR((VLOOKUP(C21,'Daily Scrap by Shift'!$A:$D,2,0)),0)</f>
        <v>13789.6</v>
      </c>
      <c r="E21" s="6">
        <f>IFERROR((VLOOKUP(C21,'Daily Scrap by Shift'!$A:$D,3,0)),0)</f>
        <v>417</v>
      </c>
      <c r="F21" s="6">
        <f>IFERROR((VLOOKUP(C21,'Daily Scrap by Shift'!$A:$D,4,0)),0)</f>
        <v>684.51590439999995</v>
      </c>
      <c r="G21" s="33">
        <v>274</v>
      </c>
      <c r="H21" s="3">
        <f t="shared" si="1"/>
        <v>1.4982332277372261</v>
      </c>
    </row>
    <row r="22" spans="1:8" x14ac:dyDescent="0.25">
      <c r="A22" s="1">
        <v>43838</v>
      </c>
      <c r="B22" s="2" t="s">
        <v>26</v>
      </c>
      <c r="C22" t="str">
        <f t="shared" si="0"/>
        <v>43838 - 2S</v>
      </c>
      <c r="D22" s="6">
        <f>IFERROR((VLOOKUP(C22,'Daily Scrap by Shift'!$A:$D,2,0)),0)</f>
        <v>12564</v>
      </c>
      <c r="E22" s="6">
        <f>IFERROR((VLOOKUP(C22,'Daily Scrap by Shift'!$A:$D,3,0)),0)</f>
        <v>660</v>
      </c>
      <c r="F22" s="6">
        <f>IFERROR((VLOOKUP(C22,'Daily Scrap by Shift'!$A:$D,4,0)),0)</f>
        <v>1245.2961072000003</v>
      </c>
      <c r="G22" s="33">
        <v>651</v>
      </c>
      <c r="H22" s="3">
        <f t="shared" si="1"/>
        <v>0.91289724608294975</v>
      </c>
    </row>
    <row r="23" spans="1:8" x14ac:dyDescent="0.25">
      <c r="A23" s="1">
        <v>43839</v>
      </c>
      <c r="B23" s="2" t="s">
        <v>24</v>
      </c>
      <c r="C23" t="str">
        <f t="shared" si="0"/>
        <v>43839 - 3S</v>
      </c>
      <c r="D23" s="6">
        <f>IFERROR((VLOOKUP(C23,'Daily Scrap by Shift'!$A:$D,2,0)),0)</f>
        <v>11502.4</v>
      </c>
      <c r="E23" s="6">
        <f>IFERROR((VLOOKUP(C23,'Daily Scrap by Shift'!$A:$D,3,0)),0)</f>
        <v>500</v>
      </c>
      <c r="F23" s="6">
        <f>IFERROR((VLOOKUP(C23,'Daily Scrap by Shift'!$A:$D,4,0)),0)</f>
        <v>941.7809072</v>
      </c>
      <c r="G23" s="33">
        <v>491</v>
      </c>
      <c r="H23" s="3">
        <f t="shared" si="1"/>
        <v>0.91808738737270879</v>
      </c>
    </row>
    <row r="24" spans="1:8" x14ac:dyDescent="0.25">
      <c r="A24" s="1">
        <v>43839</v>
      </c>
      <c r="B24" s="2" t="s">
        <v>25</v>
      </c>
      <c r="C24" t="str">
        <f t="shared" si="0"/>
        <v>43839 - 1S</v>
      </c>
      <c r="D24" s="6">
        <f>IFERROR((VLOOKUP(C24,'Daily Scrap by Shift'!$A:$D,2,0)),0)</f>
        <v>19789.599999999999</v>
      </c>
      <c r="E24" s="6">
        <f>IFERROR((VLOOKUP(C24,'Daily Scrap by Shift'!$A:$D,3,0)),0)</f>
        <v>442</v>
      </c>
      <c r="F24" s="6">
        <f>IFERROR((VLOOKUP(C24,'Daily Scrap by Shift'!$A:$D,4,0)),0)</f>
        <v>666.38902480000002</v>
      </c>
      <c r="G24" s="33">
        <v>311</v>
      </c>
      <c r="H24" s="3">
        <f t="shared" si="1"/>
        <v>1.1427299832797428</v>
      </c>
    </row>
    <row r="25" spans="1:8" x14ac:dyDescent="0.25">
      <c r="A25" s="1">
        <v>43839</v>
      </c>
      <c r="B25" s="2" t="s">
        <v>26</v>
      </c>
      <c r="C25" t="str">
        <f t="shared" si="0"/>
        <v>43839 - 2S</v>
      </c>
      <c r="D25" s="6">
        <f>IFERROR((VLOOKUP(C25,'Daily Scrap by Shift'!$A:$D,2,0)),0)</f>
        <v>17564</v>
      </c>
      <c r="E25" s="6">
        <f>IFERROR((VLOOKUP(C25,'Daily Scrap by Shift'!$A:$D,3,0)),0)</f>
        <v>331</v>
      </c>
      <c r="F25" s="6">
        <f>IFERROR((VLOOKUP(C25,'Daily Scrap by Shift'!$A:$D,4,0)),0)</f>
        <v>604.06029560000002</v>
      </c>
      <c r="G25" s="33">
        <v>415</v>
      </c>
      <c r="H25" s="3">
        <f t="shared" si="1"/>
        <v>0.45556697734939761</v>
      </c>
    </row>
    <row r="26" spans="1:8" x14ac:dyDescent="0.25">
      <c r="A26" s="1">
        <v>43840</v>
      </c>
      <c r="B26" s="2" t="s">
        <v>24</v>
      </c>
      <c r="C26" t="str">
        <f t="shared" si="0"/>
        <v>43840 - 3S</v>
      </c>
      <c r="D26" s="6">
        <f>IFERROR((VLOOKUP(C26,'Daily Scrap by Shift'!$A:$D,2,0)),0)</f>
        <v>10876.8</v>
      </c>
      <c r="E26" s="6">
        <f>IFERROR((VLOOKUP(C26,'Daily Scrap by Shift'!$A:$D,3,0)),0)</f>
        <v>472</v>
      </c>
      <c r="F26" s="6">
        <f>IFERROR((VLOOKUP(C26,'Daily Scrap by Shift'!$A:$D,4,0)),0)</f>
        <v>902.04604159999997</v>
      </c>
      <c r="G26" s="33">
        <v>395</v>
      </c>
      <c r="H26" s="3">
        <f t="shared" si="1"/>
        <v>1.2836608648101264</v>
      </c>
    </row>
    <row r="27" spans="1:8" x14ac:dyDescent="0.25">
      <c r="A27" s="1">
        <v>43840</v>
      </c>
      <c r="B27" s="2" t="s">
        <v>25</v>
      </c>
      <c r="C27" t="str">
        <f t="shared" si="0"/>
        <v>43840 - 1S</v>
      </c>
      <c r="D27" s="6">
        <f>IFERROR((VLOOKUP(C27,'Daily Scrap by Shift'!$A:$D,2,0)),0)</f>
        <v>20589.599999999999</v>
      </c>
      <c r="E27" s="6">
        <f>IFERROR((VLOOKUP(C27,'Daily Scrap by Shift'!$A:$D,3,0)),0)</f>
        <v>412</v>
      </c>
      <c r="F27" s="6">
        <f>IFERROR((VLOOKUP(C27,'Daily Scrap by Shift'!$A:$D,4,0)),0)</f>
        <v>729.60753560000012</v>
      </c>
      <c r="G27" s="33">
        <v>388</v>
      </c>
      <c r="H27" s="3">
        <f t="shared" si="1"/>
        <v>0.88043179278350547</v>
      </c>
    </row>
    <row r="28" spans="1:8" x14ac:dyDescent="0.25">
      <c r="A28" s="1">
        <v>43840</v>
      </c>
      <c r="B28" s="2" t="s">
        <v>26</v>
      </c>
      <c r="C28" t="str">
        <f t="shared" si="0"/>
        <v>43840 - 2S</v>
      </c>
      <c r="D28" s="6">
        <f>IFERROR((VLOOKUP(C28,'Daily Scrap by Shift'!$A:$D,2,0)),0)</f>
        <v>10000</v>
      </c>
      <c r="E28" s="6">
        <f>IFERROR((VLOOKUP(C28,'Daily Scrap by Shift'!$A:$D,3,0)),0)</f>
        <v>208</v>
      </c>
      <c r="F28" s="6">
        <f>IFERROR((VLOOKUP(C28,'Daily Scrap by Shift'!$A:$D,4,0)),0)</f>
        <v>315.31368400000002</v>
      </c>
      <c r="G28" s="33">
        <v>301</v>
      </c>
      <c r="H28" s="3">
        <f t="shared" si="1"/>
        <v>4.7553767441860545E-2</v>
      </c>
    </row>
    <row r="29" spans="1:8" x14ac:dyDescent="0.25">
      <c r="A29" s="1">
        <v>43841</v>
      </c>
      <c r="B29" s="2" t="s">
        <v>24</v>
      </c>
      <c r="C29" t="str">
        <f t="shared" si="0"/>
        <v>43841 - 3S</v>
      </c>
      <c r="D29" s="6">
        <f>IFERROR((VLOOKUP(C29,'Daily Scrap by Shift'!$A:$D,2,0)),0)</f>
        <v>0</v>
      </c>
      <c r="E29" s="6">
        <f>IFERROR((VLOOKUP(C29,'Daily Scrap by Shift'!$A:$D,3,0)),0)</f>
        <v>0</v>
      </c>
      <c r="F29" s="6">
        <f>IFERROR((VLOOKUP(C29,'Daily Scrap by Shift'!$A:$D,4,0)),0)</f>
        <v>0</v>
      </c>
      <c r="H29" s="3" t="e">
        <f t="shared" si="1"/>
        <v>#DIV/0!</v>
      </c>
    </row>
    <row r="30" spans="1:8" x14ac:dyDescent="0.25">
      <c r="A30" s="1">
        <v>43841</v>
      </c>
      <c r="B30" s="2" t="s">
        <v>25</v>
      </c>
      <c r="C30" t="str">
        <f t="shared" si="0"/>
        <v>43841 - 1S</v>
      </c>
      <c r="D30" s="6">
        <f>IFERROR((VLOOKUP(C30,'Daily Scrap by Shift'!$A:$D,2,0)),0)</f>
        <v>9000</v>
      </c>
      <c r="E30" s="6">
        <f>IFERROR((VLOOKUP(C30,'Daily Scrap by Shift'!$A:$D,3,0)),0)</f>
        <v>20</v>
      </c>
      <c r="F30" s="6">
        <f>IFERROR((VLOOKUP(C30,'Daily Scrap by Shift'!$A:$D,4,0)),0)</f>
        <v>23.041415999999998</v>
      </c>
      <c r="H30" s="3" t="e">
        <f t="shared" si="1"/>
        <v>#DIV/0!</v>
      </c>
    </row>
    <row r="31" spans="1:8" x14ac:dyDescent="0.25">
      <c r="A31" s="1">
        <v>43841</v>
      </c>
      <c r="B31" s="2" t="s">
        <v>26</v>
      </c>
      <c r="C31" t="str">
        <f t="shared" si="0"/>
        <v>43841 - 2S</v>
      </c>
      <c r="D31" s="6">
        <f>IFERROR((VLOOKUP(C31,'Daily Scrap by Shift'!$A:$D,2,0)),0)</f>
        <v>6000</v>
      </c>
      <c r="E31" s="6">
        <f>IFERROR((VLOOKUP(C31,'Daily Scrap by Shift'!$A:$D,3,0)),0)</f>
        <v>18</v>
      </c>
      <c r="F31" s="6">
        <f>IFERROR((VLOOKUP(C31,'Daily Scrap by Shift'!$A:$D,4,0)),0)</f>
        <v>20.7372744</v>
      </c>
      <c r="H31" s="3" t="e">
        <f t="shared" si="1"/>
        <v>#DIV/0!</v>
      </c>
    </row>
    <row r="32" spans="1:8" x14ac:dyDescent="0.25">
      <c r="A32" s="1">
        <v>43842</v>
      </c>
      <c r="B32" s="2" t="s">
        <v>24</v>
      </c>
      <c r="C32" t="str">
        <f t="shared" si="0"/>
        <v>43842 - 3S</v>
      </c>
      <c r="D32" s="6">
        <f>IFERROR((VLOOKUP(C32,'Daily Scrap by Shift'!$A:$D,2,0)),0)</f>
        <v>0</v>
      </c>
      <c r="E32" s="6">
        <f>IFERROR((VLOOKUP(C32,'Daily Scrap by Shift'!$A:$D,3,0)),0)</f>
        <v>0</v>
      </c>
      <c r="F32" s="6">
        <f>IFERROR((VLOOKUP(C32,'Daily Scrap by Shift'!$A:$D,4,0)),0)</f>
        <v>0</v>
      </c>
      <c r="G32" s="33">
        <v>404</v>
      </c>
      <c r="H32" s="3">
        <f t="shared" si="1"/>
        <v>-1</v>
      </c>
    </row>
    <row r="33" spans="1:8" x14ac:dyDescent="0.25">
      <c r="A33" s="1">
        <v>43842</v>
      </c>
      <c r="B33" s="2" t="s">
        <v>25</v>
      </c>
      <c r="C33" t="str">
        <f t="shared" si="0"/>
        <v>43842 - 1S</v>
      </c>
      <c r="D33" s="6">
        <f>IFERROR((VLOOKUP(C33,'Daily Scrap by Shift'!$A:$D,2,0)),0)</f>
        <v>10000</v>
      </c>
      <c r="E33" s="6">
        <f>IFERROR((VLOOKUP(C33,'Daily Scrap by Shift'!$A:$D,3,0)),0)</f>
        <v>0</v>
      </c>
      <c r="F33" s="6">
        <f>IFERROR((VLOOKUP(C33,'Daily Scrap by Shift'!$A:$D,4,0)),0)</f>
        <v>0</v>
      </c>
      <c r="H33" s="3" t="e">
        <f t="shared" si="1"/>
        <v>#DIV/0!</v>
      </c>
    </row>
    <row r="34" spans="1:8" x14ac:dyDescent="0.25">
      <c r="A34" s="1">
        <v>43842</v>
      </c>
      <c r="B34" s="2" t="s">
        <v>26</v>
      </c>
      <c r="C34" t="str">
        <f t="shared" si="0"/>
        <v>43842 - 2S</v>
      </c>
      <c r="D34" s="6">
        <f>IFERROR((VLOOKUP(C34,'Daily Scrap by Shift'!$A:$D,2,0)),0)</f>
        <v>10000</v>
      </c>
      <c r="E34" s="6">
        <f>IFERROR((VLOOKUP(C34,'Daily Scrap by Shift'!$A:$D,3,0)),0)</f>
        <v>0</v>
      </c>
      <c r="F34" s="6">
        <f>IFERROR((VLOOKUP(C34,'Daily Scrap by Shift'!$A:$D,4,0)),0)</f>
        <v>0</v>
      </c>
      <c r="H34" s="3" t="e">
        <f t="shared" si="1"/>
        <v>#DIV/0!</v>
      </c>
    </row>
    <row r="35" spans="1:8" x14ac:dyDescent="0.25">
      <c r="A35" s="1">
        <v>43843</v>
      </c>
      <c r="B35" s="2" t="s">
        <v>24</v>
      </c>
      <c r="C35" t="str">
        <f t="shared" si="0"/>
        <v>43843 - 3S</v>
      </c>
      <c r="D35" s="6">
        <f>IFERROR((VLOOKUP(C35,'Daily Scrap by Shift'!$A:$D,2,0)),0)</f>
        <v>5356</v>
      </c>
      <c r="E35" s="6">
        <f>IFERROR((VLOOKUP(C35,'Daily Scrap by Shift'!$A:$D,3,0)),0)</f>
        <v>246</v>
      </c>
      <c r="F35" s="6">
        <f>IFERROR((VLOOKUP(C35,'Daily Scrap by Shift'!$A:$D,4,0)),0)</f>
        <v>464.41992240000002</v>
      </c>
      <c r="H35" s="3" t="e">
        <f t="shared" si="1"/>
        <v>#DIV/0!</v>
      </c>
    </row>
    <row r="36" spans="1:8" x14ac:dyDescent="0.25">
      <c r="A36" s="1">
        <v>43843</v>
      </c>
      <c r="B36" s="2" t="s">
        <v>25</v>
      </c>
      <c r="C36" t="str">
        <f t="shared" si="0"/>
        <v>43843 - 1S</v>
      </c>
      <c r="D36" s="6">
        <f>IFERROR((VLOOKUP(C36,'Daily Scrap by Shift'!$A:$D,2,0)),0)</f>
        <v>16266.4</v>
      </c>
      <c r="E36" s="6">
        <f>IFERROR((VLOOKUP(C36,'Daily Scrap by Shift'!$A:$D,3,0)),0)</f>
        <v>425</v>
      </c>
      <c r="F36" s="6">
        <f>IFERROR((VLOOKUP(C36,'Daily Scrap by Shift'!$A:$D,4,0)),0)</f>
        <v>651.3141832</v>
      </c>
      <c r="G36" s="33">
        <v>314</v>
      </c>
      <c r="H36" s="3">
        <f t="shared" si="1"/>
        <v>1.0742489910828026</v>
      </c>
    </row>
    <row r="37" spans="1:8" x14ac:dyDescent="0.25">
      <c r="A37" s="1">
        <v>43843</v>
      </c>
      <c r="B37" s="2" t="s">
        <v>26</v>
      </c>
      <c r="C37" t="str">
        <f t="shared" si="0"/>
        <v>43843 - 2S</v>
      </c>
      <c r="D37" s="6">
        <f>IFERROR((VLOOKUP(C37,'Daily Scrap by Shift'!$A:$D,2,0)),0)</f>
        <v>18440.8</v>
      </c>
      <c r="E37" s="6">
        <f>IFERROR((VLOOKUP(C37,'Daily Scrap by Shift'!$A:$D,3,0)),0)</f>
        <v>584</v>
      </c>
      <c r="F37" s="6">
        <f>IFERROR((VLOOKUP(C37,'Daily Scrap by Shift'!$A:$D,4,0)),0)</f>
        <v>1103.6513128000001</v>
      </c>
      <c r="G37" s="33">
        <v>565</v>
      </c>
      <c r="H37" s="3">
        <f t="shared" si="1"/>
        <v>0.9533651553982303</v>
      </c>
    </row>
    <row r="38" spans="1:8" x14ac:dyDescent="0.25">
      <c r="A38" s="1">
        <v>43844</v>
      </c>
      <c r="B38" s="2" t="s">
        <v>24</v>
      </c>
      <c r="C38" t="str">
        <f t="shared" si="0"/>
        <v>43844 - 3S</v>
      </c>
      <c r="D38" s="6">
        <f>IFERROR((VLOOKUP(C38,'Daily Scrap by Shift'!$A:$D,2,0)),0)</f>
        <v>6312.48</v>
      </c>
      <c r="E38" s="6">
        <f>IFERROR((VLOOKUP(C38,'Daily Scrap by Shift'!$A:$D,3,0)),0)</f>
        <v>324</v>
      </c>
      <c r="F38" s="6">
        <f>IFERROR((VLOOKUP(C38,'Daily Scrap by Shift'!$A:$D,4,0)),0)</f>
        <v>614.61828000000003</v>
      </c>
      <c r="G38" s="33">
        <v>801</v>
      </c>
      <c r="H38" s="3">
        <f t="shared" si="1"/>
        <v>-0.23268629213483144</v>
      </c>
    </row>
    <row r="39" spans="1:8" x14ac:dyDescent="0.25">
      <c r="A39" s="1">
        <v>43844</v>
      </c>
      <c r="B39" s="2" t="s">
        <v>25</v>
      </c>
      <c r="C39" t="str">
        <f t="shared" si="0"/>
        <v>43844 - 1S</v>
      </c>
      <c r="D39" s="6">
        <f>IFERROR((VLOOKUP(C39,'Daily Scrap by Shift'!$A:$D,2,0)),0)</f>
        <v>16815.2</v>
      </c>
      <c r="E39" s="6">
        <f>IFERROR((VLOOKUP(C39,'Daily Scrap by Shift'!$A:$D,3,0)),0)</f>
        <v>765</v>
      </c>
      <c r="F39" s="6">
        <f>IFERROR((VLOOKUP(C39,'Daily Scrap by Shift'!$A:$D,4,0)),0)</f>
        <v>1255.3341756</v>
      </c>
      <c r="G39" s="33">
        <v>666</v>
      </c>
      <c r="H39" s="3">
        <f t="shared" si="1"/>
        <v>0.88488614954954947</v>
      </c>
    </row>
    <row r="40" spans="1:8" x14ac:dyDescent="0.25">
      <c r="A40" s="1">
        <v>43844</v>
      </c>
      <c r="B40" s="2" t="s">
        <v>26</v>
      </c>
      <c r="C40" t="str">
        <f t="shared" si="0"/>
        <v>43844 - 2S</v>
      </c>
      <c r="D40" s="6">
        <f>IFERROR((VLOOKUP(C40,'Daily Scrap by Shift'!$A:$D,2,0)),0)</f>
        <v>16789.599999999999</v>
      </c>
      <c r="E40" s="6">
        <f>IFERROR((VLOOKUP(C40,'Daily Scrap by Shift'!$A:$D,3,0)),0)</f>
        <v>618</v>
      </c>
      <c r="F40" s="6">
        <f>IFERROR((VLOOKUP(C40,'Daily Scrap by Shift'!$A:$D,4,0)),0)</f>
        <v>1305.8472744000001</v>
      </c>
      <c r="G40" s="33">
        <v>786</v>
      </c>
      <c r="H40" s="3">
        <f t="shared" si="1"/>
        <v>0.66138330076335883</v>
      </c>
    </row>
    <row r="41" spans="1:8" x14ac:dyDescent="0.25">
      <c r="A41" s="1">
        <v>43845</v>
      </c>
      <c r="B41" s="2" t="s">
        <v>24</v>
      </c>
      <c r="C41" t="str">
        <f t="shared" si="0"/>
        <v>43845 - 3S</v>
      </c>
      <c r="D41" s="6">
        <f>IFERROR((VLOOKUP(C41,'Daily Scrap by Shift'!$A:$D,2,0)),0)</f>
        <v>10789.6</v>
      </c>
      <c r="E41" s="6">
        <f>IFERROR((VLOOKUP(C41,'Daily Scrap by Shift'!$A:$D,3,0)),0)</f>
        <v>555</v>
      </c>
      <c r="F41" s="6">
        <f>IFERROR((VLOOKUP(C41,'Daily Scrap by Shift'!$A:$D,4,0)),0)</f>
        <v>1460.2986700000001</v>
      </c>
      <c r="G41" s="33">
        <v>535</v>
      </c>
      <c r="H41" s="3">
        <f t="shared" si="1"/>
        <v>1.7295302242990656</v>
      </c>
    </row>
    <row r="42" spans="1:8" x14ac:dyDescent="0.25">
      <c r="A42" s="1">
        <v>43845</v>
      </c>
      <c r="B42" s="2" t="s">
        <v>25</v>
      </c>
      <c r="C42" t="str">
        <f t="shared" si="0"/>
        <v>43845 - 1S</v>
      </c>
      <c r="D42" s="6">
        <f>IFERROR((VLOOKUP(C42,'Daily Scrap by Shift'!$A:$D,2,0)),0)</f>
        <v>28928</v>
      </c>
      <c r="E42" s="6">
        <f>IFERROR((VLOOKUP(C42,'Daily Scrap by Shift'!$A:$D,3,0)),0)</f>
        <v>579</v>
      </c>
      <c r="F42" s="6">
        <f>IFERROR((VLOOKUP(C42,'Daily Scrap by Shift'!$A:$D,4,0)),0)</f>
        <v>1263.4331052</v>
      </c>
      <c r="G42" s="33">
        <v>492</v>
      </c>
      <c r="H42" s="3">
        <f t="shared" si="1"/>
        <v>1.5679534658536585</v>
      </c>
    </row>
    <row r="43" spans="1:8" x14ac:dyDescent="0.25">
      <c r="A43" s="1">
        <v>43845</v>
      </c>
      <c r="B43" s="2" t="s">
        <v>26</v>
      </c>
      <c r="C43" t="str">
        <f t="shared" si="0"/>
        <v>43845 - 2S</v>
      </c>
      <c r="D43" s="6">
        <f>IFERROR((VLOOKUP(C43,'Daily Scrap by Shift'!$A:$D,2,0)),0)</f>
        <v>32815.199999999997</v>
      </c>
      <c r="E43" s="6">
        <f>IFERROR((VLOOKUP(C43,'Daily Scrap by Shift'!$A:$D,3,0)),0)</f>
        <v>694</v>
      </c>
      <c r="F43" s="6">
        <f>IFERROR((VLOOKUP(C43,'Daily Scrap by Shift'!$A:$D,4,0)),0)</f>
        <v>1520.8957312</v>
      </c>
      <c r="G43" s="33">
        <v>991</v>
      </c>
      <c r="H43" s="3">
        <f t="shared" si="1"/>
        <v>0.53470810413723513</v>
      </c>
    </row>
    <row r="44" spans="1:8" x14ac:dyDescent="0.25">
      <c r="A44" s="1">
        <v>43846</v>
      </c>
      <c r="B44" s="2" t="s">
        <v>24</v>
      </c>
      <c r="C44" t="str">
        <f t="shared" si="0"/>
        <v>43846 - 3S</v>
      </c>
      <c r="D44" s="6">
        <f>IFERROR((VLOOKUP(C44,'Daily Scrap by Shift'!$A:$D,2,0)),0)</f>
        <v>24829.599999999999</v>
      </c>
      <c r="E44" s="6">
        <f>IFERROR((VLOOKUP(C44,'Daily Scrap by Shift'!$A:$D,3,0)),0)</f>
        <v>698</v>
      </c>
      <c r="F44" s="6">
        <f>IFERROR((VLOOKUP(C44,'Daily Scrap by Shift'!$A:$D,4,0)),0)</f>
        <v>1398.21056</v>
      </c>
      <c r="G44" s="33">
        <v>721</v>
      </c>
      <c r="H44" s="3">
        <f t="shared" si="1"/>
        <v>0.93926568654646325</v>
      </c>
    </row>
    <row r="45" spans="1:8" x14ac:dyDescent="0.25">
      <c r="A45" s="1">
        <v>43846</v>
      </c>
      <c r="B45" s="2" t="s">
        <v>25</v>
      </c>
      <c r="C45" t="str">
        <f t="shared" si="0"/>
        <v>43846 - 1S</v>
      </c>
      <c r="D45" s="6">
        <f>IFERROR((VLOOKUP(C45,'Daily Scrap by Shift'!$A:$D,2,0)),0)</f>
        <v>33015.199999999997</v>
      </c>
      <c r="E45" s="6">
        <f>IFERROR((VLOOKUP(C45,'Daily Scrap by Shift'!$A:$D,3,0)),0)</f>
        <v>604</v>
      </c>
      <c r="F45" s="6">
        <f>IFERROR((VLOOKUP(C45,'Daily Scrap by Shift'!$A:$D,4,0)),0)</f>
        <v>1235.9845416000001</v>
      </c>
      <c r="G45" s="33">
        <v>886</v>
      </c>
      <c r="H45" s="3">
        <f t="shared" si="1"/>
        <v>0.39501641264108356</v>
      </c>
    </row>
    <row r="46" spans="1:8" x14ac:dyDescent="0.25">
      <c r="A46" s="1">
        <v>43846</v>
      </c>
      <c r="B46" s="2" t="s">
        <v>26</v>
      </c>
      <c r="C46" t="str">
        <f t="shared" si="0"/>
        <v>43846 - 2S</v>
      </c>
      <c r="D46" s="6">
        <f>IFERROR((VLOOKUP(C46,'Daily Scrap by Shift'!$A:$D,2,0)),0)</f>
        <v>31227.4</v>
      </c>
      <c r="E46" s="6">
        <f>IFERROR((VLOOKUP(C46,'Daily Scrap by Shift'!$A:$D,3,0)),0)</f>
        <v>691</v>
      </c>
      <c r="F46" s="6">
        <f>IFERROR((VLOOKUP(C46,'Daily Scrap by Shift'!$A:$D,4,0)),0)</f>
        <v>1352.8829044000001</v>
      </c>
      <c r="G46" s="33">
        <v>848</v>
      </c>
      <c r="H46" s="3">
        <f t="shared" si="1"/>
        <v>0.59538078349056622</v>
      </c>
    </row>
    <row r="47" spans="1:8" x14ac:dyDescent="0.25">
      <c r="A47" s="1">
        <v>43847</v>
      </c>
      <c r="B47" s="2" t="s">
        <v>24</v>
      </c>
      <c r="C47" t="str">
        <f t="shared" si="0"/>
        <v>43847 - 3S</v>
      </c>
      <c r="D47" s="6">
        <f>IFERROR((VLOOKUP(C47,'Daily Scrap by Shift'!$A:$D,2,0)),0)</f>
        <v>20040.64</v>
      </c>
      <c r="E47" s="6">
        <f>IFERROR((VLOOKUP(C47,'Daily Scrap by Shift'!$A:$D,3,0)),0)</f>
        <v>764</v>
      </c>
      <c r="F47" s="6">
        <f>IFERROR((VLOOKUP(C47,'Daily Scrap by Shift'!$A:$D,4,0)),0)</f>
        <v>1772.2040400000001</v>
      </c>
      <c r="G47" s="33">
        <v>1001</v>
      </c>
      <c r="H47" s="3">
        <f t="shared" si="1"/>
        <v>0.77043360639360647</v>
      </c>
    </row>
    <row r="48" spans="1:8" x14ac:dyDescent="0.25">
      <c r="A48" s="1">
        <v>43847</v>
      </c>
      <c r="B48" s="2" t="s">
        <v>25</v>
      </c>
      <c r="C48" t="str">
        <f t="shared" si="0"/>
        <v>43847 - 1S</v>
      </c>
      <c r="D48" s="6">
        <f>IFERROR((VLOOKUP(C48,'Daily Scrap by Shift'!$A:$D,2,0)),0)</f>
        <v>16065.6</v>
      </c>
      <c r="E48" s="6">
        <f>IFERROR((VLOOKUP(C48,'Daily Scrap by Shift'!$A:$D,3,0)),0)</f>
        <v>405</v>
      </c>
      <c r="F48" s="6">
        <f>IFERROR((VLOOKUP(C48,'Daily Scrap by Shift'!$A:$D,4,0)),0)</f>
        <v>766.86669800000004</v>
      </c>
      <c r="G48" s="33">
        <v>395</v>
      </c>
      <c r="H48" s="3">
        <f t="shared" si="1"/>
        <v>0.94143467848101281</v>
      </c>
    </row>
    <row r="49" spans="1:8" x14ac:dyDescent="0.25">
      <c r="A49" s="1">
        <v>43847</v>
      </c>
      <c r="B49" s="2" t="s">
        <v>26</v>
      </c>
      <c r="C49" t="str">
        <f t="shared" si="0"/>
        <v>43847 - 2S</v>
      </c>
      <c r="D49" s="6">
        <f>IFERROR((VLOOKUP(C49,'Daily Scrap by Shift'!$A:$D,2,0)),0)</f>
        <v>16570</v>
      </c>
      <c r="E49" s="6">
        <f>IFERROR((VLOOKUP(C49,'Daily Scrap by Shift'!$A:$D,3,0)),0)</f>
        <v>292</v>
      </c>
      <c r="F49" s="6">
        <f>IFERROR((VLOOKUP(C49,'Daily Scrap by Shift'!$A:$D,4,0)),0)</f>
        <v>592.52248800000007</v>
      </c>
      <c r="G49" s="33">
        <v>333</v>
      </c>
      <c r="H49" s="3">
        <f t="shared" si="1"/>
        <v>0.77934681081081103</v>
      </c>
    </row>
    <row r="50" spans="1:8" x14ac:dyDescent="0.25">
      <c r="A50" s="1">
        <v>43848</v>
      </c>
      <c r="B50" s="2" t="s">
        <v>24</v>
      </c>
      <c r="C50" t="str">
        <f t="shared" si="0"/>
        <v>43848 - 3S</v>
      </c>
      <c r="D50" s="6">
        <f>IFERROR((VLOOKUP(C50,'Daily Scrap by Shift'!$A:$D,2,0)),0)</f>
        <v>0</v>
      </c>
      <c r="E50" s="6">
        <f>IFERROR((VLOOKUP(C50,'Daily Scrap by Shift'!$A:$D,3,0)),0)</f>
        <v>0</v>
      </c>
      <c r="F50" s="6">
        <f>IFERROR((VLOOKUP(C50,'Daily Scrap by Shift'!$A:$D,4,0)),0)</f>
        <v>0</v>
      </c>
      <c r="H50" s="3" t="e">
        <f t="shared" si="1"/>
        <v>#DIV/0!</v>
      </c>
    </row>
    <row r="51" spans="1:8" x14ac:dyDescent="0.25">
      <c r="A51" s="1">
        <v>43848</v>
      </c>
      <c r="B51" s="2" t="s">
        <v>25</v>
      </c>
      <c r="C51" t="str">
        <f t="shared" si="0"/>
        <v>43848 - 1S</v>
      </c>
      <c r="D51" s="6">
        <f>IFERROR((VLOOKUP(C51,'Daily Scrap by Shift'!$A:$D,2,0)),0)</f>
        <v>10000</v>
      </c>
      <c r="E51" s="6">
        <f>IFERROR((VLOOKUP(C51,'Daily Scrap by Shift'!$A:$D,3,0)),0)</f>
        <v>31</v>
      </c>
      <c r="F51" s="6">
        <f>IFERROR((VLOOKUP(C51,'Daily Scrap by Shift'!$A:$D,4,0)),0)</f>
        <v>35.714194800000001</v>
      </c>
      <c r="H51" s="3" t="e">
        <f t="shared" si="1"/>
        <v>#DIV/0!</v>
      </c>
    </row>
    <row r="52" spans="1:8" x14ac:dyDescent="0.25">
      <c r="A52" s="1">
        <v>43848</v>
      </c>
      <c r="B52" s="2" t="s">
        <v>26</v>
      </c>
      <c r="C52" t="str">
        <f t="shared" si="0"/>
        <v>43848 - 2S</v>
      </c>
      <c r="D52" s="6">
        <f>IFERROR((VLOOKUP(C52,'Daily Scrap by Shift'!$A:$D,2,0)),0)</f>
        <v>7000</v>
      </c>
      <c r="E52" s="6">
        <f>IFERROR((VLOOKUP(C52,'Daily Scrap by Shift'!$A:$D,3,0)),0)</f>
        <v>115</v>
      </c>
      <c r="F52" s="6">
        <f>IFERROR((VLOOKUP(C52,'Daily Scrap by Shift'!$A:$D,4,0)),0)</f>
        <v>132.48814199999998</v>
      </c>
      <c r="H52" s="3" t="e">
        <f t="shared" si="1"/>
        <v>#DIV/0!</v>
      </c>
    </row>
    <row r="53" spans="1:8" x14ac:dyDescent="0.25">
      <c r="A53" s="1">
        <v>43849</v>
      </c>
      <c r="B53" s="2" t="s">
        <v>24</v>
      </c>
      <c r="C53" t="str">
        <f t="shared" si="0"/>
        <v>43849 - 3S</v>
      </c>
      <c r="D53" s="6">
        <f>IFERROR((VLOOKUP(C53,'Daily Scrap by Shift'!$A:$D,2,0)),0)</f>
        <v>0</v>
      </c>
      <c r="E53" s="6">
        <f>IFERROR((VLOOKUP(C53,'Daily Scrap by Shift'!$A:$D,3,0)),0)</f>
        <v>0</v>
      </c>
      <c r="F53" s="6">
        <f>IFERROR((VLOOKUP(C53,'Daily Scrap by Shift'!$A:$D,4,0)),0)</f>
        <v>0</v>
      </c>
      <c r="H53" s="3" t="e">
        <f t="shared" si="1"/>
        <v>#DIV/0!</v>
      </c>
    </row>
    <row r="54" spans="1:8" x14ac:dyDescent="0.25">
      <c r="A54" s="1">
        <v>43849</v>
      </c>
      <c r="B54" s="2" t="s">
        <v>25</v>
      </c>
      <c r="C54" t="str">
        <f t="shared" si="0"/>
        <v>43849 - 1S</v>
      </c>
      <c r="D54" s="6">
        <f>IFERROR((VLOOKUP(C54,'Daily Scrap by Shift'!$A:$D,2,0)),0)</f>
        <v>8000</v>
      </c>
      <c r="E54" s="6">
        <f>IFERROR((VLOOKUP(C54,'Daily Scrap by Shift'!$A:$D,3,0)),0)</f>
        <v>18</v>
      </c>
      <c r="F54" s="6">
        <f>IFERROR((VLOOKUP(C54,'Daily Scrap by Shift'!$A:$D,4,0)),0)</f>
        <v>20.7372744</v>
      </c>
      <c r="H54" s="3" t="e">
        <f t="shared" si="1"/>
        <v>#DIV/0!</v>
      </c>
    </row>
    <row r="55" spans="1:8" x14ac:dyDescent="0.25">
      <c r="A55" s="1">
        <v>43849</v>
      </c>
      <c r="B55" s="2" t="s">
        <v>26</v>
      </c>
      <c r="C55" t="str">
        <f t="shared" si="0"/>
        <v>43849 - 2S</v>
      </c>
      <c r="D55" s="6">
        <f>IFERROR((VLOOKUP(C55,'Daily Scrap by Shift'!$A:$D,2,0)),0)</f>
        <v>7000</v>
      </c>
      <c r="E55" s="6">
        <f>IFERROR((VLOOKUP(C55,'Daily Scrap by Shift'!$A:$D,3,0)),0)</f>
        <v>24</v>
      </c>
      <c r="F55" s="6">
        <f>IFERROR((VLOOKUP(C55,'Daily Scrap by Shift'!$A:$D,4,0)),0)</f>
        <v>27.649699200000001</v>
      </c>
      <c r="H55" s="3" t="e">
        <f t="shared" si="1"/>
        <v>#DIV/0!</v>
      </c>
    </row>
    <row r="56" spans="1:8" x14ac:dyDescent="0.25">
      <c r="A56" s="1">
        <v>43850</v>
      </c>
      <c r="B56" s="2" t="s">
        <v>24</v>
      </c>
      <c r="C56" t="str">
        <f t="shared" si="0"/>
        <v>43850 - 3S</v>
      </c>
      <c r="D56" s="6">
        <f>IFERROR((VLOOKUP(C56,'Daily Scrap by Shift'!$A:$D,2,0)),0)</f>
        <v>0</v>
      </c>
      <c r="E56" s="6">
        <f>IFERROR((VLOOKUP(C56,'Daily Scrap by Shift'!$A:$D,3,0)),0)</f>
        <v>0</v>
      </c>
      <c r="F56" s="6">
        <f>IFERROR((VLOOKUP(C56,'Daily Scrap by Shift'!$A:$D,4,0)),0)</f>
        <v>0</v>
      </c>
      <c r="G56" s="33">
        <v>403</v>
      </c>
      <c r="H56" s="3">
        <f t="shared" si="1"/>
        <v>-1</v>
      </c>
    </row>
    <row r="57" spans="1:8" x14ac:dyDescent="0.25">
      <c r="A57" s="1">
        <v>43850</v>
      </c>
      <c r="B57" s="2" t="s">
        <v>25</v>
      </c>
      <c r="C57" t="str">
        <f t="shared" si="0"/>
        <v>43850 - 1S</v>
      </c>
      <c r="D57" s="6">
        <f>IFERROR((VLOOKUP(C57,'Daily Scrap by Shift'!$A:$D,2,0)),0)</f>
        <v>0</v>
      </c>
      <c r="E57" s="6">
        <f>IFERROR((VLOOKUP(C57,'Daily Scrap by Shift'!$A:$D,3,0)),0)</f>
        <v>0</v>
      </c>
      <c r="F57" s="6">
        <f>IFERROR((VLOOKUP(C57,'Daily Scrap by Shift'!$A:$D,4,0)),0)</f>
        <v>0</v>
      </c>
      <c r="H57" s="3" t="e">
        <f t="shared" si="1"/>
        <v>#DIV/0!</v>
      </c>
    </row>
    <row r="58" spans="1:8" x14ac:dyDescent="0.25">
      <c r="A58" s="1">
        <v>43850</v>
      </c>
      <c r="B58" s="2" t="s">
        <v>26</v>
      </c>
      <c r="C58" t="str">
        <f t="shared" si="0"/>
        <v>43850 - 2S</v>
      </c>
      <c r="D58" s="6">
        <f>IFERROR((VLOOKUP(C58,'Daily Scrap by Shift'!$A:$D,2,0)),0)</f>
        <v>4000</v>
      </c>
      <c r="E58" s="6">
        <f>IFERROR((VLOOKUP(C58,'Daily Scrap by Shift'!$A:$D,3,0)),0)</f>
        <v>73</v>
      </c>
      <c r="F58" s="6">
        <f>IFERROR((VLOOKUP(C58,'Daily Scrap by Shift'!$A:$D,4,0)),0)</f>
        <v>84.101168399999992</v>
      </c>
      <c r="H58" s="3" t="e">
        <f t="shared" si="1"/>
        <v>#DIV/0!</v>
      </c>
    </row>
    <row r="59" spans="1:8" x14ac:dyDescent="0.25">
      <c r="A59" s="1">
        <v>43851</v>
      </c>
      <c r="B59" s="2" t="s">
        <v>24</v>
      </c>
      <c r="C59" t="str">
        <f t="shared" si="0"/>
        <v>43851 - 3S</v>
      </c>
      <c r="D59" s="6">
        <f>IFERROR((VLOOKUP(C59,'Daily Scrap by Shift'!$A:$D,2,0)),0)</f>
        <v>4305.6000000000004</v>
      </c>
      <c r="E59" s="6">
        <f>IFERROR((VLOOKUP(C59,'Daily Scrap by Shift'!$A:$D,3,0)),0)</f>
        <v>341</v>
      </c>
      <c r="F59" s="6">
        <f>IFERROR((VLOOKUP(C59,'Daily Scrap by Shift'!$A:$D,4,0)),0)</f>
        <v>661.72889000000009</v>
      </c>
      <c r="G59" s="33">
        <v>316</v>
      </c>
      <c r="H59" s="3">
        <f t="shared" si="1"/>
        <v>1.0940787658227851</v>
      </c>
    </row>
    <row r="60" spans="1:8" x14ac:dyDescent="0.25">
      <c r="A60" s="1">
        <v>43851</v>
      </c>
      <c r="B60" s="2" t="s">
        <v>25</v>
      </c>
      <c r="C60" t="str">
        <f t="shared" si="0"/>
        <v>43851 - 1S</v>
      </c>
      <c r="D60" s="6">
        <f>IFERROR((VLOOKUP(C60,'Daily Scrap by Shift'!$A:$D,2,0)),0)</f>
        <v>0</v>
      </c>
      <c r="E60" s="6">
        <f>IFERROR((VLOOKUP(C60,'Daily Scrap by Shift'!$A:$D,3,0)),0)</f>
        <v>0</v>
      </c>
      <c r="F60" s="6">
        <f>IFERROR((VLOOKUP(C60,'Daily Scrap by Shift'!$A:$D,4,0)),0)</f>
        <v>0</v>
      </c>
      <c r="H60" s="3" t="e">
        <f t="shared" si="1"/>
        <v>#DIV/0!</v>
      </c>
    </row>
    <row r="61" spans="1:8" x14ac:dyDescent="0.25">
      <c r="A61" s="1">
        <v>43851</v>
      </c>
      <c r="B61" s="2" t="s">
        <v>26</v>
      </c>
      <c r="C61" t="str">
        <f t="shared" si="0"/>
        <v>43851 - 2S</v>
      </c>
      <c r="D61" s="6">
        <f>IFERROR((VLOOKUP(C61,'Daily Scrap by Shift'!$A:$D,2,0)),0)</f>
        <v>12217.84</v>
      </c>
      <c r="E61" s="6">
        <f>IFERROR((VLOOKUP(C61,'Daily Scrap by Shift'!$A:$D,3,0)),0)</f>
        <v>355</v>
      </c>
      <c r="F61" s="6">
        <f>IFERROR((VLOOKUP(C61,'Daily Scrap by Shift'!$A:$D,4,0)),0)</f>
        <v>744.84508200000005</v>
      </c>
      <c r="G61" s="33">
        <v>354</v>
      </c>
      <c r="H61" s="3">
        <f t="shared" si="1"/>
        <v>1.104082152542373</v>
      </c>
    </row>
    <row r="62" spans="1:8" x14ac:dyDescent="0.25">
      <c r="A62" s="1">
        <v>43852</v>
      </c>
      <c r="B62" s="2" t="s">
        <v>24</v>
      </c>
      <c r="C62" t="str">
        <f t="shared" si="0"/>
        <v>43852 - 3S</v>
      </c>
      <c r="D62" s="6">
        <f>IFERROR((VLOOKUP(C62,'Daily Scrap by Shift'!$A:$D,2,0)),0)</f>
        <v>20150.560000000001</v>
      </c>
      <c r="E62" s="6">
        <f>IFERROR((VLOOKUP(C62,'Daily Scrap by Shift'!$A:$D,3,0)),0)</f>
        <v>1164</v>
      </c>
      <c r="F62" s="6">
        <f>IFERROR((VLOOKUP(C62,'Daily Scrap by Shift'!$A:$D,4,0)),0)</f>
        <v>2424.0257499999998</v>
      </c>
      <c r="G62" s="33">
        <v>1160</v>
      </c>
      <c r="H62" s="3">
        <f t="shared" si="1"/>
        <v>1.089677370689655</v>
      </c>
    </row>
    <row r="63" spans="1:8" x14ac:dyDescent="0.25">
      <c r="A63" s="1">
        <v>43852</v>
      </c>
      <c r="B63" s="2" t="s">
        <v>25</v>
      </c>
      <c r="C63" t="str">
        <f t="shared" si="0"/>
        <v>43852 - 1S</v>
      </c>
      <c r="D63" s="6">
        <f>IFERROR((VLOOKUP(C63,'Daily Scrap by Shift'!$A:$D,2,0)),0)</f>
        <v>32886.239999999998</v>
      </c>
      <c r="E63" s="6">
        <f>IFERROR((VLOOKUP(C63,'Daily Scrap by Shift'!$A:$D,3,0)),0)</f>
        <v>908</v>
      </c>
      <c r="F63" s="6">
        <f>IFERROR((VLOOKUP(C63,'Daily Scrap by Shift'!$A:$D,4,0)),0)</f>
        <v>1877.2946855999999</v>
      </c>
      <c r="G63" s="33">
        <v>746</v>
      </c>
      <c r="H63" s="3">
        <f t="shared" si="1"/>
        <v>1.5164808117962465</v>
      </c>
    </row>
    <row r="64" spans="1:8" x14ac:dyDescent="0.25">
      <c r="A64" s="1">
        <v>43852</v>
      </c>
      <c r="B64" s="2" t="s">
        <v>26</v>
      </c>
      <c r="C64" t="str">
        <f t="shared" si="0"/>
        <v>43852 - 2S</v>
      </c>
      <c r="D64" s="6">
        <f>IFERROR((VLOOKUP(C64,'Daily Scrap by Shift'!$A:$D,2,0)),0)</f>
        <v>26014.880000000001</v>
      </c>
      <c r="E64" s="6">
        <f>IFERROR((VLOOKUP(C64,'Daily Scrap by Shift'!$A:$D,3,0)),0)</f>
        <v>389</v>
      </c>
      <c r="F64" s="6">
        <f>IFERROR((VLOOKUP(C64,'Daily Scrap by Shift'!$A:$D,4,0)),0)</f>
        <v>902.96664520000013</v>
      </c>
      <c r="G64" s="33">
        <v>419</v>
      </c>
      <c r="H64" s="3">
        <f t="shared" si="1"/>
        <v>1.1550516591885445</v>
      </c>
    </row>
    <row r="65" spans="1:8" x14ac:dyDescent="0.25">
      <c r="A65" s="1">
        <v>43853</v>
      </c>
      <c r="B65" s="2" t="s">
        <v>24</v>
      </c>
      <c r="C65" t="str">
        <f t="shared" si="0"/>
        <v>43853 - 3S</v>
      </c>
      <c r="D65" s="6">
        <f>IFERROR((VLOOKUP(C65,'Daily Scrap by Shift'!$A:$D,2,0)),0)</f>
        <v>21760</v>
      </c>
      <c r="E65" s="6">
        <f>IFERROR((VLOOKUP(C65,'Daily Scrap by Shift'!$A:$D,3,0)),0)</f>
        <v>531</v>
      </c>
      <c r="F65" s="6">
        <f>IFERROR((VLOOKUP(C65,'Daily Scrap by Shift'!$A:$D,4,0)),0)</f>
        <v>1222.9085299999999</v>
      </c>
      <c r="G65" s="33">
        <v>544</v>
      </c>
      <c r="H65" s="3">
        <f t="shared" si="1"/>
        <v>1.2479936213235292</v>
      </c>
    </row>
    <row r="66" spans="1:8" x14ac:dyDescent="0.25">
      <c r="A66" s="1">
        <v>43853</v>
      </c>
      <c r="B66" s="2" t="s">
        <v>25</v>
      </c>
      <c r="C66" t="str">
        <f t="shared" si="0"/>
        <v>43853 - 1S</v>
      </c>
      <c r="D66" s="6">
        <f>IFERROR((VLOOKUP(C66,'Daily Scrap by Shift'!$A:$D,2,0)),0)</f>
        <v>23010.11</v>
      </c>
      <c r="E66" s="6">
        <f>IFERROR((VLOOKUP(C66,'Daily Scrap by Shift'!$A:$D,3,0)),0)</f>
        <v>669</v>
      </c>
      <c r="F66" s="6">
        <f>IFERROR((VLOOKUP(C66,'Daily Scrap by Shift'!$A:$D,4,0)),0)</f>
        <v>1781.3442447999998</v>
      </c>
      <c r="G66" s="33">
        <v>662</v>
      </c>
      <c r="H66" s="3">
        <f t="shared" si="1"/>
        <v>1.690852333534743</v>
      </c>
    </row>
    <row r="67" spans="1:8" x14ac:dyDescent="0.25">
      <c r="A67" s="1">
        <v>43853</v>
      </c>
      <c r="B67" s="2" t="s">
        <v>26</v>
      </c>
      <c r="C67" t="str">
        <f t="shared" ref="C67:C91" si="2">CONCATENATE(A67," - ",B67)</f>
        <v>43853 - 2S</v>
      </c>
      <c r="D67" s="6">
        <f>IFERROR((VLOOKUP(C67,'Daily Scrap by Shift'!$A:$D,2,0)),0)</f>
        <v>17407.04</v>
      </c>
      <c r="E67" s="6">
        <f>IFERROR((VLOOKUP(C67,'Daily Scrap by Shift'!$A:$D,3,0)),0)</f>
        <v>729</v>
      </c>
      <c r="F67" s="6">
        <f>IFERROR((VLOOKUP(C67,'Daily Scrap by Shift'!$A:$D,4,0)),0)</f>
        <v>1487.6042048000002</v>
      </c>
      <c r="G67" s="33">
        <v>761</v>
      </c>
      <c r="H67" s="3">
        <f t="shared" ref="H67:H91" si="3">(F67-G67)/G67</f>
        <v>0.95480184599211582</v>
      </c>
    </row>
    <row r="68" spans="1:8" x14ac:dyDescent="0.25">
      <c r="A68" s="1">
        <v>43854</v>
      </c>
      <c r="B68" s="2" t="s">
        <v>24</v>
      </c>
      <c r="C68" t="str">
        <f t="shared" si="2"/>
        <v>43854 - 3S</v>
      </c>
      <c r="D68" s="6">
        <f>IFERROR((VLOOKUP(C68,'Daily Scrap by Shift'!$A:$D,2,0)),0)</f>
        <v>10374.880000000001</v>
      </c>
      <c r="E68" s="6">
        <f>IFERROR((VLOOKUP(C68,'Daily Scrap by Shift'!$A:$D,3,0)),0)</f>
        <v>439</v>
      </c>
      <c r="F68" s="6">
        <f>IFERROR((VLOOKUP(C68,'Daily Scrap by Shift'!$A:$D,4,0)),0)</f>
        <v>1173.0168100000001</v>
      </c>
      <c r="G68" s="33">
        <v>613</v>
      </c>
      <c r="H68" s="3">
        <f t="shared" si="3"/>
        <v>0.91356738988580766</v>
      </c>
    </row>
    <row r="69" spans="1:8" x14ac:dyDescent="0.25">
      <c r="A69" s="1">
        <v>43854</v>
      </c>
      <c r="B69" s="2" t="s">
        <v>25</v>
      </c>
      <c r="C69" t="str">
        <f t="shared" si="2"/>
        <v>43854 - 1S</v>
      </c>
      <c r="D69" s="6">
        <f>IFERROR((VLOOKUP(C69,'Daily Scrap by Shift'!$A:$D,2,0)),0)</f>
        <v>15503.52</v>
      </c>
      <c r="E69" s="6">
        <f>IFERROR((VLOOKUP(C69,'Daily Scrap by Shift'!$A:$D,3,0)),0)</f>
        <v>279</v>
      </c>
      <c r="F69" s="6">
        <f>IFERROR((VLOOKUP(C69,'Daily Scrap by Shift'!$A:$D,4,0)),0)</f>
        <v>690.65947760000006</v>
      </c>
      <c r="G69" s="33">
        <v>297</v>
      </c>
      <c r="H69" s="3">
        <f t="shared" si="3"/>
        <v>1.3254527865319867</v>
      </c>
    </row>
    <row r="70" spans="1:8" x14ac:dyDescent="0.25">
      <c r="A70" s="1">
        <v>43854</v>
      </c>
      <c r="B70" s="2" t="s">
        <v>26</v>
      </c>
      <c r="C70" t="str">
        <f t="shared" si="2"/>
        <v>43854 - 2S</v>
      </c>
      <c r="D70" s="6">
        <f>IFERROR((VLOOKUP(C70,'Daily Scrap by Shift'!$A:$D,2,0)),0)</f>
        <v>11200</v>
      </c>
      <c r="E70" s="6">
        <f>IFERROR((VLOOKUP(C70,'Daily Scrap by Shift'!$A:$D,3,0)),0)</f>
        <v>55</v>
      </c>
      <c r="F70" s="6">
        <f>IFERROR((VLOOKUP(C70,'Daily Scrap by Shift'!$A:$D,4,0)),0)</f>
        <v>144.48207000000002</v>
      </c>
      <c r="G70" s="33">
        <v>343</v>
      </c>
      <c r="H70" s="3">
        <f t="shared" si="3"/>
        <v>-0.57876947521865885</v>
      </c>
    </row>
    <row r="71" spans="1:8" x14ac:dyDescent="0.25">
      <c r="A71" s="1">
        <v>43855</v>
      </c>
      <c r="B71" s="2" t="s">
        <v>24</v>
      </c>
      <c r="C71" t="str">
        <f t="shared" si="2"/>
        <v>43855 - 3S</v>
      </c>
      <c r="D71" s="6">
        <f>IFERROR((VLOOKUP(C71,'Daily Scrap by Shift'!$A:$D,2,0)),0)</f>
        <v>0</v>
      </c>
      <c r="E71" s="6">
        <f>IFERROR((VLOOKUP(C71,'Daily Scrap by Shift'!$A:$D,3,0)),0)</f>
        <v>0</v>
      </c>
      <c r="F71" s="6">
        <f>IFERROR((VLOOKUP(C71,'Daily Scrap by Shift'!$A:$D,4,0)),0)</f>
        <v>0</v>
      </c>
      <c r="G71" s="33">
        <v>0</v>
      </c>
      <c r="H71" s="3" t="e">
        <f t="shared" si="3"/>
        <v>#DIV/0!</v>
      </c>
    </row>
    <row r="72" spans="1:8" x14ac:dyDescent="0.25">
      <c r="A72" s="1">
        <v>43855</v>
      </c>
      <c r="B72" s="2" t="s">
        <v>25</v>
      </c>
      <c r="C72" t="str">
        <f t="shared" si="2"/>
        <v>43855 - 1S</v>
      </c>
      <c r="D72" s="6">
        <f>IFERROR((VLOOKUP(C72,'Daily Scrap by Shift'!$A:$D,2,0)),0)</f>
        <v>8000</v>
      </c>
      <c r="E72" s="6">
        <f>IFERROR((VLOOKUP(C72,'Daily Scrap by Shift'!$A:$D,3,0)),0)</f>
        <v>81</v>
      </c>
      <c r="F72" s="6">
        <f>IFERROR((VLOOKUP(C72,'Daily Scrap by Shift'!$A:$D,4,0)),0)</f>
        <v>93.317734799999997</v>
      </c>
      <c r="H72" s="3" t="e">
        <f t="shared" si="3"/>
        <v>#DIV/0!</v>
      </c>
    </row>
    <row r="73" spans="1:8" x14ac:dyDescent="0.25">
      <c r="A73" s="1">
        <v>43855</v>
      </c>
      <c r="B73" s="2" t="s">
        <v>26</v>
      </c>
      <c r="C73" t="str">
        <f t="shared" si="2"/>
        <v>43855 - 2S</v>
      </c>
      <c r="D73" s="6">
        <f>IFERROR((VLOOKUP(C73,'Daily Scrap by Shift'!$A:$D,2,0)),0)</f>
        <v>12000</v>
      </c>
      <c r="E73" s="6">
        <f>IFERROR((VLOOKUP(C73,'Daily Scrap by Shift'!$A:$D,3,0)),0)</f>
        <v>207</v>
      </c>
      <c r="F73" s="6">
        <f>IFERROR((VLOOKUP(C73,'Daily Scrap by Shift'!$A:$D,4,0)),0)</f>
        <v>238.4786556</v>
      </c>
      <c r="H73" s="3" t="e">
        <f t="shared" si="3"/>
        <v>#DIV/0!</v>
      </c>
    </row>
    <row r="74" spans="1:8" x14ac:dyDescent="0.25">
      <c r="A74" s="1">
        <v>43856</v>
      </c>
      <c r="B74" s="2" t="s">
        <v>24</v>
      </c>
      <c r="C74" t="str">
        <f t="shared" si="2"/>
        <v>43856 - 3S</v>
      </c>
      <c r="D74" s="6">
        <f>IFERROR((VLOOKUP(C74,'Daily Scrap by Shift'!$A:$D,2,0)),0)</f>
        <v>0</v>
      </c>
      <c r="E74" s="6">
        <f>IFERROR((VLOOKUP(C74,'Daily Scrap by Shift'!$A:$D,3,0)),0)</f>
        <v>0</v>
      </c>
      <c r="F74" s="6">
        <f>IFERROR((VLOOKUP(C74,'Daily Scrap by Shift'!$A:$D,4,0)),0)</f>
        <v>0</v>
      </c>
      <c r="H74" s="3" t="e">
        <f t="shared" si="3"/>
        <v>#DIV/0!</v>
      </c>
    </row>
    <row r="75" spans="1:8" x14ac:dyDescent="0.25">
      <c r="A75" s="1">
        <v>43856</v>
      </c>
      <c r="B75" s="2" t="s">
        <v>25</v>
      </c>
      <c r="C75" t="str">
        <f t="shared" si="2"/>
        <v>43856 - 1S</v>
      </c>
      <c r="D75" s="6">
        <f>IFERROR((VLOOKUP(C75,'Daily Scrap by Shift'!$A:$D,2,0)),0)</f>
        <v>4000</v>
      </c>
      <c r="E75" s="6">
        <f>IFERROR((VLOOKUP(C75,'Daily Scrap by Shift'!$A:$D,3,0)),0)</f>
        <v>1</v>
      </c>
      <c r="F75" s="6">
        <f>IFERROR((VLOOKUP(C75,'Daily Scrap by Shift'!$A:$D,4,0)),0)</f>
        <v>1.1520708</v>
      </c>
      <c r="H75" s="3" t="e">
        <f t="shared" si="3"/>
        <v>#DIV/0!</v>
      </c>
    </row>
    <row r="76" spans="1:8" x14ac:dyDescent="0.25">
      <c r="A76" s="1">
        <v>43856</v>
      </c>
      <c r="B76" s="2" t="s">
        <v>26</v>
      </c>
      <c r="C76" t="str">
        <f t="shared" si="2"/>
        <v>43856 - 2S</v>
      </c>
      <c r="D76" s="6">
        <f>IFERROR((VLOOKUP(C76,'Daily Scrap by Shift'!$A:$D,2,0)),0)</f>
        <v>10000</v>
      </c>
      <c r="E76" s="6">
        <f>IFERROR((VLOOKUP(C76,'Daily Scrap by Shift'!$A:$D,3,0)),0)</f>
        <v>21</v>
      </c>
      <c r="F76" s="6">
        <f>IFERROR((VLOOKUP(C76,'Daily Scrap by Shift'!$A:$D,4,0)),0)</f>
        <v>24.193486799999999</v>
      </c>
      <c r="H76" s="3" t="e">
        <f t="shared" si="3"/>
        <v>#DIV/0!</v>
      </c>
    </row>
    <row r="77" spans="1:8" x14ac:dyDescent="0.25">
      <c r="A77" s="1">
        <v>43857</v>
      </c>
      <c r="B77" s="2" t="s">
        <v>24</v>
      </c>
      <c r="C77" t="str">
        <f t="shared" si="2"/>
        <v>43857 - 3S</v>
      </c>
      <c r="D77" s="6">
        <f>IFERROR((VLOOKUP(C77,'Daily Scrap by Shift'!$A:$D,2,0)),0)</f>
        <v>0</v>
      </c>
      <c r="E77" s="6">
        <f>IFERROR((VLOOKUP(C77,'Daily Scrap by Shift'!$A:$D,3,0)),0)</f>
        <v>7</v>
      </c>
      <c r="F77" s="6">
        <f>IFERROR((VLOOKUP(C77,'Daily Scrap by Shift'!$A:$D,4,0)),0)</f>
        <v>0</v>
      </c>
      <c r="G77" s="33">
        <v>322</v>
      </c>
      <c r="H77" s="3">
        <f t="shared" si="3"/>
        <v>-1</v>
      </c>
    </row>
    <row r="78" spans="1:8" x14ac:dyDescent="0.25">
      <c r="A78" s="1">
        <v>43857</v>
      </c>
      <c r="B78" s="2" t="s">
        <v>25</v>
      </c>
      <c r="C78" t="str">
        <f t="shared" si="2"/>
        <v>43857 - 1S</v>
      </c>
      <c r="D78" s="6">
        <f>IFERROR((VLOOKUP(C78,'Daily Scrap by Shift'!$A:$D,2,0)),0)</f>
        <v>14040</v>
      </c>
      <c r="E78" s="6">
        <f>IFERROR((VLOOKUP(C78,'Daily Scrap by Shift'!$A:$D,3,0)),0)</f>
        <v>117</v>
      </c>
      <c r="F78" s="6">
        <f>IFERROR((VLOOKUP(C78,'Daily Scrap by Shift'!$A:$D,4,0)),0)</f>
        <v>159.13954999999996</v>
      </c>
      <c r="G78" s="33">
        <v>215</v>
      </c>
      <c r="H78" s="3">
        <f t="shared" si="3"/>
        <v>-0.2598160465116281</v>
      </c>
    </row>
    <row r="79" spans="1:8" x14ac:dyDescent="0.25">
      <c r="A79" s="1">
        <v>43857</v>
      </c>
      <c r="B79" s="2" t="s">
        <v>26</v>
      </c>
      <c r="C79" t="str">
        <f t="shared" si="2"/>
        <v>43857 - 2S</v>
      </c>
      <c r="D79" s="6">
        <f>IFERROR((VLOOKUP(C79,'Daily Scrap by Shift'!$A:$D,2,0)),0)</f>
        <v>7420</v>
      </c>
      <c r="E79" s="6">
        <f>IFERROR((VLOOKUP(C79,'Daily Scrap by Shift'!$A:$D,3,0)),0)</f>
        <v>589</v>
      </c>
      <c r="F79" s="6">
        <f>IFERROR((VLOOKUP(C79,'Daily Scrap by Shift'!$A:$D,4,0)),0)</f>
        <v>1056.0169559999999</v>
      </c>
      <c r="G79" s="33">
        <v>619</v>
      </c>
      <c r="H79" s="3">
        <f t="shared" si="3"/>
        <v>0.70600477544426488</v>
      </c>
    </row>
    <row r="80" spans="1:8" x14ac:dyDescent="0.25">
      <c r="A80" s="1">
        <v>43858</v>
      </c>
      <c r="B80" s="2" t="s">
        <v>24</v>
      </c>
      <c r="C80" t="str">
        <f t="shared" si="2"/>
        <v>43858 - 3S</v>
      </c>
      <c r="D80" s="6">
        <f>IFERROR((VLOOKUP(C80,'Daily Scrap by Shift'!$A:$D,2,0)),0)</f>
        <v>3600</v>
      </c>
      <c r="E80" s="6">
        <f>IFERROR((VLOOKUP(C80,'Daily Scrap by Shift'!$A:$D,3,0)),0)</f>
        <v>316</v>
      </c>
      <c r="F80" s="6">
        <f>IFERROR((VLOOKUP(C80,'Daily Scrap by Shift'!$A:$D,4,0)),0)</f>
        <v>614.72744</v>
      </c>
      <c r="G80" s="33" t="s">
        <v>64</v>
      </c>
      <c r="H80" s="3" t="e">
        <f t="shared" si="3"/>
        <v>#VALUE!</v>
      </c>
    </row>
    <row r="81" spans="1:8" x14ac:dyDescent="0.25">
      <c r="A81" s="1">
        <v>43858</v>
      </c>
      <c r="B81" s="2" t="s">
        <v>25</v>
      </c>
      <c r="C81" t="str">
        <f t="shared" si="2"/>
        <v>43858 - 1S</v>
      </c>
      <c r="D81" s="6">
        <f>IFERROR((VLOOKUP(C81,'Daily Scrap by Shift'!$A:$D,2,0)),0)</f>
        <v>14400</v>
      </c>
      <c r="E81" s="6">
        <f>IFERROR((VLOOKUP(C81,'Daily Scrap by Shift'!$A:$D,3,0)),0)</f>
        <v>439</v>
      </c>
      <c r="F81" s="6">
        <f>IFERROR((VLOOKUP(C81,'Daily Scrap by Shift'!$A:$D,4,0)),0)</f>
        <v>798.62752799999998</v>
      </c>
      <c r="G81" s="33">
        <v>410</v>
      </c>
      <c r="H81" s="3">
        <f t="shared" si="3"/>
        <v>0.94787201951219513</v>
      </c>
    </row>
    <row r="82" spans="1:8" x14ac:dyDescent="0.25">
      <c r="A82" s="1">
        <v>43858</v>
      </c>
      <c r="B82" s="2" t="s">
        <v>26</v>
      </c>
      <c r="C82" t="str">
        <f t="shared" si="2"/>
        <v>43858 - 2S</v>
      </c>
      <c r="D82" s="6">
        <f>IFERROR((VLOOKUP(C82,'Daily Scrap by Shift'!$A:$D,2,0)),0)</f>
        <v>11200</v>
      </c>
      <c r="E82" s="6">
        <f>IFERROR((VLOOKUP(C82,'Daily Scrap by Shift'!$A:$D,3,0)),0)</f>
        <v>594</v>
      </c>
      <c r="F82" s="6">
        <f>IFERROR((VLOOKUP(C82,'Daily Scrap by Shift'!$A:$D,4,0)),0)</f>
        <v>1449.630134</v>
      </c>
      <c r="G82" s="33">
        <v>665</v>
      </c>
      <c r="H82" s="3">
        <f t="shared" si="3"/>
        <v>1.1798949383458646</v>
      </c>
    </row>
    <row r="83" spans="1:8" x14ac:dyDescent="0.25">
      <c r="A83" s="1">
        <v>43859</v>
      </c>
      <c r="B83" s="2" t="s">
        <v>24</v>
      </c>
      <c r="C83" t="str">
        <f t="shared" si="2"/>
        <v>43859 - 3S</v>
      </c>
      <c r="D83" s="6">
        <f>IFERROR((VLOOKUP(C83,'Daily Scrap by Shift'!$A:$D,2,0)),0)</f>
        <v>15120</v>
      </c>
      <c r="E83" s="6">
        <f>IFERROR((VLOOKUP(C83,'Daily Scrap by Shift'!$A:$D,3,0)),0)</f>
        <v>461</v>
      </c>
      <c r="F83" s="6">
        <f>IFERROR((VLOOKUP(C83,'Daily Scrap by Shift'!$A:$D,4,0)),0)</f>
        <v>1185.3129100000001</v>
      </c>
      <c r="G83" s="33">
        <v>545</v>
      </c>
      <c r="H83" s="3">
        <f t="shared" si="3"/>
        <v>1.1748860733944957</v>
      </c>
    </row>
    <row r="84" spans="1:8" x14ac:dyDescent="0.25">
      <c r="A84" s="1">
        <v>43859</v>
      </c>
      <c r="B84" s="2" t="s">
        <v>25</v>
      </c>
      <c r="C84" t="str">
        <f t="shared" si="2"/>
        <v>43859 - 1S</v>
      </c>
      <c r="D84" s="6">
        <f>IFERROR((VLOOKUP(C84,'Daily Scrap by Shift'!$A:$D,2,0)),0)</f>
        <v>25480</v>
      </c>
      <c r="E84" s="6">
        <f>IFERROR((VLOOKUP(C84,'Daily Scrap by Shift'!$A:$D,3,0)),0)</f>
        <v>555</v>
      </c>
      <c r="F84" s="6">
        <f>IFERROR((VLOOKUP(C84,'Daily Scrap by Shift'!$A:$D,4,0)),0)</f>
        <v>1418.7853235999999</v>
      </c>
      <c r="G84" s="33">
        <v>554</v>
      </c>
      <c r="H84" s="3">
        <f t="shared" si="3"/>
        <v>1.5609843386281586</v>
      </c>
    </row>
    <row r="85" spans="1:8" x14ac:dyDescent="0.25">
      <c r="A85" s="1">
        <v>43859</v>
      </c>
      <c r="B85" s="2" t="s">
        <v>26</v>
      </c>
      <c r="C85" t="str">
        <f t="shared" si="2"/>
        <v>43859 - 2S</v>
      </c>
      <c r="D85" s="6">
        <f>IFERROR((VLOOKUP(C85,'Daily Scrap by Shift'!$A:$D,2,0)),0)</f>
        <v>26960</v>
      </c>
      <c r="E85" s="6">
        <f>IFERROR((VLOOKUP(C85,'Daily Scrap by Shift'!$A:$D,3,0)),0)</f>
        <v>720</v>
      </c>
      <c r="F85" s="6">
        <f>IFERROR((VLOOKUP(C85,'Daily Scrap by Shift'!$A:$D,4,0)),0)</f>
        <v>1724.3077136000002</v>
      </c>
      <c r="G85" s="33">
        <v>716</v>
      </c>
      <c r="H85" s="3">
        <f t="shared" si="3"/>
        <v>1.408250996648045</v>
      </c>
    </row>
    <row r="86" spans="1:8" x14ac:dyDescent="0.25">
      <c r="A86" s="1">
        <v>43860</v>
      </c>
      <c r="B86" s="2" t="s">
        <v>24</v>
      </c>
      <c r="C86" t="str">
        <f t="shared" si="2"/>
        <v>43860 - 3S</v>
      </c>
      <c r="D86" s="6">
        <f>IFERROR((VLOOKUP(C86,'Daily Scrap by Shift'!$A:$D,2,0)),0)</f>
        <v>10000</v>
      </c>
      <c r="E86" s="6">
        <f>IFERROR((VLOOKUP(C86,'Daily Scrap by Shift'!$A:$D,3,0)),0)</f>
        <v>417</v>
      </c>
      <c r="F86" s="6">
        <f>IFERROR((VLOOKUP(C86,'Daily Scrap by Shift'!$A:$D,4,0)),0)</f>
        <v>1135.9166700000001</v>
      </c>
      <c r="G86" s="33">
        <v>460</v>
      </c>
      <c r="H86" s="3">
        <f t="shared" si="3"/>
        <v>1.4693840652173915</v>
      </c>
    </row>
    <row r="87" spans="1:8" x14ac:dyDescent="0.25">
      <c r="A87" s="1">
        <v>43860</v>
      </c>
      <c r="B87" s="2" t="s">
        <v>25</v>
      </c>
      <c r="C87" t="str">
        <f t="shared" si="2"/>
        <v>43860 - 1S</v>
      </c>
      <c r="D87" s="6">
        <f>IFERROR((VLOOKUP(C87,'Daily Scrap by Shift'!$A:$D,2,0)),0)</f>
        <v>26200</v>
      </c>
      <c r="E87" s="6">
        <f>IFERROR((VLOOKUP(C87,'Daily Scrap by Shift'!$A:$D,3,0)),0)</f>
        <v>546</v>
      </c>
      <c r="F87" s="6">
        <f>IFERROR((VLOOKUP(C87,'Daily Scrap by Shift'!$A:$D,4,0)),0)</f>
        <v>1506.2532272000001</v>
      </c>
      <c r="G87" s="33">
        <v>492</v>
      </c>
      <c r="H87" s="3">
        <f t="shared" si="3"/>
        <v>2.0614902991869921</v>
      </c>
    </row>
    <row r="88" spans="1:8" x14ac:dyDescent="0.25">
      <c r="A88" s="1">
        <v>43860</v>
      </c>
      <c r="B88" s="2" t="s">
        <v>26</v>
      </c>
      <c r="C88" t="str">
        <f t="shared" si="2"/>
        <v>43860 - 2S</v>
      </c>
      <c r="D88" s="6">
        <f>IFERROR((VLOOKUP(C88,'Daily Scrap by Shift'!$A:$D,2,0)),0)</f>
        <v>27200</v>
      </c>
      <c r="E88" s="6">
        <f>IFERROR((VLOOKUP(C88,'Daily Scrap by Shift'!$A:$D,3,0)),0)</f>
        <v>527</v>
      </c>
      <c r="F88" s="6">
        <f>IFERROR((VLOOKUP(C88,'Daily Scrap by Shift'!$A:$D,4,0)),0)</f>
        <v>1325.5276212000001</v>
      </c>
      <c r="G88" s="33">
        <v>601</v>
      </c>
      <c r="H88" s="3">
        <f t="shared" si="3"/>
        <v>1.2055368073211317</v>
      </c>
    </row>
    <row r="89" spans="1:8" x14ac:dyDescent="0.25">
      <c r="A89" s="1">
        <v>43861</v>
      </c>
      <c r="B89" s="2" t="s">
        <v>24</v>
      </c>
      <c r="C89" t="str">
        <f t="shared" si="2"/>
        <v>43861 - 3S</v>
      </c>
      <c r="D89" s="6">
        <f>IFERROR((VLOOKUP(C89,'Daily Scrap by Shift'!$A:$D,2,0)),0)</f>
        <v>13040</v>
      </c>
      <c r="E89" s="6">
        <f>IFERROR((VLOOKUP(C89,'Daily Scrap by Shift'!$A:$D,3,0)),0)</f>
        <v>351</v>
      </c>
      <c r="F89" s="6">
        <f>IFERROR((VLOOKUP(C89,'Daily Scrap by Shift'!$A:$D,4,0)),0)</f>
        <v>963.68282999999997</v>
      </c>
      <c r="G89" s="33">
        <v>432</v>
      </c>
      <c r="H89" s="3">
        <f t="shared" si="3"/>
        <v>1.2307472916666666</v>
      </c>
    </row>
    <row r="90" spans="1:8" x14ac:dyDescent="0.25">
      <c r="A90" s="1">
        <v>43861</v>
      </c>
      <c r="B90" s="2" t="s">
        <v>25</v>
      </c>
      <c r="C90" t="str">
        <f t="shared" si="2"/>
        <v>43861 - 1S</v>
      </c>
      <c r="D90" s="6">
        <f>IFERROR((VLOOKUP(C90,'Daily Scrap by Shift'!$A:$D,2,0)),0)</f>
        <v>7200</v>
      </c>
      <c r="E90" s="6">
        <f>IFERROR((VLOOKUP(C90,'Daily Scrap by Shift'!$A:$D,3,0)),0)</f>
        <v>20</v>
      </c>
      <c r="F90" s="6">
        <f>IFERROR((VLOOKUP(C90,'Daily Scrap by Shift'!$A:$D,4,0)),0)</f>
        <v>77.120200000000011</v>
      </c>
      <c r="G90" s="33">
        <v>0</v>
      </c>
      <c r="H90" s="3" t="e">
        <f t="shared" si="3"/>
        <v>#DIV/0!</v>
      </c>
    </row>
    <row r="91" spans="1:8" x14ac:dyDescent="0.25">
      <c r="A91" s="1">
        <v>43861</v>
      </c>
      <c r="B91" s="2" t="s">
        <v>26</v>
      </c>
      <c r="C91" t="str">
        <f t="shared" si="2"/>
        <v>43861 - 2S</v>
      </c>
      <c r="D91" s="6">
        <f>IFERROR((VLOOKUP(C91,'Daily Scrap by Shift'!$A:$D,2,0)),0)</f>
        <v>800</v>
      </c>
      <c r="E91" s="6">
        <f>IFERROR((VLOOKUP(C91,'Daily Scrap by Shift'!$A:$D,3,0)),0)</f>
        <v>192</v>
      </c>
      <c r="F91" s="6">
        <f>IFERROR((VLOOKUP(C91,'Daily Scrap by Shift'!$A:$D,4,0)),0)</f>
        <v>740.35392000000002</v>
      </c>
      <c r="G91" s="33">
        <v>206</v>
      </c>
      <c r="H91" s="3">
        <f t="shared" si="3"/>
        <v>2.5939510679611653</v>
      </c>
    </row>
    <row r="92" spans="1:8" x14ac:dyDescent="0.25">
      <c r="A92" s="1">
        <v>43862</v>
      </c>
      <c r="B92" s="2" t="s">
        <v>24</v>
      </c>
      <c r="C92" t="str">
        <f t="shared" ref="C92:C111" si="4">CONCATENATE(A92," - ",B92)</f>
        <v>43862 - 3S</v>
      </c>
      <c r="D92" s="6">
        <f>IFERROR((VLOOKUP(C92,'Daily Scrap by Shift'!$A:$D,2,0)),0)</f>
        <v>0</v>
      </c>
      <c r="E92" s="6">
        <f>IFERROR((VLOOKUP(C92,'Daily Scrap by Shift'!$A:$D,3,0)),0)</f>
        <v>0</v>
      </c>
      <c r="F92" s="6">
        <f>IFERROR((VLOOKUP(C92,'Daily Scrap by Shift'!$A:$D,4,0)),0)</f>
        <v>0</v>
      </c>
      <c r="H92" s="3" t="e">
        <f t="shared" ref="H92:H111" si="5">(F92-G92)/G92</f>
        <v>#DIV/0!</v>
      </c>
    </row>
    <row r="93" spans="1:8" x14ac:dyDescent="0.25">
      <c r="A93" s="1">
        <v>43862</v>
      </c>
      <c r="B93" s="2" t="s">
        <v>25</v>
      </c>
      <c r="C93" t="str">
        <f t="shared" si="4"/>
        <v>43862 - 1S</v>
      </c>
      <c r="D93" s="6">
        <f>IFERROR((VLOOKUP(C93,'Daily Scrap by Shift'!$A:$D,2,0)),0)</f>
        <v>700</v>
      </c>
      <c r="E93" s="6">
        <f>IFERROR((VLOOKUP(C93,'Daily Scrap by Shift'!$A:$D,3,0)),0)</f>
        <v>75</v>
      </c>
      <c r="F93" s="6">
        <f>IFERROR((VLOOKUP(C93,'Daily Scrap by Shift'!$A:$D,4,0)),0)</f>
        <v>118.65599999999999</v>
      </c>
      <c r="H93" s="3" t="e">
        <f t="shared" si="5"/>
        <v>#DIV/0!</v>
      </c>
    </row>
    <row r="94" spans="1:8" x14ac:dyDescent="0.25">
      <c r="A94" s="1">
        <v>43862</v>
      </c>
      <c r="B94" s="2" t="s">
        <v>26</v>
      </c>
      <c r="C94" t="str">
        <f t="shared" si="4"/>
        <v>43862 - 2S</v>
      </c>
      <c r="D94" s="6">
        <f>IFERROR((VLOOKUP(C94,'Daily Scrap by Shift'!$A:$D,2,0)),0)</f>
        <v>6002</v>
      </c>
      <c r="E94" s="6">
        <f>IFERROR((VLOOKUP(C94,'Daily Scrap by Shift'!$A:$D,3,0)),0)</f>
        <v>2</v>
      </c>
      <c r="F94" s="6">
        <f>IFERROR((VLOOKUP(C94,'Daily Scrap by Shift'!$A:$D,4,0)),0)</f>
        <v>3.1641599999999999</v>
      </c>
      <c r="H94" s="3" t="e">
        <f t="shared" si="5"/>
        <v>#DIV/0!</v>
      </c>
    </row>
    <row r="95" spans="1:8" x14ac:dyDescent="0.25">
      <c r="A95" s="1">
        <v>43863</v>
      </c>
      <c r="B95" s="2" t="s">
        <v>24</v>
      </c>
      <c r="C95" t="str">
        <f t="shared" si="4"/>
        <v>43863 - 3S</v>
      </c>
      <c r="D95" s="6">
        <f>IFERROR((VLOOKUP(C95,'Daily Scrap by Shift'!$A:$D,2,0)),0)</f>
        <v>0</v>
      </c>
      <c r="E95" s="6">
        <f>IFERROR((VLOOKUP(C95,'Daily Scrap by Shift'!$A:$D,3,0)),0)</f>
        <v>0</v>
      </c>
      <c r="F95" s="6">
        <f>IFERROR((VLOOKUP(C95,'Daily Scrap by Shift'!$A:$D,4,0)),0)</f>
        <v>0</v>
      </c>
      <c r="H95" s="3" t="e">
        <f t="shared" si="5"/>
        <v>#DIV/0!</v>
      </c>
    </row>
    <row r="96" spans="1:8" x14ac:dyDescent="0.25">
      <c r="A96" s="1">
        <v>43863</v>
      </c>
      <c r="B96" s="2" t="s">
        <v>25</v>
      </c>
      <c r="C96" t="str">
        <f t="shared" si="4"/>
        <v>43863 - 1S</v>
      </c>
      <c r="D96" s="6">
        <f>IFERROR((VLOOKUP(C96,'Daily Scrap by Shift'!$A:$D,2,0)),0)</f>
        <v>10010</v>
      </c>
      <c r="E96" s="6">
        <f>IFERROR((VLOOKUP(C96,'Daily Scrap by Shift'!$A:$D,3,0)),0)</f>
        <v>10</v>
      </c>
      <c r="F96" s="6">
        <f>IFERROR((VLOOKUP(C96,'Daily Scrap by Shift'!$A:$D,4,0)),0)</f>
        <v>15.820799999999998</v>
      </c>
      <c r="H96" s="3" t="e">
        <f t="shared" si="5"/>
        <v>#DIV/0!</v>
      </c>
    </row>
    <row r="97" spans="1:8" x14ac:dyDescent="0.25">
      <c r="A97" s="1">
        <v>43863</v>
      </c>
      <c r="B97" s="2" t="s">
        <v>26</v>
      </c>
      <c r="C97" t="str">
        <f t="shared" si="4"/>
        <v>43863 - 2S</v>
      </c>
      <c r="D97" s="6">
        <f>IFERROR((VLOOKUP(C97,'Daily Scrap by Shift'!$A:$D,2,0)),0)</f>
        <v>7002</v>
      </c>
      <c r="E97" s="6">
        <f>IFERROR((VLOOKUP(C97,'Daily Scrap by Shift'!$A:$D,3,0)),0)</f>
        <v>2</v>
      </c>
      <c r="F97" s="6">
        <f>IFERROR((VLOOKUP(C97,'Daily Scrap by Shift'!$A:$D,4,0)),0)</f>
        <v>3.1641599999999999</v>
      </c>
      <c r="H97" s="3" t="e">
        <f t="shared" si="5"/>
        <v>#DIV/0!</v>
      </c>
    </row>
    <row r="98" spans="1:8" x14ac:dyDescent="0.25">
      <c r="A98" s="1">
        <v>43864</v>
      </c>
      <c r="B98" s="2" t="s">
        <v>24</v>
      </c>
      <c r="C98" t="str">
        <f t="shared" si="4"/>
        <v>43864 - 3S</v>
      </c>
      <c r="D98" s="6">
        <f>IFERROR((VLOOKUP(C98,'Daily Scrap by Shift'!$A:$D,2,0)),0)</f>
        <v>0</v>
      </c>
      <c r="E98" s="6">
        <f>IFERROR((VLOOKUP(C98,'Daily Scrap by Shift'!$A:$D,3,0)),0)</f>
        <v>0</v>
      </c>
      <c r="F98" s="6">
        <f>IFERROR((VLOOKUP(C98,'Daily Scrap by Shift'!$A:$D,4,0)),0)</f>
        <v>0</v>
      </c>
      <c r="G98" s="33">
        <v>371</v>
      </c>
      <c r="H98" s="3">
        <f t="shared" si="5"/>
        <v>-1</v>
      </c>
    </row>
    <row r="99" spans="1:8" x14ac:dyDescent="0.25">
      <c r="A99" s="1">
        <v>43864</v>
      </c>
      <c r="B99" s="2" t="s">
        <v>25</v>
      </c>
      <c r="C99" t="str">
        <f t="shared" si="4"/>
        <v>43864 - 1S</v>
      </c>
      <c r="D99" s="6">
        <f>IFERROR((VLOOKUP(C99,'Daily Scrap by Shift'!$A:$D,2,0)),0)</f>
        <v>13566</v>
      </c>
      <c r="E99" s="6">
        <f>IFERROR((VLOOKUP(C99,'Daily Scrap by Shift'!$A:$D,3,0)),0)</f>
        <v>285</v>
      </c>
      <c r="F99" s="6">
        <f>IFERROR((VLOOKUP(C99,'Daily Scrap by Shift'!$A:$D,4,0)),0)</f>
        <v>544.85730000000001</v>
      </c>
      <c r="G99" s="33">
        <v>334</v>
      </c>
      <c r="H99" s="3">
        <f t="shared" si="5"/>
        <v>0.63130928143712572</v>
      </c>
    </row>
    <row r="100" spans="1:8" x14ac:dyDescent="0.25">
      <c r="A100" s="1">
        <v>43864</v>
      </c>
      <c r="B100" s="2" t="s">
        <v>26</v>
      </c>
      <c r="C100" t="str">
        <f t="shared" si="4"/>
        <v>43864 - 2S</v>
      </c>
      <c r="D100" s="6">
        <f>IFERROR((VLOOKUP(C100,'Daily Scrap by Shift'!$A:$D,2,0)),0)</f>
        <v>13317</v>
      </c>
      <c r="E100" s="6">
        <f>IFERROR((VLOOKUP(C100,'Daily Scrap by Shift'!$A:$D,3,0)),0)</f>
        <v>373</v>
      </c>
      <c r="F100" s="6">
        <f>IFERROR((VLOOKUP(C100,'Daily Scrap by Shift'!$A:$D,4,0)),0)</f>
        <v>674.19894000000011</v>
      </c>
      <c r="G100" s="33">
        <v>383</v>
      </c>
      <c r="H100" s="3">
        <f t="shared" si="5"/>
        <v>0.76031054830287237</v>
      </c>
    </row>
    <row r="101" spans="1:8" x14ac:dyDescent="0.25">
      <c r="A101" s="1">
        <v>43865</v>
      </c>
      <c r="B101" s="2" t="s">
        <v>24</v>
      </c>
      <c r="C101" t="str">
        <f t="shared" si="4"/>
        <v>43865 - 3S</v>
      </c>
      <c r="D101" s="6">
        <f>IFERROR((VLOOKUP(C101,'Daily Scrap by Shift'!$A:$D,2,0)),0)</f>
        <v>10879</v>
      </c>
      <c r="E101" s="6">
        <f>IFERROR((VLOOKUP(C101,'Daily Scrap by Shift'!$A:$D,3,0)),0)</f>
        <v>233</v>
      </c>
      <c r="F101" s="6">
        <f>IFERROR((VLOOKUP(C101,'Daily Scrap by Shift'!$A:$D,4,0)),0)</f>
        <v>445.44474000000002</v>
      </c>
      <c r="G101" s="33">
        <v>252</v>
      </c>
      <c r="H101" s="3">
        <f t="shared" si="5"/>
        <v>0.76763785714285726</v>
      </c>
    </row>
    <row r="102" spans="1:8" x14ac:dyDescent="0.25">
      <c r="A102" s="1">
        <v>43865</v>
      </c>
      <c r="B102" s="2" t="s">
        <v>25</v>
      </c>
      <c r="C102" t="str">
        <f t="shared" si="4"/>
        <v>43865 - 1S</v>
      </c>
      <c r="D102" s="6">
        <f>IFERROR((VLOOKUP(C102,'Daily Scrap by Shift'!$A:$D,2,0)),0)</f>
        <v>832</v>
      </c>
      <c r="E102" s="6">
        <f>IFERROR((VLOOKUP(C102,'Daily Scrap by Shift'!$A:$D,3,0)),0)</f>
        <v>15</v>
      </c>
      <c r="F102" s="6">
        <f>IFERROR((VLOOKUP(C102,'Daily Scrap by Shift'!$A:$D,4,0)),0)</f>
        <v>26.76492</v>
      </c>
      <c r="G102" s="33">
        <v>475</v>
      </c>
      <c r="H102" s="3">
        <f t="shared" si="5"/>
        <v>-0.94365279999999996</v>
      </c>
    </row>
    <row r="103" spans="1:8" x14ac:dyDescent="0.25">
      <c r="A103" s="1">
        <v>43865</v>
      </c>
      <c r="B103" s="2" t="s">
        <v>26</v>
      </c>
      <c r="C103" t="str">
        <f t="shared" si="4"/>
        <v>43865 - 2S</v>
      </c>
      <c r="D103" s="6">
        <f>IFERROR((VLOOKUP(C103,'Daily Scrap by Shift'!$A:$D,2,0)),0)</f>
        <v>12440</v>
      </c>
      <c r="E103" s="6">
        <f>IFERROR((VLOOKUP(C103,'Daily Scrap by Shift'!$A:$D,3,0)),0)</f>
        <v>421</v>
      </c>
      <c r="F103" s="6">
        <f>IFERROR((VLOOKUP(C103,'Daily Scrap by Shift'!$A:$D,4,0)),0)</f>
        <v>1042.76298</v>
      </c>
      <c r="G103" s="33">
        <v>447</v>
      </c>
      <c r="H103" s="3">
        <f t="shared" si="5"/>
        <v>1.3328030872483221</v>
      </c>
    </row>
    <row r="104" spans="1:8" x14ac:dyDescent="0.25">
      <c r="A104" s="1">
        <v>43866</v>
      </c>
      <c r="B104" s="2" t="s">
        <v>24</v>
      </c>
      <c r="C104" t="str">
        <f t="shared" si="4"/>
        <v>43866 - 3S</v>
      </c>
      <c r="D104" s="6">
        <f>IFERROR((VLOOKUP(C104,'Daily Scrap by Shift'!$A:$D,2,0)),0)</f>
        <v>16742</v>
      </c>
      <c r="E104" s="6">
        <f>IFERROR((VLOOKUP(C104,'Daily Scrap by Shift'!$A:$D,3,0)),0)</f>
        <v>377</v>
      </c>
      <c r="F104" s="6">
        <f>IFERROR((VLOOKUP(C104,'Daily Scrap by Shift'!$A:$D,4,0)),0)</f>
        <v>885.78476999999998</v>
      </c>
      <c r="G104" s="33">
        <v>372</v>
      </c>
      <c r="H104" s="3">
        <f t="shared" si="5"/>
        <v>1.3811418548387095</v>
      </c>
    </row>
    <row r="105" spans="1:8" x14ac:dyDescent="0.25">
      <c r="A105" s="1">
        <v>43866</v>
      </c>
      <c r="B105" s="2" t="s">
        <v>25</v>
      </c>
      <c r="C105" t="str">
        <f t="shared" si="4"/>
        <v>43866 - 1S</v>
      </c>
      <c r="D105" s="6">
        <f>IFERROR((VLOOKUP(C105,'Daily Scrap by Shift'!$A:$D,2,0)),0)</f>
        <v>25189</v>
      </c>
      <c r="E105" s="6">
        <f>IFERROR((VLOOKUP(C105,'Daily Scrap by Shift'!$A:$D,3,0)),0)</f>
        <v>479</v>
      </c>
      <c r="F105" s="6">
        <f>IFERROR((VLOOKUP(C105,'Daily Scrap by Shift'!$A:$D,4,0)),0)</f>
        <v>1270.1636699999999</v>
      </c>
      <c r="G105" s="33">
        <v>519</v>
      </c>
      <c r="H105" s="3">
        <f t="shared" si="5"/>
        <v>1.4473288439306358</v>
      </c>
    </row>
    <row r="106" spans="1:8" x14ac:dyDescent="0.25">
      <c r="A106" s="1">
        <v>43866</v>
      </c>
      <c r="B106" s="2" t="s">
        <v>26</v>
      </c>
      <c r="C106" t="str">
        <f t="shared" si="4"/>
        <v>43866 - 2S</v>
      </c>
      <c r="D106" s="6">
        <f>IFERROR((VLOOKUP(C106,'Daily Scrap by Shift'!$A:$D,2,0)),0)</f>
        <v>16034</v>
      </c>
      <c r="E106" s="6">
        <f>IFERROR((VLOOKUP(C106,'Daily Scrap by Shift'!$A:$D,3,0)),0)</f>
        <v>452</v>
      </c>
      <c r="F106" s="6">
        <f>IFERROR((VLOOKUP(C106,'Daily Scrap by Shift'!$A:$D,4,0)),0)</f>
        <v>1118.5958999999998</v>
      </c>
      <c r="G106" s="33">
        <v>537</v>
      </c>
      <c r="H106" s="3">
        <f t="shared" si="5"/>
        <v>1.0830463687150835</v>
      </c>
    </row>
    <row r="107" spans="1:8" x14ac:dyDescent="0.25">
      <c r="A107" s="1">
        <v>43867</v>
      </c>
      <c r="B107" s="2" t="s">
        <v>24</v>
      </c>
      <c r="C107" t="str">
        <f t="shared" si="4"/>
        <v>43867 - 3S</v>
      </c>
      <c r="D107" s="6">
        <f>IFERROR((VLOOKUP(C107,'Daily Scrap by Shift'!$A:$D,2,0)),0)</f>
        <v>15675</v>
      </c>
      <c r="E107" s="6">
        <f>IFERROR((VLOOKUP(C107,'Daily Scrap by Shift'!$A:$D,3,0)),0)</f>
        <v>398</v>
      </c>
      <c r="F107" s="6">
        <f>IFERROR((VLOOKUP(C107,'Daily Scrap by Shift'!$A:$D,4,0)),0)</f>
        <v>605.18373000000008</v>
      </c>
      <c r="G107" s="33">
        <v>581</v>
      </c>
      <c r="H107" s="3">
        <f t="shared" si="5"/>
        <v>4.1624320137693772E-2</v>
      </c>
    </row>
    <row r="108" spans="1:8" x14ac:dyDescent="0.25">
      <c r="A108" s="1">
        <v>43867</v>
      </c>
      <c r="B108" s="2" t="s">
        <v>25</v>
      </c>
      <c r="C108" t="str">
        <f t="shared" si="4"/>
        <v>43867 - 1S</v>
      </c>
      <c r="D108" s="6">
        <f>IFERROR((VLOOKUP(C108,'Daily Scrap by Shift'!$A:$D,2,0)),0)</f>
        <v>23371</v>
      </c>
      <c r="E108" s="6">
        <f>IFERROR((VLOOKUP(C108,'Daily Scrap by Shift'!$A:$D,3,0)),0)</f>
        <v>306</v>
      </c>
      <c r="F108" s="6">
        <f>IFERROR((VLOOKUP(C108,'Daily Scrap by Shift'!$A:$D,4,0)),0)</f>
        <v>934.20321200000001</v>
      </c>
      <c r="G108" s="33">
        <v>205</v>
      </c>
      <c r="H108" s="3">
        <f t="shared" si="5"/>
        <v>3.5570888390243902</v>
      </c>
    </row>
    <row r="109" spans="1:8" x14ac:dyDescent="0.25">
      <c r="A109" s="1">
        <v>43867</v>
      </c>
      <c r="B109" s="2" t="s">
        <v>26</v>
      </c>
      <c r="C109" t="str">
        <f t="shared" si="4"/>
        <v>43867 - 2S</v>
      </c>
      <c r="D109" s="6">
        <f>IFERROR((VLOOKUP(C109,'Daily Scrap by Shift'!$A:$D,2,0)),0)</f>
        <v>20007</v>
      </c>
      <c r="E109" s="6">
        <f>IFERROR((VLOOKUP(C109,'Daily Scrap by Shift'!$A:$D,3,0)),0)</f>
        <v>439</v>
      </c>
      <c r="F109" s="6">
        <f>IFERROR((VLOOKUP(C109,'Daily Scrap by Shift'!$A:$D,4,0)),0)</f>
        <v>1238.4073879999999</v>
      </c>
      <c r="G109" s="33">
        <v>626</v>
      </c>
      <c r="H109" s="3">
        <f t="shared" si="5"/>
        <v>0.9782865623003193</v>
      </c>
    </row>
    <row r="110" spans="1:8" x14ac:dyDescent="0.25">
      <c r="A110" s="1">
        <v>43868</v>
      </c>
      <c r="B110" s="2" t="s">
        <v>24</v>
      </c>
      <c r="C110" t="str">
        <f t="shared" si="4"/>
        <v>43868 - 3S</v>
      </c>
      <c r="D110" s="6">
        <f>IFERROR((VLOOKUP(C110,'Daily Scrap by Shift'!$A:$D,2,0)),0)</f>
        <v>11128</v>
      </c>
      <c r="E110" s="6">
        <f>IFERROR((VLOOKUP(C110,'Daily Scrap by Shift'!$A:$D,3,0)),0)</f>
        <v>305</v>
      </c>
      <c r="F110" s="6">
        <f>IFERROR((VLOOKUP(C110,'Daily Scrap by Shift'!$A:$D,4,0)),0)</f>
        <v>682.21939999999995</v>
      </c>
      <c r="G110" s="33">
        <v>419</v>
      </c>
      <c r="H110" s="3">
        <f t="shared" si="5"/>
        <v>0.62820859188544143</v>
      </c>
    </row>
    <row r="111" spans="1:8" x14ac:dyDescent="0.25">
      <c r="A111" s="1">
        <v>43868</v>
      </c>
      <c r="B111" s="2" t="s">
        <v>25</v>
      </c>
      <c r="C111" t="str">
        <f t="shared" si="4"/>
        <v>43868 - 1S</v>
      </c>
      <c r="D111" s="6">
        <f>IFERROR((VLOOKUP(C111,'Daily Scrap by Shift'!$A:$D,2,0)),0)</f>
        <v>10774</v>
      </c>
      <c r="E111" s="6">
        <f>IFERROR((VLOOKUP(C111,'Daily Scrap by Shift'!$A:$D,3,0)),0)</f>
        <v>446</v>
      </c>
      <c r="F111" s="6">
        <f>IFERROR((VLOOKUP(C111,'Daily Scrap by Shift'!$A:$D,4,0)),0)</f>
        <v>1140.1207300000001</v>
      </c>
      <c r="G111" s="33">
        <v>566</v>
      </c>
      <c r="H111" s="3">
        <f t="shared" si="5"/>
        <v>1.0143475795053005</v>
      </c>
    </row>
    <row r="112" spans="1:8" x14ac:dyDescent="0.25">
      <c r="A112" s="1">
        <v>43868</v>
      </c>
      <c r="B112" s="2" t="s">
        <v>26</v>
      </c>
      <c r="C112" t="str">
        <f t="shared" ref="C112:C133" si="6">CONCATENATE(A112," - ",B112)</f>
        <v>43868 - 2S</v>
      </c>
      <c r="D112" s="6">
        <f>IFERROR((VLOOKUP(C112,'Daily Scrap by Shift'!$A:$D,2,0)),0)</f>
        <v>13016</v>
      </c>
      <c r="E112" s="6">
        <f>IFERROR((VLOOKUP(C112,'Daily Scrap by Shift'!$A:$D,3,0)),0)</f>
        <v>16</v>
      </c>
      <c r="F112" s="6">
        <f>IFERROR((VLOOKUP(C112,'Daily Scrap by Shift'!$A:$D,4,0)),0)</f>
        <v>31.213056000000002</v>
      </c>
      <c r="H112" s="3" t="e">
        <f t="shared" ref="H112:H133" si="7">(F112-G112)/G112</f>
        <v>#DIV/0!</v>
      </c>
    </row>
    <row r="113" spans="1:8" x14ac:dyDescent="0.25">
      <c r="A113" s="1">
        <v>43869</v>
      </c>
      <c r="B113" s="2" t="s">
        <v>24</v>
      </c>
      <c r="C113" t="str">
        <f t="shared" si="6"/>
        <v>43869 - 3S</v>
      </c>
      <c r="D113" s="6">
        <f>IFERROR((VLOOKUP(C113,'Daily Scrap by Shift'!$A:$D,2,0)),0)</f>
        <v>0</v>
      </c>
      <c r="E113" s="6">
        <f>IFERROR((VLOOKUP(C113,'Daily Scrap by Shift'!$A:$D,3,0)),0)</f>
        <v>0</v>
      </c>
      <c r="F113" s="6">
        <f>IFERROR((VLOOKUP(C113,'Daily Scrap by Shift'!$A:$D,4,0)),0)</f>
        <v>0</v>
      </c>
      <c r="H113" s="3" t="e">
        <f t="shared" si="7"/>
        <v>#DIV/0!</v>
      </c>
    </row>
    <row r="114" spans="1:8" x14ac:dyDescent="0.25">
      <c r="A114" s="1">
        <v>43869</v>
      </c>
      <c r="B114" s="2" t="s">
        <v>25</v>
      </c>
      <c r="C114" t="str">
        <f t="shared" si="6"/>
        <v>43869 - 1S</v>
      </c>
      <c r="D114" s="6">
        <f>IFERROR((VLOOKUP(C114,'Daily Scrap by Shift'!$A:$D,2,0)),0)</f>
        <v>10004</v>
      </c>
      <c r="E114" s="6">
        <f>IFERROR((VLOOKUP(C114,'Daily Scrap by Shift'!$A:$D,3,0)),0)</f>
        <v>4</v>
      </c>
      <c r="F114" s="6">
        <f>IFERROR((VLOOKUP(C114,'Daily Scrap by Shift'!$A:$D,4,0)),0)</f>
        <v>7.8032640000000004</v>
      </c>
      <c r="H114" s="3" t="e">
        <f t="shared" si="7"/>
        <v>#DIV/0!</v>
      </c>
    </row>
    <row r="115" spans="1:8" x14ac:dyDescent="0.25">
      <c r="A115" s="1">
        <v>43869</v>
      </c>
      <c r="B115" s="2" t="s">
        <v>26</v>
      </c>
      <c r="C115" t="str">
        <f t="shared" si="6"/>
        <v>43869 - 2S</v>
      </c>
      <c r="D115" s="6">
        <f>IFERROR((VLOOKUP(C115,'Daily Scrap by Shift'!$A:$D,2,0)),0)</f>
        <v>10000</v>
      </c>
      <c r="E115" s="6">
        <f>IFERROR((VLOOKUP(C115,'Daily Scrap by Shift'!$A:$D,3,0)),0)</f>
        <v>0</v>
      </c>
      <c r="F115" s="6">
        <f>IFERROR((VLOOKUP(C115,'Daily Scrap by Shift'!$A:$D,4,0)),0)</f>
        <v>0</v>
      </c>
      <c r="H115" s="3" t="e">
        <f t="shared" si="7"/>
        <v>#DIV/0!</v>
      </c>
    </row>
    <row r="116" spans="1:8" x14ac:dyDescent="0.25">
      <c r="A116" s="1">
        <v>43870</v>
      </c>
      <c r="B116" s="2" t="s">
        <v>24</v>
      </c>
      <c r="C116" t="str">
        <f t="shared" si="6"/>
        <v>43870 - 3S</v>
      </c>
      <c r="D116" s="6">
        <f>IFERROR((VLOOKUP(C116,'Daily Scrap by Shift'!$A:$D,2,0)),0)</f>
        <v>0</v>
      </c>
      <c r="E116" s="6">
        <f>IFERROR((VLOOKUP(C116,'Daily Scrap by Shift'!$A:$D,3,0)),0)</f>
        <v>0</v>
      </c>
      <c r="F116" s="6">
        <f>IFERROR((VLOOKUP(C116,'Daily Scrap by Shift'!$A:$D,4,0)),0)</f>
        <v>0</v>
      </c>
      <c r="H116" s="3" t="e">
        <f t="shared" si="7"/>
        <v>#DIV/0!</v>
      </c>
    </row>
    <row r="117" spans="1:8" x14ac:dyDescent="0.25">
      <c r="A117" s="1">
        <v>43870</v>
      </c>
      <c r="B117" s="2" t="s">
        <v>25</v>
      </c>
      <c r="C117" t="str">
        <f t="shared" si="6"/>
        <v>43870 - 1S</v>
      </c>
      <c r="D117" s="6">
        <f>IFERROR((VLOOKUP(C117,'Daily Scrap by Shift'!$A:$D,2,0)),0)</f>
        <v>8008</v>
      </c>
      <c r="E117" s="6">
        <f>IFERROR((VLOOKUP(C117,'Daily Scrap by Shift'!$A:$D,3,0)),0)</f>
        <v>8</v>
      </c>
      <c r="F117" s="6">
        <f>IFERROR((VLOOKUP(C117,'Daily Scrap by Shift'!$A:$D,4,0)),0)</f>
        <v>15.606528000000001</v>
      </c>
      <c r="H117" s="3" t="e">
        <f t="shared" si="7"/>
        <v>#DIV/0!</v>
      </c>
    </row>
    <row r="118" spans="1:8" x14ac:dyDescent="0.25">
      <c r="A118" s="1">
        <v>43870</v>
      </c>
      <c r="B118" s="2" t="s">
        <v>26</v>
      </c>
      <c r="C118" t="str">
        <f t="shared" si="6"/>
        <v>43870 - 2S</v>
      </c>
      <c r="D118" s="6">
        <f>IFERROR((VLOOKUP(C118,'Daily Scrap by Shift'!$A:$D,2,0)),0)</f>
        <v>9007</v>
      </c>
      <c r="E118" s="6">
        <f>IFERROR((VLOOKUP(C118,'Daily Scrap by Shift'!$A:$D,3,0)),0)</f>
        <v>7</v>
      </c>
      <c r="F118" s="6">
        <f>IFERROR((VLOOKUP(C118,'Daily Scrap by Shift'!$A:$D,4,0)),0)</f>
        <v>13.655712000000001</v>
      </c>
      <c r="H118" s="3" t="e">
        <f t="shared" si="7"/>
        <v>#DIV/0!</v>
      </c>
    </row>
    <row r="119" spans="1:8" x14ac:dyDescent="0.25">
      <c r="A119" s="1">
        <v>43871</v>
      </c>
      <c r="B119" s="2" t="s">
        <v>24</v>
      </c>
      <c r="C119" t="str">
        <f t="shared" si="6"/>
        <v>43871 - 3S</v>
      </c>
      <c r="D119" s="6">
        <f>IFERROR((VLOOKUP(C119,'Daily Scrap by Shift'!$A:$D,2,0)),0)</f>
        <v>57</v>
      </c>
      <c r="E119" s="6">
        <f>IFERROR((VLOOKUP(C119,'Daily Scrap by Shift'!$A:$D,3,0)),0)</f>
        <v>57</v>
      </c>
      <c r="F119" s="6">
        <f>IFERROR((VLOOKUP(C119,'Daily Scrap by Shift'!$A:$D,4,0)),0)</f>
        <v>108.97146000000001</v>
      </c>
      <c r="G119" s="33">
        <v>141</v>
      </c>
      <c r="H119" s="3">
        <f t="shared" si="7"/>
        <v>-0.22715276595744677</v>
      </c>
    </row>
    <row r="120" spans="1:8" x14ac:dyDescent="0.25">
      <c r="A120" s="1">
        <v>43871</v>
      </c>
      <c r="B120" s="2" t="s">
        <v>25</v>
      </c>
      <c r="C120" t="str">
        <f t="shared" si="6"/>
        <v>43871 - 1S</v>
      </c>
      <c r="D120" s="6">
        <f>IFERROR((VLOOKUP(C120,'Daily Scrap by Shift'!$A:$D,2,0)),0)</f>
        <v>13922</v>
      </c>
      <c r="E120" s="6">
        <f>IFERROR((VLOOKUP(C120,'Daily Scrap by Shift'!$A:$D,3,0)),0)</f>
        <v>220</v>
      </c>
      <c r="F120" s="6">
        <f>IFERROR((VLOOKUP(C120,'Daily Scrap by Shift'!$A:$D,4,0)),0)</f>
        <v>422.14741800000002</v>
      </c>
      <c r="G120" s="33">
        <v>217</v>
      </c>
      <c r="H120" s="3">
        <f t="shared" si="7"/>
        <v>0.94537980645161301</v>
      </c>
    </row>
    <row r="121" spans="1:8" x14ac:dyDescent="0.25">
      <c r="A121" s="1">
        <v>43871</v>
      </c>
      <c r="B121" s="2" t="s">
        <v>26</v>
      </c>
      <c r="C121" t="str">
        <f t="shared" si="6"/>
        <v>43871 - 2S</v>
      </c>
      <c r="D121" s="6">
        <f>IFERROR((VLOOKUP(C121,'Daily Scrap by Shift'!$A:$D,2,0)),0)</f>
        <v>14905</v>
      </c>
      <c r="E121" s="6">
        <f>IFERROR((VLOOKUP(C121,'Daily Scrap by Shift'!$A:$D,3,0)),0)</f>
        <v>203</v>
      </c>
      <c r="F121" s="6">
        <f>IFERROR((VLOOKUP(C121,'Daily Scrap by Shift'!$A:$D,4,0)),0)</f>
        <v>331.94974200000001</v>
      </c>
      <c r="G121" s="33">
        <v>188</v>
      </c>
      <c r="H121" s="3">
        <f t="shared" si="7"/>
        <v>0.76569011702127665</v>
      </c>
    </row>
    <row r="122" spans="1:8" x14ac:dyDescent="0.25">
      <c r="A122" s="1">
        <v>43872</v>
      </c>
      <c r="B122" s="2" t="s">
        <v>24</v>
      </c>
      <c r="C122" t="str">
        <f t="shared" si="6"/>
        <v>43872 - 3S</v>
      </c>
      <c r="D122" s="6">
        <f>IFERROR((VLOOKUP(C122,'Daily Scrap by Shift'!$A:$D,2,0)),0)</f>
        <v>6614</v>
      </c>
      <c r="E122" s="6">
        <f>IFERROR((VLOOKUP(C122,'Daily Scrap by Shift'!$A:$D,3,0)),0)</f>
        <v>199</v>
      </c>
      <c r="F122" s="6">
        <f>IFERROR((VLOOKUP(C122,'Daily Scrap by Shift'!$A:$D,4,0)),0)</f>
        <v>333.80334000000005</v>
      </c>
      <c r="G122" s="33">
        <v>209</v>
      </c>
      <c r="H122" s="3">
        <f t="shared" si="7"/>
        <v>0.59714516746411506</v>
      </c>
    </row>
    <row r="123" spans="1:8" x14ac:dyDescent="0.25">
      <c r="A123" s="1">
        <v>43872</v>
      </c>
      <c r="B123" s="2" t="s">
        <v>25</v>
      </c>
      <c r="C123" t="str">
        <f t="shared" si="6"/>
        <v>43872 - 1S</v>
      </c>
      <c r="D123" s="6">
        <f>IFERROR((VLOOKUP(C123,'Daily Scrap by Shift'!$A:$D,2,0)),0)</f>
        <v>16368</v>
      </c>
      <c r="E123" s="6">
        <f>IFERROR((VLOOKUP(C123,'Daily Scrap by Shift'!$A:$D,3,0)),0)</f>
        <v>240</v>
      </c>
      <c r="F123" s="6">
        <f>IFERROR((VLOOKUP(C123,'Daily Scrap by Shift'!$A:$D,4,0)),0)</f>
        <v>598.96868199999994</v>
      </c>
      <c r="G123" s="33">
        <v>207</v>
      </c>
      <c r="H123" s="3">
        <f t="shared" si="7"/>
        <v>1.8935685120772945</v>
      </c>
    </row>
    <row r="124" spans="1:8" x14ac:dyDescent="0.25">
      <c r="A124" s="1">
        <v>43872</v>
      </c>
      <c r="B124" s="2" t="s">
        <v>26</v>
      </c>
      <c r="C124" t="str">
        <f t="shared" si="6"/>
        <v>43872 - 2S</v>
      </c>
      <c r="D124" s="6">
        <f>IFERROR((VLOOKUP(C124,'Daily Scrap by Shift'!$A:$D,2,0)),0)</f>
        <v>20571</v>
      </c>
      <c r="E124" s="6">
        <f>IFERROR((VLOOKUP(C124,'Daily Scrap by Shift'!$A:$D,3,0)),0)</f>
        <v>269</v>
      </c>
      <c r="F124" s="6">
        <f>IFERROR((VLOOKUP(C124,'Daily Scrap by Shift'!$A:$D,4,0)),0)</f>
        <v>695.95640800000001</v>
      </c>
      <c r="G124" s="33">
        <v>417</v>
      </c>
      <c r="H124" s="3">
        <f t="shared" si="7"/>
        <v>0.66896021103117509</v>
      </c>
    </row>
    <row r="125" spans="1:8" x14ac:dyDescent="0.25">
      <c r="A125" s="1">
        <v>43873</v>
      </c>
      <c r="B125" s="2" t="s">
        <v>24</v>
      </c>
      <c r="C125" t="str">
        <f t="shared" si="6"/>
        <v>43873 - 3S</v>
      </c>
      <c r="D125" s="6">
        <f>IFERROR((VLOOKUP(C125,'Daily Scrap by Shift'!$A:$D,2,0)),0)</f>
        <v>15044</v>
      </c>
      <c r="E125" s="6">
        <f>IFERROR((VLOOKUP(C125,'Daily Scrap by Shift'!$A:$D,3,0)),0)</f>
        <v>383</v>
      </c>
      <c r="F125" s="6">
        <f>IFERROR((VLOOKUP(C125,'Daily Scrap by Shift'!$A:$D,4,0)),0)</f>
        <v>1021.25653</v>
      </c>
      <c r="G125" s="33">
        <v>393</v>
      </c>
      <c r="H125" s="3">
        <f t="shared" si="7"/>
        <v>1.5986171246819338</v>
      </c>
    </row>
    <row r="126" spans="1:8" x14ac:dyDescent="0.25">
      <c r="A126" s="1">
        <v>43873</v>
      </c>
      <c r="B126" s="2" t="s">
        <v>25</v>
      </c>
      <c r="C126" t="str">
        <f t="shared" si="6"/>
        <v>43873 - 1S</v>
      </c>
      <c r="D126" s="6">
        <f>IFERROR((VLOOKUP(C126,'Daily Scrap by Shift'!$A:$D,2,0)),0)</f>
        <v>17773</v>
      </c>
      <c r="E126" s="6">
        <f>IFERROR((VLOOKUP(C126,'Daily Scrap by Shift'!$A:$D,3,0)),0)</f>
        <v>329</v>
      </c>
      <c r="F126" s="6">
        <f>IFERROR((VLOOKUP(C126,'Daily Scrap by Shift'!$A:$D,4,0)),0)</f>
        <v>895.74425999999994</v>
      </c>
      <c r="G126" s="33">
        <v>87</v>
      </c>
      <c r="H126" s="3">
        <f t="shared" si="7"/>
        <v>9.2959110344827582</v>
      </c>
    </row>
    <row r="127" spans="1:8" x14ac:dyDescent="0.25">
      <c r="A127" s="1">
        <v>43873</v>
      </c>
      <c r="B127" s="2" t="s">
        <v>26</v>
      </c>
      <c r="C127" t="str">
        <f t="shared" si="6"/>
        <v>43873 - 2S</v>
      </c>
      <c r="D127" s="6">
        <f>IFERROR((VLOOKUP(C127,'Daily Scrap by Shift'!$A:$D,2,0)),0)</f>
        <v>24460</v>
      </c>
      <c r="E127" s="6">
        <f>IFERROR((VLOOKUP(C127,'Daily Scrap by Shift'!$A:$D,3,0)),0)</f>
        <v>288</v>
      </c>
      <c r="F127" s="6">
        <f>IFERROR((VLOOKUP(C127,'Daily Scrap by Shift'!$A:$D,4,0)),0)</f>
        <v>598.57040799999993</v>
      </c>
      <c r="G127" s="33">
        <v>611</v>
      </c>
      <c r="H127" s="3">
        <f t="shared" si="7"/>
        <v>-2.0343031096563127E-2</v>
      </c>
    </row>
    <row r="128" spans="1:8" x14ac:dyDescent="0.25">
      <c r="A128" s="1">
        <v>43874</v>
      </c>
      <c r="B128" s="2" t="s">
        <v>24</v>
      </c>
      <c r="C128" t="str">
        <f t="shared" si="6"/>
        <v>43874 - 3S</v>
      </c>
      <c r="D128" s="6">
        <f>IFERROR((VLOOKUP(C128,'Daily Scrap by Shift'!$A:$D,2,0)),0)</f>
        <v>14637</v>
      </c>
      <c r="E128" s="6">
        <f>IFERROR((VLOOKUP(C128,'Daily Scrap by Shift'!$A:$D,3,0)),0)</f>
        <v>223</v>
      </c>
      <c r="F128" s="6">
        <f>IFERROR((VLOOKUP(C128,'Daily Scrap by Shift'!$A:$D,4,0)),0)</f>
        <v>627.12846999999999</v>
      </c>
      <c r="G128" s="33">
        <v>243</v>
      </c>
      <c r="H128" s="3">
        <f t="shared" si="7"/>
        <v>1.580775596707819</v>
      </c>
    </row>
    <row r="129" spans="1:8" x14ac:dyDescent="0.25">
      <c r="A129" s="1">
        <v>43874</v>
      </c>
      <c r="B129" s="2" t="s">
        <v>25</v>
      </c>
      <c r="C129" t="str">
        <f t="shared" si="6"/>
        <v>43874 - 1S</v>
      </c>
      <c r="D129" s="6">
        <f>IFERROR((VLOOKUP(C129,'Daily Scrap by Shift'!$A:$D,2,0)),0)</f>
        <v>14808</v>
      </c>
      <c r="E129" s="6">
        <f>IFERROR((VLOOKUP(C129,'Daily Scrap by Shift'!$A:$D,3,0)),0)</f>
        <v>161</v>
      </c>
      <c r="F129" s="6">
        <f>IFERROR((VLOOKUP(C129,'Daily Scrap by Shift'!$A:$D,4,0)),0)</f>
        <v>307.79658000000001</v>
      </c>
      <c r="G129" s="33">
        <v>299</v>
      </c>
      <c r="H129" s="3">
        <f t="shared" si="7"/>
        <v>2.9420000000000019E-2</v>
      </c>
    </row>
    <row r="130" spans="1:8" x14ac:dyDescent="0.25">
      <c r="A130" s="1">
        <v>43874</v>
      </c>
      <c r="B130" s="2" t="s">
        <v>26</v>
      </c>
      <c r="C130" t="str">
        <f t="shared" si="6"/>
        <v>43874 - 2S</v>
      </c>
      <c r="D130" s="6">
        <f>IFERROR((VLOOKUP(C130,'Daily Scrap by Shift'!$A:$D,2,0)),0)</f>
        <v>17871</v>
      </c>
      <c r="E130" s="6">
        <f>IFERROR((VLOOKUP(C130,'Daily Scrap by Shift'!$A:$D,3,0)),0)</f>
        <v>283</v>
      </c>
      <c r="F130" s="6">
        <f>IFERROR((VLOOKUP(C130,'Daily Scrap by Shift'!$A:$D,4,0)),0)</f>
        <v>484.18780800000002</v>
      </c>
      <c r="G130" s="33">
        <v>280</v>
      </c>
      <c r="H130" s="3">
        <f t="shared" si="7"/>
        <v>0.72924217142857151</v>
      </c>
    </row>
    <row r="131" spans="1:8" x14ac:dyDescent="0.25">
      <c r="A131" s="1">
        <v>43875</v>
      </c>
      <c r="B131" s="2" t="s">
        <v>24</v>
      </c>
      <c r="C131" t="str">
        <f t="shared" si="6"/>
        <v>43875 - 3S</v>
      </c>
      <c r="D131" s="6">
        <f>IFERROR((VLOOKUP(C131,'Daily Scrap by Shift'!$A:$D,2,0)),0)</f>
        <v>7505</v>
      </c>
      <c r="E131" s="6">
        <f>IFERROR((VLOOKUP(C131,'Daily Scrap by Shift'!$A:$D,3,0)),0)</f>
        <v>204</v>
      </c>
      <c r="F131" s="6">
        <f>IFERROR((VLOOKUP(C131,'Daily Scrap by Shift'!$A:$D,4,0)),0)</f>
        <v>384.26778000000002</v>
      </c>
      <c r="G131" s="33">
        <v>218</v>
      </c>
      <c r="H131" s="3">
        <f t="shared" si="7"/>
        <v>0.76269623853211022</v>
      </c>
    </row>
    <row r="132" spans="1:8" x14ac:dyDescent="0.25">
      <c r="A132" s="1">
        <v>43875</v>
      </c>
      <c r="B132" s="2" t="s">
        <v>25</v>
      </c>
      <c r="C132" t="str">
        <f t="shared" si="6"/>
        <v>43875 - 1S</v>
      </c>
      <c r="D132" s="6">
        <f>IFERROR((VLOOKUP(C132,'Daily Scrap by Shift'!$A:$D,2,0)),0)</f>
        <v>14509</v>
      </c>
      <c r="E132" s="6">
        <f>IFERROR((VLOOKUP(C132,'Daily Scrap by Shift'!$A:$D,3,0)),0)</f>
        <v>342</v>
      </c>
      <c r="F132" s="6">
        <f>IFERROR((VLOOKUP(C132,'Daily Scrap by Shift'!$A:$D,4,0)),0)</f>
        <v>616.25677199999996</v>
      </c>
      <c r="G132" s="33">
        <v>487</v>
      </c>
      <c r="H132" s="3">
        <f t="shared" si="7"/>
        <v>0.26541431622176581</v>
      </c>
    </row>
    <row r="133" spans="1:8" x14ac:dyDescent="0.25">
      <c r="A133" s="1">
        <v>43875</v>
      </c>
      <c r="B133" s="2" t="s">
        <v>26</v>
      </c>
      <c r="C133" t="str">
        <f t="shared" si="6"/>
        <v>43875 - 2S</v>
      </c>
      <c r="D133" s="6">
        <f>IFERROR((VLOOKUP(C133,'Daily Scrap by Shift'!$A:$D,2,0)),0)</f>
        <v>3071</v>
      </c>
      <c r="E133" s="6">
        <f>IFERROR((VLOOKUP(C133,'Daily Scrap by Shift'!$A:$D,3,0)),0)</f>
        <v>71</v>
      </c>
      <c r="F133" s="6">
        <f>IFERROR((VLOOKUP(C133,'Daily Scrap by Shift'!$A:$D,4,0)),0)</f>
        <v>136.98553200000001</v>
      </c>
      <c r="G133" s="33">
        <v>95</v>
      </c>
      <c r="H133" s="3">
        <f t="shared" si="7"/>
        <v>0.44195296842105269</v>
      </c>
    </row>
    <row r="134" spans="1:8" x14ac:dyDescent="0.25">
      <c r="A134" s="23">
        <v>43876</v>
      </c>
      <c r="B134" s="2" t="s">
        <v>24</v>
      </c>
      <c r="C134" t="str">
        <f t="shared" ref="C134:C157" si="8">CONCATENATE(A134," - ",B134)</f>
        <v>43876 - 3S</v>
      </c>
      <c r="D134" s="6">
        <f>IFERROR((VLOOKUP(C134,'Daily Scrap by Shift'!$A:$D,2,0)),0)</f>
        <v>0</v>
      </c>
      <c r="E134" s="6">
        <f>IFERROR((VLOOKUP(C134,'Daily Scrap by Shift'!$A:$D,3,0)),0)</f>
        <v>0</v>
      </c>
      <c r="F134" s="6">
        <f>IFERROR((VLOOKUP(C134,'Daily Scrap by Shift'!$A:$D,4,0)),0)</f>
        <v>0</v>
      </c>
      <c r="H134" s="3" t="e">
        <f t="shared" ref="H134:H157" si="9">(F134-G134)/G134</f>
        <v>#DIV/0!</v>
      </c>
    </row>
    <row r="135" spans="1:8" x14ac:dyDescent="0.25">
      <c r="A135" s="23">
        <v>43876</v>
      </c>
      <c r="B135" s="2" t="s">
        <v>25</v>
      </c>
      <c r="C135" t="str">
        <f t="shared" si="8"/>
        <v>43876 - 1S</v>
      </c>
      <c r="D135" s="6">
        <f>IFERROR((VLOOKUP(C135,'Daily Scrap by Shift'!$A:$D,2,0)),0)</f>
        <v>7067</v>
      </c>
      <c r="E135" s="6">
        <f>IFERROR((VLOOKUP(C135,'Daily Scrap by Shift'!$A:$D,3,0)),0)</f>
        <v>67</v>
      </c>
      <c r="F135" s="6">
        <f>IFERROR((VLOOKUP(C135,'Daily Scrap by Shift'!$A:$D,4,0)),0)</f>
        <v>62.426112000000003</v>
      </c>
      <c r="H135" s="3" t="e">
        <f t="shared" si="9"/>
        <v>#DIV/0!</v>
      </c>
    </row>
    <row r="136" spans="1:8" x14ac:dyDescent="0.25">
      <c r="A136" s="23">
        <v>43876</v>
      </c>
      <c r="B136" s="2" t="s">
        <v>26</v>
      </c>
      <c r="C136" t="str">
        <f t="shared" si="8"/>
        <v>43876 - 2S</v>
      </c>
      <c r="D136" s="6">
        <f>IFERROR((VLOOKUP(C136,'Daily Scrap by Shift'!$A:$D,2,0)),0)</f>
        <v>9017</v>
      </c>
      <c r="E136" s="6">
        <f>IFERROR((VLOOKUP(C136,'Daily Scrap by Shift'!$A:$D,3,0)),0)</f>
        <v>17</v>
      </c>
      <c r="F136" s="6">
        <f>IFERROR((VLOOKUP(C136,'Daily Scrap by Shift'!$A:$D,4,0)),0)</f>
        <v>33.163872000000005</v>
      </c>
      <c r="H136" s="3" t="e">
        <f t="shared" si="9"/>
        <v>#DIV/0!</v>
      </c>
    </row>
    <row r="137" spans="1:8" x14ac:dyDescent="0.25">
      <c r="A137" s="23">
        <v>43877</v>
      </c>
      <c r="B137" s="2" t="s">
        <v>24</v>
      </c>
      <c r="C137" t="str">
        <f t="shared" si="8"/>
        <v>43877 - 3S</v>
      </c>
      <c r="D137" s="6">
        <f>IFERROR((VLOOKUP(C137,'Daily Scrap by Shift'!$A:$D,2,0)),0)</f>
        <v>0</v>
      </c>
      <c r="E137" s="6">
        <f>IFERROR((VLOOKUP(C137,'Daily Scrap by Shift'!$A:$D,3,0)),0)</f>
        <v>0</v>
      </c>
      <c r="F137" s="6">
        <f>IFERROR((VLOOKUP(C137,'Daily Scrap by Shift'!$A:$D,4,0)),0)</f>
        <v>0</v>
      </c>
      <c r="H137" s="3" t="e">
        <f t="shared" si="9"/>
        <v>#DIV/0!</v>
      </c>
    </row>
    <row r="138" spans="1:8" x14ac:dyDescent="0.25">
      <c r="A138" s="23">
        <v>43877</v>
      </c>
      <c r="B138" s="2" t="s">
        <v>25</v>
      </c>
      <c r="C138" t="str">
        <f t="shared" si="8"/>
        <v>43877 - 1S</v>
      </c>
      <c r="D138" s="6">
        <f>IFERROR((VLOOKUP(C138,'Daily Scrap by Shift'!$A:$D,2,0)),0)</f>
        <v>10050</v>
      </c>
      <c r="E138" s="6">
        <f>IFERROR((VLOOKUP(C138,'Daily Scrap by Shift'!$A:$D,3,0)),0)</f>
        <v>50</v>
      </c>
      <c r="F138" s="6">
        <f>IFERROR((VLOOKUP(C138,'Daily Scrap by Shift'!$A:$D,4,0)),0)</f>
        <v>97.540800000000004</v>
      </c>
      <c r="H138" s="3" t="e">
        <f t="shared" si="9"/>
        <v>#DIV/0!</v>
      </c>
    </row>
    <row r="139" spans="1:8" x14ac:dyDescent="0.25">
      <c r="A139" s="23">
        <v>43877</v>
      </c>
      <c r="B139" s="2" t="s">
        <v>26</v>
      </c>
      <c r="C139" t="str">
        <f t="shared" si="8"/>
        <v>43877 - 2S</v>
      </c>
      <c r="D139" s="6">
        <f>IFERROR((VLOOKUP(C139,'Daily Scrap by Shift'!$A:$D,2,0)),0)</f>
        <v>10054</v>
      </c>
      <c r="E139" s="6">
        <f>IFERROR((VLOOKUP(C139,'Daily Scrap by Shift'!$A:$D,3,0)),0)</f>
        <v>54</v>
      </c>
      <c r="F139" s="6">
        <f>IFERROR((VLOOKUP(C139,'Daily Scrap by Shift'!$A:$D,4,0)),0)</f>
        <v>105.344064</v>
      </c>
      <c r="H139" s="3" t="e">
        <f t="shared" si="9"/>
        <v>#DIV/0!</v>
      </c>
    </row>
    <row r="140" spans="1:8" x14ac:dyDescent="0.25">
      <c r="A140" s="23">
        <v>43878</v>
      </c>
      <c r="B140" s="2" t="s">
        <v>24</v>
      </c>
      <c r="C140" t="str">
        <f t="shared" si="8"/>
        <v>43878 - 3S</v>
      </c>
      <c r="D140" s="6">
        <f>IFERROR((VLOOKUP(C140,'Daily Scrap by Shift'!$A:$D,2,0)),0)</f>
        <v>0</v>
      </c>
      <c r="E140" s="6">
        <f>IFERROR((VLOOKUP(C140,'Daily Scrap by Shift'!$A:$D,3,0)),0)</f>
        <v>0</v>
      </c>
      <c r="F140" s="6">
        <f>IFERROR((VLOOKUP(C140,'Daily Scrap by Shift'!$A:$D,4,0)),0)</f>
        <v>0</v>
      </c>
      <c r="H140" s="3" t="e">
        <f t="shared" si="9"/>
        <v>#DIV/0!</v>
      </c>
    </row>
    <row r="141" spans="1:8" x14ac:dyDescent="0.25">
      <c r="A141" s="23">
        <v>43878</v>
      </c>
      <c r="B141" s="2" t="s">
        <v>25</v>
      </c>
      <c r="C141" t="str">
        <f t="shared" si="8"/>
        <v>43878 - 1S</v>
      </c>
      <c r="D141" s="6">
        <f>IFERROR((VLOOKUP(C141,'Daily Scrap by Shift'!$A:$D,2,0)),0)</f>
        <v>5</v>
      </c>
      <c r="E141" s="6">
        <f>IFERROR((VLOOKUP(C141,'Daily Scrap by Shift'!$A:$D,3,0)),0)</f>
        <v>5</v>
      </c>
      <c r="F141" s="6">
        <f>IFERROR((VLOOKUP(C141,'Daily Scrap by Shift'!$A:$D,4,0)),0)</f>
        <v>0</v>
      </c>
      <c r="H141" s="3" t="e">
        <f t="shared" si="9"/>
        <v>#DIV/0!</v>
      </c>
    </row>
    <row r="142" spans="1:8" x14ac:dyDescent="0.25">
      <c r="A142" s="23">
        <v>43878</v>
      </c>
      <c r="B142" s="2" t="s">
        <v>26</v>
      </c>
      <c r="C142" t="str">
        <f t="shared" si="8"/>
        <v>43878 - 2S</v>
      </c>
      <c r="D142" s="6">
        <f>IFERROR((VLOOKUP(C142,'Daily Scrap by Shift'!$A:$D,2,0)),0)</f>
        <v>0</v>
      </c>
      <c r="E142" s="6">
        <f>IFERROR((VLOOKUP(C142,'Daily Scrap by Shift'!$A:$D,3,0)),0)</f>
        <v>0</v>
      </c>
      <c r="F142" s="6">
        <f>IFERROR((VLOOKUP(C142,'Daily Scrap by Shift'!$A:$D,4,0)),0)</f>
        <v>0</v>
      </c>
      <c r="H142" s="3" t="e">
        <f t="shared" si="9"/>
        <v>#DIV/0!</v>
      </c>
    </row>
    <row r="143" spans="1:8" x14ac:dyDescent="0.25">
      <c r="A143" s="23">
        <v>43879</v>
      </c>
      <c r="B143" s="2" t="s">
        <v>24</v>
      </c>
      <c r="C143" t="str">
        <f t="shared" si="8"/>
        <v>43879 - 3S</v>
      </c>
      <c r="D143" s="6">
        <f>IFERROR((VLOOKUP(C143,'Daily Scrap by Shift'!$A:$D,2,0)),0)</f>
        <v>0</v>
      </c>
      <c r="E143" s="6">
        <f>IFERROR((VLOOKUP(C143,'Daily Scrap by Shift'!$A:$D,3,0)),0)</f>
        <v>0</v>
      </c>
      <c r="F143" s="6">
        <f>IFERROR((VLOOKUP(C143,'Daily Scrap by Shift'!$A:$D,4,0)),0)</f>
        <v>0</v>
      </c>
      <c r="G143" s="33">
        <v>381</v>
      </c>
      <c r="H143" s="3">
        <f t="shared" si="9"/>
        <v>-1</v>
      </c>
    </row>
    <row r="144" spans="1:8" x14ac:dyDescent="0.25">
      <c r="A144" s="23">
        <v>43879</v>
      </c>
      <c r="B144" s="2" t="s">
        <v>25</v>
      </c>
      <c r="C144" t="str">
        <f t="shared" si="8"/>
        <v>43879 - 1S</v>
      </c>
      <c r="D144" s="6">
        <f>IFERROR((VLOOKUP(C144,'Daily Scrap by Shift'!$A:$D,2,0)),0)</f>
        <v>15831</v>
      </c>
      <c r="E144" s="6">
        <f>IFERROR((VLOOKUP(C144,'Daily Scrap by Shift'!$A:$D,3,0)),0)</f>
        <v>392</v>
      </c>
      <c r="F144" s="6">
        <f>IFERROR((VLOOKUP(C144,'Daily Scrap by Shift'!$A:$D,4,0)),0)</f>
        <v>735.45276000000013</v>
      </c>
      <c r="G144" s="33">
        <v>372</v>
      </c>
      <c r="H144" s="3">
        <f t="shared" si="9"/>
        <v>0.97702354838709715</v>
      </c>
    </row>
    <row r="145" spans="1:8" x14ac:dyDescent="0.25">
      <c r="A145" s="23">
        <v>43879</v>
      </c>
      <c r="B145" s="2" t="s">
        <v>26</v>
      </c>
      <c r="C145" t="str">
        <f t="shared" si="8"/>
        <v>43879 - 2S</v>
      </c>
      <c r="D145" s="6">
        <f>IFERROR((VLOOKUP(C145,'Daily Scrap by Shift'!$A:$D,2,0)),0)</f>
        <v>22282</v>
      </c>
      <c r="E145" s="6">
        <f>IFERROR((VLOOKUP(C145,'Daily Scrap by Shift'!$A:$D,3,0)),0)</f>
        <v>461</v>
      </c>
      <c r="F145" s="6">
        <f>IFERROR((VLOOKUP(C145,'Daily Scrap by Shift'!$A:$D,4,0)),0)</f>
        <v>731.54406000000006</v>
      </c>
      <c r="G145" s="33">
        <v>371</v>
      </c>
      <c r="H145" s="3">
        <f t="shared" si="9"/>
        <v>0.97181687331536404</v>
      </c>
    </row>
    <row r="146" spans="1:8" x14ac:dyDescent="0.25">
      <c r="A146" s="23">
        <v>43880</v>
      </c>
      <c r="B146" s="2" t="s">
        <v>24</v>
      </c>
      <c r="C146" t="str">
        <f t="shared" si="8"/>
        <v>43880 - 3S</v>
      </c>
      <c r="D146" s="6">
        <f>IFERROR((VLOOKUP(C146,'Daily Scrap by Shift'!$A:$D,2,0)),0)</f>
        <v>11403</v>
      </c>
      <c r="E146" s="6">
        <f>IFERROR((VLOOKUP(C146,'Daily Scrap by Shift'!$A:$D,3,0)),0)</f>
        <v>282</v>
      </c>
      <c r="F146" s="6">
        <f>IFERROR((VLOOKUP(C146,'Daily Scrap by Shift'!$A:$D,4,0)),0)</f>
        <v>517.90940999999998</v>
      </c>
      <c r="G146" s="33">
        <v>340</v>
      </c>
      <c r="H146" s="3">
        <f t="shared" si="9"/>
        <v>0.52326297058823523</v>
      </c>
    </row>
    <row r="147" spans="1:8" x14ac:dyDescent="0.25">
      <c r="A147" s="23">
        <v>43880</v>
      </c>
      <c r="B147" s="2" t="s">
        <v>25</v>
      </c>
      <c r="C147" t="str">
        <f t="shared" si="8"/>
        <v>43880 - 1S</v>
      </c>
      <c r="D147" s="6">
        <f>IFERROR((VLOOKUP(C147,'Daily Scrap by Shift'!$A:$D,2,0)),0)</f>
        <v>17426</v>
      </c>
      <c r="E147" s="6">
        <f>IFERROR((VLOOKUP(C147,'Daily Scrap by Shift'!$A:$D,3,0)),0)</f>
        <v>305</v>
      </c>
      <c r="F147" s="6">
        <f>IFERROR((VLOOKUP(C147,'Daily Scrap by Shift'!$A:$D,4,0)),0)</f>
        <v>568.40117000000009</v>
      </c>
      <c r="G147" s="33">
        <v>354</v>
      </c>
      <c r="H147" s="3">
        <f t="shared" si="9"/>
        <v>0.60565302259887033</v>
      </c>
    </row>
    <row r="148" spans="1:8" x14ac:dyDescent="0.25">
      <c r="A148" s="23">
        <v>43880</v>
      </c>
      <c r="B148" s="2" t="s">
        <v>26</v>
      </c>
      <c r="C148" t="str">
        <f t="shared" si="8"/>
        <v>43880 - 2S</v>
      </c>
      <c r="D148" s="6">
        <f>IFERROR((VLOOKUP(C148,'Daily Scrap by Shift'!$A:$D,2,0)),0)</f>
        <v>17442</v>
      </c>
      <c r="E148" s="6">
        <f>IFERROR((VLOOKUP(C148,'Daily Scrap by Shift'!$A:$D,3,0)),0)</f>
        <v>262</v>
      </c>
      <c r="F148" s="6">
        <f>IFERROR((VLOOKUP(C148,'Daily Scrap by Shift'!$A:$D,4,0)),0)</f>
        <v>491.37407999999999</v>
      </c>
      <c r="G148" s="33">
        <v>245</v>
      </c>
      <c r="H148" s="3">
        <f t="shared" si="9"/>
        <v>1.0056084897959183</v>
      </c>
    </row>
    <row r="149" spans="1:8" x14ac:dyDescent="0.25">
      <c r="A149" s="23">
        <v>43881</v>
      </c>
      <c r="B149" s="2" t="s">
        <v>24</v>
      </c>
      <c r="C149" t="str">
        <f t="shared" si="8"/>
        <v>43881 - 3S</v>
      </c>
      <c r="D149" s="6">
        <f>IFERROR((VLOOKUP(C149,'Daily Scrap by Shift'!$A:$D,2,0)),0)</f>
        <v>10951</v>
      </c>
      <c r="E149" s="6">
        <f>IFERROR((VLOOKUP(C149,'Daily Scrap by Shift'!$A:$D,3,0)),0)</f>
        <v>224</v>
      </c>
      <c r="F149" s="6">
        <f>IFERROR((VLOOKUP(C149,'Daily Scrap by Shift'!$A:$D,4,0)),0)</f>
        <v>413.57547</v>
      </c>
      <c r="G149" s="33">
        <v>339</v>
      </c>
      <c r="H149" s="3">
        <f t="shared" si="9"/>
        <v>0.21998663716814157</v>
      </c>
    </row>
    <row r="150" spans="1:8" x14ac:dyDescent="0.25">
      <c r="A150" s="23">
        <v>43881</v>
      </c>
      <c r="B150" s="2" t="s">
        <v>25</v>
      </c>
      <c r="C150" t="str">
        <f t="shared" si="8"/>
        <v>43881 - 1S</v>
      </c>
      <c r="D150" s="6">
        <f>IFERROR((VLOOKUP(C150,'Daily Scrap by Shift'!$A:$D,2,0)),0)</f>
        <v>22574</v>
      </c>
      <c r="E150" s="6">
        <f>IFERROR((VLOOKUP(C150,'Daily Scrap by Shift'!$A:$D,3,0)),0)</f>
        <v>250</v>
      </c>
      <c r="F150" s="6">
        <f>IFERROR((VLOOKUP(C150,'Daily Scrap by Shift'!$A:$D,4,0)),0)</f>
        <v>419.52979999999997</v>
      </c>
      <c r="G150" s="33">
        <v>262</v>
      </c>
      <c r="H150" s="3">
        <f t="shared" si="9"/>
        <v>0.60125877862595412</v>
      </c>
    </row>
    <row r="151" spans="1:8" x14ac:dyDescent="0.25">
      <c r="A151" s="23">
        <v>43881</v>
      </c>
      <c r="B151" s="2" t="s">
        <v>26</v>
      </c>
      <c r="C151" t="str">
        <f t="shared" si="8"/>
        <v>43881 - 2S</v>
      </c>
      <c r="D151" s="6">
        <f>IFERROR((VLOOKUP(C151,'Daily Scrap by Shift'!$A:$D,2,0)),0)</f>
        <v>21263</v>
      </c>
      <c r="E151" s="6">
        <f>IFERROR((VLOOKUP(C151,'Daily Scrap by Shift'!$A:$D,3,0)),0)</f>
        <v>412</v>
      </c>
      <c r="F151" s="6">
        <f>IFERROR((VLOOKUP(C151,'Daily Scrap by Shift'!$A:$D,4,0)),0)</f>
        <v>701.88305000000003</v>
      </c>
      <c r="G151" s="33">
        <v>279</v>
      </c>
      <c r="H151" s="3">
        <f t="shared" si="9"/>
        <v>1.5157098566308245</v>
      </c>
    </row>
    <row r="152" spans="1:8" x14ac:dyDescent="0.25">
      <c r="A152" s="23">
        <v>43882</v>
      </c>
      <c r="B152" s="2" t="s">
        <v>24</v>
      </c>
      <c r="C152" t="str">
        <f t="shared" si="8"/>
        <v>43882 - 3S</v>
      </c>
      <c r="D152" s="6">
        <f>IFERROR((VLOOKUP(C152,'Daily Scrap by Shift'!$A:$D,2,0)),0)</f>
        <v>11360</v>
      </c>
      <c r="E152" s="6">
        <f>IFERROR((VLOOKUP(C152,'Daily Scrap by Shift'!$A:$D,3,0)),0)</f>
        <v>197</v>
      </c>
      <c r="F152" s="6">
        <f>IFERROR((VLOOKUP(C152,'Daily Scrap by Shift'!$A:$D,4,0)),0)</f>
        <v>376.62065999999999</v>
      </c>
      <c r="G152" s="33">
        <v>396</v>
      </c>
      <c r="H152" s="3">
        <f t="shared" si="9"/>
        <v>-4.8937727272727306E-2</v>
      </c>
    </row>
    <row r="153" spans="1:8" x14ac:dyDescent="0.25">
      <c r="A153" s="23">
        <v>43882</v>
      </c>
      <c r="B153" s="2" t="s">
        <v>25</v>
      </c>
      <c r="C153" t="str">
        <f t="shared" si="8"/>
        <v>43882 - 1S</v>
      </c>
      <c r="D153" s="6">
        <f>IFERROR((VLOOKUP(C153,'Daily Scrap by Shift'!$A:$D,2,0)),0)</f>
        <v>17033</v>
      </c>
      <c r="E153" s="6">
        <f>IFERROR((VLOOKUP(C153,'Daily Scrap by Shift'!$A:$D,3,0)),0)</f>
        <v>354</v>
      </c>
      <c r="F153" s="6">
        <f>IFERROR((VLOOKUP(C153,'Daily Scrap by Shift'!$A:$D,4,0)),0)</f>
        <v>649.79252000000008</v>
      </c>
      <c r="G153" s="33">
        <v>367</v>
      </c>
      <c r="H153" s="3">
        <f t="shared" si="9"/>
        <v>0.77055182561307922</v>
      </c>
    </row>
    <row r="154" spans="1:8" x14ac:dyDescent="0.25">
      <c r="A154" s="23">
        <v>43882</v>
      </c>
      <c r="B154" s="2" t="s">
        <v>26</v>
      </c>
      <c r="C154" t="str">
        <f t="shared" si="8"/>
        <v>43882 - 2S</v>
      </c>
      <c r="D154" s="6">
        <f>IFERROR((VLOOKUP(C154,'Daily Scrap by Shift'!$A:$D,2,0)),0)</f>
        <v>13384</v>
      </c>
      <c r="E154" s="6">
        <f>IFERROR((VLOOKUP(C154,'Daily Scrap by Shift'!$A:$D,3,0)),0)</f>
        <v>384</v>
      </c>
      <c r="F154" s="6">
        <f>IFERROR((VLOOKUP(C154,'Daily Scrap by Shift'!$A:$D,4,0)),0)</f>
        <v>670.99771200000009</v>
      </c>
      <c r="G154" s="33">
        <v>252</v>
      </c>
      <c r="H154" s="3">
        <f t="shared" si="9"/>
        <v>1.6626893333333337</v>
      </c>
    </row>
    <row r="155" spans="1:8" x14ac:dyDescent="0.25">
      <c r="A155" s="23">
        <v>43883</v>
      </c>
      <c r="B155" s="2" t="s">
        <v>24</v>
      </c>
      <c r="C155" t="str">
        <f t="shared" si="8"/>
        <v>43883 - 3S</v>
      </c>
      <c r="D155" s="6">
        <f>IFERROR((VLOOKUP(C155,'Daily Scrap by Shift'!$A:$D,2,0)),0)</f>
        <v>0</v>
      </c>
      <c r="E155" s="6">
        <f>IFERROR((VLOOKUP(C155,'Daily Scrap by Shift'!$A:$D,3,0)),0)</f>
        <v>0</v>
      </c>
      <c r="F155" s="6">
        <f>IFERROR((VLOOKUP(C155,'Daily Scrap by Shift'!$A:$D,4,0)),0)</f>
        <v>0</v>
      </c>
      <c r="H155" s="3" t="e">
        <f t="shared" si="9"/>
        <v>#DIV/0!</v>
      </c>
    </row>
    <row r="156" spans="1:8" x14ac:dyDescent="0.25">
      <c r="A156" s="23">
        <v>43883</v>
      </c>
      <c r="B156" s="2" t="s">
        <v>25</v>
      </c>
      <c r="C156" t="str">
        <f t="shared" si="8"/>
        <v>43883 - 1S</v>
      </c>
      <c r="D156" s="6">
        <f>IFERROR((VLOOKUP(C156,'Daily Scrap by Shift'!$A:$D,2,0)),0)</f>
        <v>9008</v>
      </c>
      <c r="E156" s="6">
        <f>IFERROR((VLOOKUP(C156,'Daily Scrap by Shift'!$A:$D,3,0)),0)</f>
        <v>8</v>
      </c>
      <c r="F156" s="6">
        <f>IFERROR((VLOOKUP(C156,'Daily Scrap by Shift'!$A:$D,4,0)),0)</f>
        <v>15.606528000000001</v>
      </c>
      <c r="H156" s="3" t="e">
        <f t="shared" si="9"/>
        <v>#DIV/0!</v>
      </c>
    </row>
    <row r="157" spans="1:8" x14ac:dyDescent="0.25">
      <c r="A157" s="23">
        <v>43883</v>
      </c>
      <c r="B157" s="2" t="s">
        <v>26</v>
      </c>
      <c r="C157" t="str">
        <f t="shared" si="8"/>
        <v>43883 - 2S</v>
      </c>
      <c r="D157" s="6">
        <f>IFERROR((VLOOKUP(C157,'Daily Scrap by Shift'!$A:$D,2,0)),0)</f>
        <v>9024</v>
      </c>
      <c r="E157" s="6">
        <f>IFERROR((VLOOKUP(C157,'Daily Scrap by Shift'!$A:$D,3,0)),0)</f>
        <v>24</v>
      </c>
      <c r="F157" s="6">
        <f>IFERROR((VLOOKUP(C157,'Daily Scrap by Shift'!$A:$D,4,0)),0)</f>
        <v>27.311424000000002</v>
      </c>
      <c r="H157" s="3" t="e">
        <f t="shared" si="9"/>
        <v>#DIV/0!</v>
      </c>
    </row>
    <row r="158" spans="1:8" x14ac:dyDescent="0.25">
      <c r="A158" s="23">
        <v>43884</v>
      </c>
      <c r="B158" s="2" t="s">
        <v>24</v>
      </c>
      <c r="C158" t="str">
        <f t="shared" ref="C158:C177" si="10">CONCATENATE(A158," - ",B158)</f>
        <v>43884 - 3S</v>
      </c>
      <c r="D158" s="6">
        <f>IFERROR((VLOOKUP(C158,'Daily Scrap by Shift'!$A:$D,2,0)),0)</f>
        <v>0</v>
      </c>
      <c r="E158" s="6">
        <f>IFERROR((VLOOKUP(C158,'Daily Scrap by Shift'!$A:$D,3,0)),0)</f>
        <v>0</v>
      </c>
      <c r="F158" s="6">
        <f>IFERROR((VLOOKUP(C158,'Daily Scrap by Shift'!$A:$D,4,0)),0)</f>
        <v>0</v>
      </c>
      <c r="H158" s="3" t="e">
        <f t="shared" ref="H158:H177" si="11">(F158-G158)/G158</f>
        <v>#DIV/0!</v>
      </c>
    </row>
    <row r="159" spans="1:8" x14ac:dyDescent="0.25">
      <c r="A159" s="23">
        <v>43884</v>
      </c>
      <c r="B159" s="2" t="s">
        <v>25</v>
      </c>
      <c r="C159" t="str">
        <f t="shared" si="10"/>
        <v>43884 - 1S</v>
      </c>
      <c r="D159" s="6">
        <f>IFERROR((VLOOKUP(C159,'Daily Scrap by Shift'!$A:$D,2,0)),0)</f>
        <v>9005</v>
      </c>
      <c r="E159" s="6">
        <f>IFERROR((VLOOKUP(C159,'Daily Scrap by Shift'!$A:$D,3,0)),0)</f>
        <v>5</v>
      </c>
      <c r="F159" s="6">
        <f>IFERROR((VLOOKUP(C159,'Daily Scrap by Shift'!$A:$D,4,0)),0)</f>
        <v>9.7540800000000001</v>
      </c>
      <c r="H159" s="3" t="e">
        <f t="shared" si="11"/>
        <v>#DIV/0!</v>
      </c>
    </row>
    <row r="160" spans="1:8" x14ac:dyDescent="0.25">
      <c r="A160" s="23">
        <v>43884</v>
      </c>
      <c r="B160" s="2" t="s">
        <v>26</v>
      </c>
      <c r="C160" t="str">
        <f t="shared" si="10"/>
        <v>43884 - 2S</v>
      </c>
      <c r="D160" s="6">
        <f>IFERROR((VLOOKUP(C160,'Daily Scrap by Shift'!$A:$D,2,0)),0)</f>
        <v>11000</v>
      </c>
      <c r="E160" s="6">
        <f>IFERROR((VLOOKUP(C160,'Daily Scrap by Shift'!$A:$D,3,0)),0)</f>
        <v>0</v>
      </c>
      <c r="F160" s="6">
        <f>IFERROR((VLOOKUP(C160,'Daily Scrap by Shift'!$A:$D,4,0)),0)</f>
        <v>0</v>
      </c>
      <c r="H160" s="3" t="e">
        <f t="shared" si="11"/>
        <v>#DIV/0!</v>
      </c>
    </row>
    <row r="161" spans="1:8" x14ac:dyDescent="0.25">
      <c r="A161" s="23">
        <v>43885</v>
      </c>
      <c r="B161" s="2" t="s">
        <v>24</v>
      </c>
      <c r="C161" t="str">
        <f t="shared" si="10"/>
        <v>43885 - 3S</v>
      </c>
      <c r="D161" s="6">
        <f>IFERROR((VLOOKUP(C161,'Daily Scrap by Shift'!$A:$D,2,0)),0)</f>
        <v>1126</v>
      </c>
      <c r="E161" s="6">
        <f>IFERROR((VLOOKUP(C161,'Daily Scrap by Shift'!$A:$D,3,0)),0)</f>
        <v>126</v>
      </c>
      <c r="F161" s="6">
        <f>IFERROR((VLOOKUP(C161,'Daily Scrap by Shift'!$A:$D,4,0)),0)</f>
        <v>240.88428000000002</v>
      </c>
      <c r="G161" s="33">
        <v>369</v>
      </c>
      <c r="H161" s="3">
        <f t="shared" si="11"/>
        <v>-0.34719707317073167</v>
      </c>
    </row>
    <row r="162" spans="1:8" x14ac:dyDescent="0.25">
      <c r="A162" s="23">
        <v>43885</v>
      </c>
      <c r="B162" s="2" t="s">
        <v>25</v>
      </c>
      <c r="C162" t="str">
        <f t="shared" si="10"/>
        <v>43885 - 1S</v>
      </c>
      <c r="D162" s="6">
        <f>IFERROR((VLOOKUP(C162,'Daily Scrap by Shift'!$A:$D,2,0)),0)</f>
        <v>21900</v>
      </c>
      <c r="E162" s="6">
        <f>IFERROR((VLOOKUP(C162,'Daily Scrap by Shift'!$A:$D,3,0)),0)</f>
        <v>478</v>
      </c>
      <c r="F162" s="6">
        <f>IFERROR((VLOOKUP(C162,'Daily Scrap by Shift'!$A:$D,4,0)),0)</f>
        <v>885.558312</v>
      </c>
      <c r="G162" s="33">
        <v>534</v>
      </c>
      <c r="H162" s="3">
        <f t="shared" si="11"/>
        <v>0.65834889887640446</v>
      </c>
    </row>
    <row r="163" spans="1:8" x14ac:dyDescent="0.25">
      <c r="A163" s="23">
        <v>43885</v>
      </c>
      <c r="B163" s="2" t="s">
        <v>26</v>
      </c>
      <c r="C163" t="str">
        <f t="shared" si="10"/>
        <v>43885 - 2S</v>
      </c>
      <c r="D163" s="6">
        <f>IFERROR((VLOOKUP(C163,'Daily Scrap by Shift'!$A:$D,2,0)),0)</f>
        <v>26441</v>
      </c>
      <c r="E163" s="6">
        <f>IFERROR((VLOOKUP(C163,'Daily Scrap by Shift'!$A:$D,3,0)),0)</f>
        <v>992</v>
      </c>
      <c r="F163" s="6">
        <f>IFERROR((VLOOKUP(C163,'Daily Scrap by Shift'!$A:$D,4,0)),0)</f>
        <v>1883.0768559999999</v>
      </c>
      <c r="G163" s="33">
        <v>995</v>
      </c>
      <c r="H163" s="3">
        <f t="shared" si="11"/>
        <v>0.89253955376884409</v>
      </c>
    </row>
    <row r="164" spans="1:8" x14ac:dyDescent="0.25">
      <c r="A164" s="23">
        <v>43886</v>
      </c>
      <c r="B164" s="2" t="s">
        <v>24</v>
      </c>
      <c r="C164" t="str">
        <f t="shared" si="10"/>
        <v>43886 - 3S</v>
      </c>
      <c r="D164" s="6">
        <f>IFERROR((VLOOKUP(C164,'Daily Scrap by Shift'!$A:$D,2,0)),0)</f>
        <v>22081</v>
      </c>
      <c r="E164" s="6">
        <f>IFERROR((VLOOKUP(C164,'Daily Scrap by Shift'!$A:$D,3,0)),0)</f>
        <v>550</v>
      </c>
      <c r="F164" s="6">
        <f>IFERROR((VLOOKUP(C164,'Daily Scrap by Shift'!$A:$D,4,0)),0)</f>
        <v>1067.9773</v>
      </c>
      <c r="G164" s="33">
        <v>800</v>
      </c>
      <c r="H164" s="3">
        <f t="shared" si="11"/>
        <v>0.334971625</v>
      </c>
    </row>
    <row r="165" spans="1:8" x14ac:dyDescent="0.25">
      <c r="A165" s="23">
        <v>43886</v>
      </c>
      <c r="B165" s="2" t="s">
        <v>25</v>
      </c>
      <c r="C165" t="str">
        <f t="shared" si="10"/>
        <v>43886 - 1S</v>
      </c>
      <c r="D165" s="6">
        <f>IFERROR((VLOOKUP(C165,'Daily Scrap by Shift'!$A:$D,2,0)),0)</f>
        <v>35095</v>
      </c>
      <c r="E165" s="6">
        <f>IFERROR((VLOOKUP(C165,'Daily Scrap by Shift'!$A:$D,3,0)),0)</f>
        <v>971</v>
      </c>
      <c r="F165" s="6">
        <f>IFERROR((VLOOKUP(C165,'Daily Scrap by Shift'!$A:$D,4,0)),0)</f>
        <v>1866.4908720000001</v>
      </c>
      <c r="G165" s="33">
        <v>1047</v>
      </c>
      <c r="H165" s="3">
        <f t="shared" si="11"/>
        <v>0.78270379369627519</v>
      </c>
    </row>
    <row r="166" spans="1:8" x14ac:dyDescent="0.25">
      <c r="A166" s="23">
        <v>43886</v>
      </c>
      <c r="B166" s="2" t="s">
        <v>26</v>
      </c>
      <c r="C166" t="str">
        <f t="shared" si="10"/>
        <v>43886 - 2S</v>
      </c>
      <c r="D166" s="6">
        <f>IFERROR((VLOOKUP(C166,'Daily Scrap by Shift'!$A:$D,2,0)),0)</f>
        <v>35805</v>
      </c>
      <c r="E166" s="6">
        <f>IFERROR((VLOOKUP(C166,'Daily Scrap by Shift'!$A:$D,3,0)),0)</f>
        <v>454</v>
      </c>
      <c r="F166" s="6">
        <f>IFERROR((VLOOKUP(C166,'Daily Scrap by Shift'!$A:$D,4,0)),0)</f>
        <v>810.33569800000009</v>
      </c>
      <c r="G166" s="33">
        <v>456</v>
      </c>
      <c r="H166" s="3">
        <f t="shared" si="11"/>
        <v>0.77705196929824583</v>
      </c>
    </row>
    <row r="167" spans="1:8" x14ac:dyDescent="0.25">
      <c r="A167" s="23">
        <v>43887</v>
      </c>
      <c r="B167" s="2" t="s">
        <v>24</v>
      </c>
      <c r="C167" t="str">
        <f t="shared" si="10"/>
        <v>43887 - 3S</v>
      </c>
      <c r="D167" s="6">
        <f>IFERROR((VLOOKUP(C167,'Daily Scrap by Shift'!$A:$D,2,0)),0)</f>
        <v>26745</v>
      </c>
      <c r="E167" s="6">
        <f>IFERROR((VLOOKUP(C167,'Daily Scrap by Shift'!$A:$D,3,0)),0)</f>
        <v>463</v>
      </c>
      <c r="F167" s="6">
        <f>IFERROR((VLOOKUP(C167,'Daily Scrap by Shift'!$A:$D,4,0)),0)</f>
        <v>904.85109</v>
      </c>
      <c r="G167" s="33">
        <v>687</v>
      </c>
      <c r="H167" s="3">
        <f t="shared" si="11"/>
        <v>0.31710493449781657</v>
      </c>
    </row>
    <row r="168" spans="1:8" x14ac:dyDescent="0.25">
      <c r="A168" s="23">
        <v>43887</v>
      </c>
      <c r="B168" s="2" t="s">
        <v>25</v>
      </c>
      <c r="C168" t="str">
        <f t="shared" si="10"/>
        <v>43887 - 1S</v>
      </c>
      <c r="D168" s="6">
        <f>IFERROR((VLOOKUP(C168,'Daily Scrap by Shift'!$A:$D,2,0)),0)</f>
        <v>35500</v>
      </c>
      <c r="E168" s="6">
        <f>IFERROR((VLOOKUP(C168,'Daily Scrap by Shift'!$A:$D,3,0)),0)</f>
        <v>654</v>
      </c>
      <c r="F168" s="6">
        <f>IFERROR((VLOOKUP(C168,'Daily Scrap by Shift'!$A:$D,4,0)),0)</f>
        <v>1248.0922999999998</v>
      </c>
      <c r="G168" s="33">
        <v>645</v>
      </c>
      <c r="H168" s="3">
        <f t="shared" si="11"/>
        <v>0.93502682170542606</v>
      </c>
    </row>
    <row r="169" spans="1:8" x14ac:dyDescent="0.25">
      <c r="A169" s="23">
        <v>43887</v>
      </c>
      <c r="B169" s="2" t="s">
        <v>26</v>
      </c>
      <c r="C169" t="str">
        <f t="shared" si="10"/>
        <v>43887 - 2S</v>
      </c>
      <c r="D169" s="6">
        <f>IFERROR((VLOOKUP(C169,'Daily Scrap by Shift'!$A:$D,2,0)),0)</f>
        <v>32824.6</v>
      </c>
      <c r="E169" s="6">
        <f>IFERROR((VLOOKUP(C169,'Daily Scrap by Shift'!$A:$D,3,0)),0)</f>
        <v>698.6</v>
      </c>
      <c r="F169" s="6">
        <f>IFERROR((VLOOKUP(C169,'Daily Scrap by Shift'!$A:$D,4,0)),0)</f>
        <v>1336.8435919999999</v>
      </c>
      <c r="G169" s="33">
        <v>652</v>
      </c>
      <c r="H169" s="3">
        <f t="shared" si="11"/>
        <v>1.0503736073619632</v>
      </c>
    </row>
    <row r="170" spans="1:8" x14ac:dyDescent="0.25">
      <c r="A170" s="23">
        <v>43888</v>
      </c>
      <c r="B170" s="2" t="s">
        <v>24</v>
      </c>
      <c r="C170" t="str">
        <f t="shared" si="10"/>
        <v>43888 - 3S</v>
      </c>
      <c r="D170" s="6">
        <f>IFERROR((VLOOKUP(C170,'Daily Scrap by Shift'!$A:$D,2,0)),0)</f>
        <v>9456</v>
      </c>
      <c r="E170" s="6">
        <f>IFERROR((VLOOKUP(C170,'Daily Scrap by Shift'!$A:$D,3,0)),0)</f>
        <v>942</v>
      </c>
      <c r="F170" s="6">
        <f>IFERROR((VLOOKUP(C170,'Daily Scrap by Shift'!$A:$D,4,0)),0)</f>
        <v>1091.6951423999999</v>
      </c>
      <c r="G170" s="33">
        <v>632</v>
      </c>
      <c r="H170" s="3">
        <f t="shared" si="11"/>
        <v>0.7273657316455695</v>
      </c>
    </row>
    <row r="171" spans="1:8" x14ac:dyDescent="0.25">
      <c r="A171" s="23">
        <v>43888</v>
      </c>
      <c r="B171" s="2" t="s">
        <v>25</v>
      </c>
      <c r="C171" t="str">
        <f t="shared" si="10"/>
        <v>43888 - 1S</v>
      </c>
      <c r="D171" s="6">
        <f>IFERROR((VLOOKUP(C171,'Daily Scrap by Shift'!$A:$D,2,0)),0)</f>
        <v>20198</v>
      </c>
      <c r="E171" s="6">
        <f>IFERROR((VLOOKUP(C171,'Daily Scrap by Shift'!$A:$D,3,0)),0)</f>
        <v>737</v>
      </c>
      <c r="F171" s="6">
        <f>IFERROR((VLOOKUP(C171,'Daily Scrap by Shift'!$A:$D,4,0)),0)</f>
        <v>1405.6277160000002</v>
      </c>
      <c r="G171" s="33">
        <v>808</v>
      </c>
      <c r="H171" s="3">
        <f t="shared" si="11"/>
        <v>0.73963826237623786</v>
      </c>
    </row>
    <row r="172" spans="1:8" x14ac:dyDescent="0.25">
      <c r="A172" s="23">
        <v>43888</v>
      </c>
      <c r="B172" s="2" t="s">
        <v>26</v>
      </c>
      <c r="C172" t="str">
        <f t="shared" si="10"/>
        <v>43888 - 2S</v>
      </c>
      <c r="D172" s="6">
        <f>IFERROR((VLOOKUP(C172,'Daily Scrap by Shift'!$A:$D,2,0)),0)</f>
        <v>23512</v>
      </c>
      <c r="E172" s="6">
        <f>IFERROR((VLOOKUP(C172,'Daily Scrap by Shift'!$A:$D,3,0)),0)</f>
        <v>461</v>
      </c>
      <c r="F172" s="6">
        <f>IFERROR((VLOOKUP(C172,'Daily Scrap by Shift'!$A:$D,4,0)),0)</f>
        <v>881.81538599999988</v>
      </c>
      <c r="G172" s="33">
        <v>477</v>
      </c>
      <c r="H172" s="3">
        <f t="shared" si="11"/>
        <v>0.84866957232704376</v>
      </c>
    </row>
    <row r="173" spans="1:8" x14ac:dyDescent="0.25">
      <c r="A173" s="23">
        <v>43889</v>
      </c>
      <c r="B173" s="2" t="s">
        <v>24</v>
      </c>
      <c r="C173" t="str">
        <f t="shared" si="10"/>
        <v>43889 - 3S</v>
      </c>
      <c r="D173" s="6">
        <f>IFERROR((VLOOKUP(C173,'Daily Scrap by Shift'!$A:$D,2,0)),0)</f>
        <v>16086</v>
      </c>
      <c r="E173" s="6">
        <f>IFERROR((VLOOKUP(C173,'Daily Scrap by Shift'!$A:$D,3,0)),0)</f>
        <v>449</v>
      </c>
      <c r="F173" s="6">
        <f>IFERROR((VLOOKUP(C173,'Daily Scrap by Shift'!$A:$D,4,0)),0)</f>
        <v>734.43580800000007</v>
      </c>
      <c r="G173" s="33">
        <v>557</v>
      </c>
      <c r="H173" s="3">
        <f t="shared" si="11"/>
        <v>0.31855620825852793</v>
      </c>
    </row>
    <row r="174" spans="1:8" x14ac:dyDescent="0.25">
      <c r="A174" s="23">
        <v>43889</v>
      </c>
      <c r="B174" s="2" t="s">
        <v>25</v>
      </c>
      <c r="C174" t="str">
        <f t="shared" si="10"/>
        <v>43889 - 1S</v>
      </c>
      <c r="D174" s="6">
        <f>IFERROR((VLOOKUP(C174,'Daily Scrap by Shift'!$A:$D,2,0)),0)</f>
        <v>17084</v>
      </c>
      <c r="E174" s="6">
        <f>IFERROR((VLOOKUP(C174,'Daily Scrap by Shift'!$A:$D,3,0)),0)</f>
        <v>179</v>
      </c>
      <c r="F174" s="6">
        <f>IFERROR((VLOOKUP(C174,'Daily Scrap by Shift'!$A:$D,4,0)),0)</f>
        <v>309.16348600000003</v>
      </c>
      <c r="G174" s="33">
        <v>215</v>
      </c>
      <c r="H174" s="3">
        <f t="shared" si="11"/>
        <v>0.43796970232558158</v>
      </c>
    </row>
    <row r="175" spans="1:8" x14ac:dyDescent="0.25">
      <c r="A175" s="23">
        <v>43889</v>
      </c>
      <c r="B175" s="2" t="s">
        <v>26</v>
      </c>
      <c r="C175" t="str">
        <f t="shared" si="10"/>
        <v>43889 - 2S</v>
      </c>
      <c r="D175" s="6">
        <f>IFERROR((VLOOKUP(C175,'Daily Scrap by Shift'!$A:$D,2,0)),0)</f>
        <v>19971</v>
      </c>
      <c r="E175" s="6">
        <f>IFERROR((VLOOKUP(C175,'Daily Scrap by Shift'!$A:$D,3,0)),0)</f>
        <v>291</v>
      </c>
      <c r="F175" s="6">
        <f>IFERROR((VLOOKUP(C175,'Daily Scrap by Shift'!$A:$D,4,0)),0)</f>
        <v>545.16779799999995</v>
      </c>
      <c r="G175" s="33">
        <v>309</v>
      </c>
      <c r="H175" s="3">
        <f t="shared" si="11"/>
        <v>0.76429708090614867</v>
      </c>
    </row>
    <row r="176" spans="1:8" x14ac:dyDescent="0.25">
      <c r="A176" s="23">
        <v>43890</v>
      </c>
      <c r="B176" s="2" t="s">
        <v>24</v>
      </c>
      <c r="C176" t="str">
        <f t="shared" si="10"/>
        <v>43890 - 3S</v>
      </c>
      <c r="D176" s="6">
        <f>IFERROR((VLOOKUP(C176,'Daily Scrap by Shift'!$A:$D,2,0)),0)</f>
        <v>0</v>
      </c>
      <c r="E176" s="6">
        <f>IFERROR((VLOOKUP(C176,'Daily Scrap by Shift'!$A:$D,3,0)),0)</f>
        <v>0</v>
      </c>
      <c r="F176" s="6">
        <f>IFERROR((VLOOKUP(C176,'Daily Scrap by Shift'!$A:$D,4,0)),0)</f>
        <v>0</v>
      </c>
      <c r="H176" s="3" t="e">
        <f t="shared" si="11"/>
        <v>#DIV/0!</v>
      </c>
    </row>
    <row r="177" spans="1:8" x14ac:dyDescent="0.25">
      <c r="A177" s="23">
        <v>43890</v>
      </c>
      <c r="B177" s="2" t="s">
        <v>25</v>
      </c>
      <c r="C177" t="str">
        <f t="shared" si="10"/>
        <v>43890 - 1S</v>
      </c>
      <c r="D177" s="6">
        <f>IFERROR((VLOOKUP(C177,'Daily Scrap by Shift'!$A:$D,2,0)),0)</f>
        <v>11084</v>
      </c>
      <c r="E177" s="6">
        <f>IFERROR((VLOOKUP(C177,'Daily Scrap by Shift'!$A:$D,3,0)),0)</f>
        <v>84</v>
      </c>
      <c r="F177" s="6">
        <f>IFERROR((VLOOKUP(C177,'Daily Scrap by Shift'!$A:$D,4,0)),0)</f>
        <v>27.311424000000002</v>
      </c>
      <c r="H177" s="3" t="e">
        <f t="shared" si="11"/>
        <v>#DIV/0!</v>
      </c>
    </row>
    <row r="178" spans="1:8" x14ac:dyDescent="0.25">
      <c r="A178" s="23">
        <v>43890</v>
      </c>
      <c r="B178" s="2" t="s">
        <v>26</v>
      </c>
      <c r="C178" t="str">
        <f t="shared" ref="C178:C182" si="12">CONCATENATE(A178," - ",B178)</f>
        <v>43890 - 2S</v>
      </c>
      <c r="D178" s="6">
        <f>IFERROR((VLOOKUP(C178,'Daily Scrap by Shift'!$A:$D,2,0)),0)</f>
        <v>10077</v>
      </c>
      <c r="E178" s="6">
        <f>IFERROR((VLOOKUP(C178,'Daily Scrap by Shift'!$A:$D,3,0)),0)</f>
        <v>77</v>
      </c>
      <c r="F178" s="6">
        <f>IFERROR((VLOOKUP(C178,'Daily Scrap by Shift'!$A:$D,4,0)),0)</f>
        <v>101.44243200000001</v>
      </c>
      <c r="H178" s="3" t="e">
        <f t="shared" ref="H178:H189" si="13">(F178-G178)/G178</f>
        <v>#DIV/0!</v>
      </c>
    </row>
    <row r="179" spans="1:8" x14ac:dyDescent="0.25">
      <c r="A179" s="23">
        <v>43892</v>
      </c>
      <c r="B179" s="46" t="s">
        <v>25</v>
      </c>
      <c r="C179" s="19" t="str">
        <f t="shared" si="12"/>
        <v>43892 - 1S</v>
      </c>
      <c r="D179" s="45">
        <f>IFERROR((VLOOKUP(C179,'Daily Scrap by Shift'!$A:$D,2,0)),0)</f>
        <v>23753</v>
      </c>
      <c r="E179" s="45">
        <f>IFERROR((VLOOKUP(C179,'Daily Scrap by Shift'!$A:$D,3,0)),0)</f>
        <v>313</v>
      </c>
      <c r="F179" s="45">
        <f>IFERROR((VLOOKUP(C179,'Daily Scrap by Shift'!$A:$D,4,0)),0)</f>
        <v>723.34100999999998</v>
      </c>
      <c r="G179" s="33">
        <v>1186</v>
      </c>
      <c r="H179" s="3">
        <f t="shared" si="13"/>
        <v>-0.39010032883642498</v>
      </c>
    </row>
    <row r="180" spans="1:8" x14ac:dyDescent="0.25">
      <c r="A180" s="23">
        <v>43892</v>
      </c>
      <c r="B180" s="46" t="s">
        <v>26</v>
      </c>
      <c r="C180" s="19" t="str">
        <f t="shared" si="12"/>
        <v>43892 - 2S</v>
      </c>
      <c r="D180" s="45">
        <f>IFERROR((VLOOKUP(C180,'Daily Scrap by Shift'!$A:$D,2,0)),0)</f>
        <v>27478</v>
      </c>
      <c r="E180" s="45">
        <f>IFERROR((VLOOKUP(C180,'Daily Scrap by Shift'!$A:$D,3,0)),0)</f>
        <v>798</v>
      </c>
      <c r="F180" s="45">
        <f>IFERROR((VLOOKUP(C180,'Daily Scrap by Shift'!$A:$D,4,0)),0)</f>
        <v>1871.0992719999999</v>
      </c>
      <c r="G180" s="33">
        <v>951</v>
      </c>
      <c r="H180" s="3">
        <f t="shared" si="13"/>
        <v>0.96750712092534163</v>
      </c>
    </row>
    <row r="181" spans="1:8" x14ac:dyDescent="0.25">
      <c r="A181" s="23">
        <v>43893</v>
      </c>
      <c r="B181" s="46" t="s">
        <v>24</v>
      </c>
      <c r="C181" s="19" t="str">
        <f t="shared" si="12"/>
        <v>43893 - 3S</v>
      </c>
      <c r="D181" s="45">
        <f>IFERROR((VLOOKUP(C181,'Daily Scrap by Shift'!$A:$D,2,0)),0)</f>
        <v>13820</v>
      </c>
      <c r="E181" s="45">
        <f>IFERROR((VLOOKUP(C181,'Daily Scrap by Shift'!$A:$D,3,0)),0)</f>
        <v>300</v>
      </c>
      <c r="F181" s="45">
        <f>IFERROR((VLOOKUP(C181,'Daily Scrap by Shift'!$A:$D,4,0)),0)</f>
        <v>779.45995400000004</v>
      </c>
      <c r="G181" s="33">
        <v>542</v>
      </c>
      <c r="H181" s="3">
        <f t="shared" si="13"/>
        <v>0.43811799630996318</v>
      </c>
    </row>
    <row r="182" spans="1:8" x14ac:dyDescent="0.25">
      <c r="A182" s="23">
        <v>43893</v>
      </c>
      <c r="B182" s="46" t="s">
        <v>25</v>
      </c>
      <c r="C182" s="19" t="str">
        <f t="shared" si="12"/>
        <v>43893 - 1S</v>
      </c>
      <c r="D182" s="45">
        <f>IFERROR((VLOOKUP(C182,'Daily Scrap by Shift'!$A:$D,2,0)),0)</f>
        <v>29073</v>
      </c>
      <c r="E182" s="45">
        <f>IFERROR((VLOOKUP(C182,'Daily Scrap by Shift'!$A:$D,3,0)),0)</f>
        <v>633</v>
      </c>
      <c r="F182" s="45">
        <f>IFERROR((VLOOKUP(C182,'Daily Scrap by Shift'!$A:$D,4,0)),0)</f>
        <v>1499.2073599999999</v>
      </c>
      <c r="G182" s="33">
        <v>610</v>
      </c>
      <c r="H182" s="3">
        <f t="shared" si="13"/>
        <v>1.4577169836065571</v>
      </c>
    </row>
    <row r="183" spans="1:8" x14ac:dyDescent="0.25">
      <c r="A183" s="23">
        <v>43893</v>
      </c>
      <c r="B183" s="46" t="s">
        <v>26</v>
      </c>
      <c r="C183" s="19" t="str">
        <f t="shared" ref="C183:C246" si="14">CONCATENATE(A183," - ",B183)</f>
        <v>43893 - 2S</v>
      </c>
      <c r="D183" s="45">
        <f>IFERROR((VLOOKUP(C183,'Daily Scrap by Shift'!$A:$D,2,0)),0)</f>
        <v>26947</v>
      </c>
      <c r="E183" s="45">
        <f>IFERROR((VLOOKUP(C183,'Daily Scrap by Shift'!$A:$D,3,0)),0)</f>
        <v>747</v>
      </c>
      <c r="F183" s="45">
        <f>IFERROR((VLOOKUP(C183,'Daily Scrap by Shift'!$A:$D,4,0)),0)</f>
        <v>1801.7152860000001</v>
      </c>
      <c r="G183" s="33">
        <v>481</v>
      </c>
      <c r="H183" s="3">
        <f t="shared" ref="H183" si="15">(F183-G183)/G183</f>
        <v>2.7457698253638254</v>
      </c>
    </row>
    <row r="184" spans="1:8" x14ac:dyDescent="0.25">
      <c r="A184" s="23">
        <v>43894</v>
      </c>
      <c r="B184" s="46" t="s">
        <v>24</v>
      </c>
      <c r="C184" s="19" t="str">
        <f t="shared" si="14"/>
        <v>43894 - 3S</v>
      </c>
      <c r="D184" s="45">
        <f>IFERROR((VLOOKUP(C184,'Daily Scrap by Shift'!$A:$D,2,0)),0)</f>
        <v>13052</v>
      </c>
      <c r="E184" s="45">
        <f>IFERROR((VLOOKUP(C184,'Daily Scrap by Shift'!$A:$D,3,0)),0)</f>
        <v>452</v>
      </c>
      <c r="F184" s="45">
        <f>IFERROR((VLOOKUP(C184,'Daily Scrap by Shift'!$A:$D,4,0)),0)</f>
        <v>1146.978378</v>
      </c>
      <c r="G184" s="33">
        <v>766</v>
      </c>
      <c r="H184" s="3">
        <f t="shared" si="13"/>
        <v>0.4973608067885118</v>
      </c>
    </row>
    <row r="185" spans="1:8" x14ac:dyDescent="0.25">
      <c r="A185" s="23">
        <v>43894</v>
      </c>
      <c r="B185" s="46" t="s">
        <v>25</v>
      </c>
      <c r="C185" s="19" t="str">
        <f t="shared" si="14"/>
        <v>43894 - 1S</v>
      </c>
      <c r="D185" s="45">
        <f>IFERROR((VLOOKUP(C185,'Daily Scrap by Shift'!$A:$D,2,0)),0)</f>
        <v>29244</v>
      </c>
      <c r="E185" s="45">
        <f>IFERROR((VLOOKUP(C185,'Daily Scrap by Shift'!$A:$D,3,0)),0)</f>
        <v>488</v>
      </c>
      <c r="F185" s="45">
        <f>IFERROR((VLOOKUP(C185,'Daily Scrap by Shift'!$A:$D,4,0)),0)</f>
        <v>1222.9096599999998</v>
      </c>
      <c r="G185" s="33">
        <v>498</v>
      </c>
      <c r="H185" s="3">
        <f t="shared" si="13"/>
        <v>1.4556418875502004</v>
      </c>
    </row>
    <row r="186" spans="1:8" x14ac:dyDescent="0.25">
      <c r="A186" s="23">
        <v>43894</v>
      </c>
      <c r="B186" s="46" t="s">
        <v>26</v>
      </c>
      <c r="C186" s="19" t="str">
        <f t="shared" si="14"/>
        <v>43894 - 2S</v>
      </c>
      <c r="D186" s="45">
        <f>IFERROR((VLOOKUP(C186,'Daily Scrap by Shift'!$A:$D,2,0)),0)</f>
        <v>26145</v>
      </c>
      <c r="E186" s="45">
        <f>IFERROR((VLOOKUP(C186,'Daily Scrap by Shift'!$A:$D,3,0)),0)</f>
        <v>545</v>
      </c>
      <c r="F186" s="45">
        <f>IFERROR((VLOOKUP(C186,'Daily Scrap by Shift'!$A:$D,4,0)),0)</f>
        <v>1121.1309059999999</v>
      </c>
      <c r="G186" s="33">
        <v>411</v>
      </c>
      <c r="H186" s="3">
        <f t="shared" si="13"/>
        <v>1.7278124233576639</v>
      </c>
    </row>
    <row r="187" spans="1:8" x14ac:dyDescent="0.25">
      <c r="A187" s="23">
        <v>43895</v>
      </c>
      <c r="B187" s="46" t="s">
        <v>24</v>
      </c>
      <c r="C187" s="19" t="str">
        <f t="shared" si="14"/>
        <v>43895 - 3S</v>
      </c>
      <c r="D187" s="45">
        <f>IFERROR((VLOOKUP(C187,'Daily Scrap by Shift'!$A:$D,2,0)),0)</f>
        <v>15744</v>
      </c>
      <c r="E187" s="45">
        <f>IFERROR((VLOOKUP(C187,'Daily Scrap by Shift'!$A:$D,3,0)),0)</f>
        <v>424</v>
      </c>
      <c r="F187" s="45">
        <f>IFERROR((VLOOKUP(C187,'Daily Scrap by Shift'!$A:$D,4,0)),0)</f>
        <v>1031.896236</v>
      </c>
      <c r="G187" s="33">
        <v>682</v>
      </c>
      <c r="H187" s="3">
        <f t="shared" si="13"/>
        <v>0.5130443343108505</v>
      </c>
    </row>
    <row r="188" spans="1:8" x14ac:dyDescent="0.25">
      <c r="A188" s="23">
        <v>43895</v>
      </c>
      <c r="B188" s="46" t="s">
        <v>25</v>
      </c>
      <c r="C188" s="19" t="str">
        <f t="shared" si="14"/>
        <v>43895 - 1S</v>
      </c>
      <c r="D188" s="45">
        <f>IFERROR((VLOOKUP(C188,'Daily Scrap by Shift'!$A:$D,2,0)),0)</f>
        <v>23297</v>
      </c>
      <c r="E188" s="45">
        <f>IFERROR((VLOOKUP(C188,'Daily Scrap by Shift'!$A:$D,3,0)),0)</f>
        <v>319</v>
      </c>
      <c r="F188" s="45">
        <f>IFERROR((VLOOKUP(C188,'Daily Scrap by Shift'!$A:$D,4,0)),0)</f>
        <v>866.90935799999988</v>
      </c>
      <c r="G188" s="33">
        <v>438</v>
      </c>
      <c r="H188" s="3">
        <f t="shared" si="13"/>
        <v>0.97924510958904087</v>
      </c>
    </row>
    <row r="189" spans="1:8" x14ac:dyDescent="0.25">
      <c r="A189" s="23">
        <v>43895</v>
      </c>
      <c r="B189" s="46" t="s">
        <v>26</v>
      </c>
      <c r="C189" s="19" t="str">
        <f t="shared" si="14"/>
        <v>43895 - 2S</v>
      </c>
      <c r="D189" s="45">
        <f>IFERROR((VLOOKUP(C189,'Daily Scrap by Shift'!$A:$D,2,0)),0)</f>
        <v>15537</v>
      </c>
      <c r="E189" s="45">
        <f>IFERROR((VLOOKUP(C189,'Daily Scrap by Shift'!$A:$D,3,0)),0)</f>
        <v>498</v>
      </c>
      <c r="F189" s="45">
        <f>IFERROR((VLOOKUP(C189,'Daily Scrap by Shift'!$A:$D,4,0)),0)</f>
        <v>1186.7820299999998</v>
      </c>
      <c r="G189" s="33">
        <v>374</v>
      </c>
      <c r="H189" s="3">
        <f t="shared" si="13"/>
        <v>2.1732139839572189</v>
      </c>
    </row>
    <row r="190" spans="1:8" x14ac:dyDescent="0.25">
      <c r="A190" s="23">
        <v>43896</v>
      </c>
      <c r="B190" s="46" t="s">
        <v>24</v>
      </c>
      <c r="C190" s="19" t="str">
        <f t="shared" si="14"/>
        <v>43896 - 3S</v>
      </c>
      <c r="D190" s="45">
        <f>IFERROR((VLOOKUP(C190,'Daily Scrap by Shift'!$A:$D,2,0)),0)</f>
        <v>10597</v>
      </c>
      <c r="E190" s="45">
        <f>IFERROR((VLOOKUP(C190,'Daily Scrap by Shift'!$A:$D,3,0)),0)</f>
        <v>558</v>
      </c>
      <c r="F190" s="45">
        <f>IFERROR((VLOOKUP(C190,'Daily Scrap by Shift'!$A:$D,4,0)),0)</f>
        <v>1366.4177099999999</v>
      </c>
      <c r="G190" s="33">
        <v>810</v>
      </c>
      <c r="H190" s="3">
        <f t="shared" ref="H190:H207" si="16">(F190-G190)/G190</f>
        <v>0.68693544444444432</v>
      </c>
    </row>
    <row r="191" spans="1:8" x14ac:dyDescent="0.25">
      <c r="A191" s="23">
        <v>43896</v>
      </c>
      <c r="B191" s="46" t="s">
        <v>25</v>
      </c>
      <c r="C191" s="19" t="str">
        <f t="shared" si="14"/>
        <v>43896 - 1S</v>
      </c>
      <c r="D191" s="45">
        <f>IFERROR((VLOOKUP(C191,'Daily Scrap by Shift'!$A:$D,2,0)),0)</f>
        <v>10156</v>
      </c>
      <c r="E191" s="45">
        <f>IFERROR((VLOOKUP(C191,'Daily Scrap by Shift'!$A:$D,3,0)),0)</f>
        <v>349</v>
      </c>
      <c r="F191" s="45">
        <f>IFERROR((VLOOKUP(C191,'Daily Scrap by Shift'!$A:$D,4,0)),0)</f>
        <v>912.28857999999991</v>
      </c>
      <c r="G191" s="33">
        <v>391</v>
      </c>
      <c r="H191" s="3">
        <f t="shared" si="16"/>
        <v>1.3332188746803066</v>
      </c>
    </row>
    <row r="192" spans="1:8" x14ac:dyDescent="0.25">
      <c r="A192" s="23">
        <v>43896</v>
      </c>
      <c r="B192" s="46" t="s">
        <v>26</v>
      </c>
      <c r="C192" s="19" t="str">
        <f t="shared" si="14"/>
        <v>43896 - 2S</v>
      </c>
      <c r="D192" s="45">
        <f>IFERROR((VLOOKUP(C192,'Daily Scrap by Shift'!$A:$D,2,0)),0)</f>
        <v>4882</v>
      </c>
      <c r="E192" s="45">
        <f>IFERROR((VLOOKUP(C192,'Daily Scrap by Shift'!$A:$D,3,0)),0)</f>
        <v>82</v>
      </c>
      <c r="F192" s="45">
        <f>IFERROR((VLOOKUP(C192,'Daily Scrap by Shift'!$A:$D,4,0)),0)</f>
        <v>85.674819999999997</v>
      </c>
      <c r="H192" s="3" t="e">
        <f t="shared" si="16"/>
        <v>#DIV/0!</v>
      </c>
    </row>
    <row r="193" spans="1:8" x14ac:dyDescent="0.25">
      <c r="A193" s="23">
        <v>43897</v>
      </c>
      <c r="B193" s="46" t="s">
        <v>24</v>
      </c>
      <c r="C193" s="19" t="str">
        <f t="shared" si="14"/>
        <v>43897 - 3S</v>
      </c>
      <c r="D193" s="45">
        <f>IFERROR((VLOOKUP(C193,'Daily Scrap by Shift'!$A:$D,2,0)),0)</f>
        <v>10</v>
      </c>
      <c r="E193" s="45">
        <f>IFERROR((VLOOKUP(C193,'Daily Scrap by Shift'!$A:$D,3,0)),0)</f>
        <v>10</v>
      </c>
      <c r="F193" s="45">
        <f>IFERROR((VLOOKUP(C193,'Daily Scrap by Shift'!$A:$D,4,0)),0)</f>
        <v>0</v>
      </c>
      <c r="H193" s="3" t="e">
        <f t="shared" si="16"/>
        <v>#DIV/0!</v>
      </c>
    </row>
    <row r="194" spans="1:8" x14ac:dyDescent="0.25">
      <c r="A194" s="23">
        <v>43897</v>
      </c>
      <c r="B194" s="46" t="s">
        <v>25</v>
      </c>
      <c r="C194" s="19" t="str">
        <f t="shared" si="14"/>
        <v>43897 - 1S</v>
      </c>
      <c r="D194" s="45">
        <f>IFERROR((VLOOKUP(C194,'Daily Scrap by Shift'!$A:$D,2,0)),0)</f>
        <v>0</v>
      </c>
      <c r="E194" s="45">
        <f>IFERROR((VLOOKUP(C194,'Daily Scrap by Shift'!$A:$D,3,0)),0)</f>
        <v>0</v>
      </c>
      <c r="F194" s="45">
        <f>IFERROR((VLOOKUP(C194,'Daily Scrap by Shift'!$A:$D,4,0)),0)</f>
        <v>0</v>
      </c>
      <c r="H194" s="3" t="e">
        <f t="shared" si="16"/>
        <v>#DIV/0!</v>
      </c>
    </row>
    <row r="195" spans="1:8" x14ac:dyDescent="0.25">
      <c r="A195" s="23">
        <v>43897</v>
      </c>
      <c r="B195" s="46" t="s">
        <v>26</v>
      </c>
      <c r="C195" s="19" t="str">
        <f t="shared" si="14"/>
        <v>43897 - 2S</v>
      </c>
      <c r="D195" s="45">
        <f>IFERROR((VLOOKUP(C195,'Daily Scrap by Shift'!$A:$D,2,0)),0)</f>
        <v>0</v>
      </c>
      <c r="E195" s="45">
        <f>IFERROR((VLOOKUP(C195,'Daily Scrap by Shift'!$A:$D,3,0)),0)</f>
        <v>0</v>
      </c>
      <c r="F195" s="45">
        <f>IFERROR((VLOOKUP(C195,'Daily Scrap by Shift'!$A:$D,4,0)),0)</f>
        <v>0</v>
      </c>
      <c r="H195" s="3" t="e">
        <f t="shared" si="16"/>
        <v>#DIV/0!</v>
      </c>
    </row>
    <row r="196" spans="1:8" x14ac:dyDescent="0.25">
      <c r="A196" s="23">
        <v>43898</v>
      </c>
      <c r="B196" s="46" t="s">
        <v>24</v>
      </c>
      <c r="C196" s="19" t="str">
        <f t="shared" si="14"/>
        <v>43898 - 3S</v>
      </c>
      <c r="D196" s="45">
        <f>IFERROR((VLOOKUP(C196,'Daily Scrap by Shift'!$A:$D,2,0)),0)</f>
        <v>0</v>
      </c>
      <c r="E196" s="45">
        <f>IFERROR((VLOOKUP(C196,'Daily Scrap by Shift'!$A:$D,3,0)),0)</f>
        <v>0</v>
      </c>
      <c r="F196" s="45">
        <f>IFERROR((VLOOKUP(C196,'Daily Scrap by Shift'!$A:$D,4,0)),0)</f>
        <v>0</v>
      </c>
      <c r="H196" s="3" t="e">
        <f t="shared" si="16"/>
        <v>#DIV/0!</v>
      </c>
    </row>
    <row r="197" spans="1:8" x14ac:dyDescent="0.25">
      <c r="A197" s="23">
        <v>43898</v>
      </c>
      <c r="B197" s="46" t="s">
        <v>25</v>
      </c>
      <c r="C197" s="19" t="str">
        <f t="shared" si="14"/>
        <v>43898 - 1S</v>
      </c>
      <c r="D197" s="45">
        <f>IFERROR((VLOOKUP(C197,'Daily Scrap by Shift'!$A:$D,2,0)),0)</f>
        <v>0</v>
      </c>
      <c r="E197" s="45">
        <f>IFERROR((VLOOKUP(C197,'Daily Scrap by Shift'!$A:$D,3,0)),0)</f>
        <v>0</v>
      </c>
      <c r="F197" s="45">
        <f>IFERROR((VLOOKUP(C197,'Daily Scrap by Shift'!$A:$D,4,0)),0)</f>
        <v>0</v>
      </c>
      <c r="H197" s="3" t="e">
        <f t="shared" si="16"/>
        <v>#DIV/0!</v>
      </c>
    </row>
    <row r="198" spans="1:8" x14ac:dyDescent="0.25">
      <c r="A198" s="23">
        <v>43898</v>
      </c>
      <c r="B198" s="46" t="s">
        <v>26</v>
      </c>
      <c r="C198" s="19" t="str">
        <f t="shared" si="14"/>
        <v>43898 - 2S</v>
      </c>
      <c r="D198" s="45">
        <f>IFERROR((VLOOKUP(C198,'Daily Scrap by Shift'!$A:$D,2,0)),0)</f>
        <v>0</v>
      </c>
      <c r="E198" s="45">
        <f>IFERROR((VLOOKUP(C198,'Daily Scrap by Shift'!$A:$D,3,0)),0)</f>
        <v>0</v>
      </c>
      <c r="F198" s="45">
        <f>IFERROR((VLOOKUP(C198,'Daily Scrap by Shift'!$A:$D,4,0)),0)</f>
        <v>0</v>
      </c>
      <c r="H198" s="3" t="e">
        <f t="shared" si="16"/>
        <v>#DIV/0!</v>
      </c>
    </row>
    <row r="199" spans="1:8" x14ac:dyDescent="0.25">
      <c r="A199" s="23">
        <v>43899</v>
      </c>
      <c r="B199" s="46" t="s">
        <v>24</v>
      </c>
      <c r="C199" s="19" t="str">
        <f t="shared" si="14"/>
        <v>43899 - 3S</v>
      </c>
      <c r="D199" s="45">
        <f>IFERROR((VLOOKUP(C199,'Daily Scrap by Shift'!$A:$D,2,0)),0)</f>
        <v>859.84</v>
      </c>
      <c r="E199" s="45">
        <f>IFERROR((VLOOKUP(C199,'Daily Scrap by Shift'!$A:$D,3,0)),0)</f>
        <v>292</v>
      </c>
      <c r="F199" s="45">
        <f>IFERROR((VLOOKUP(C199,'Daily Scrap by Shift'!$A:$D,4,0)),0)</f>
        <v>562.52</v>
      </c>
      <c r="G199" s="33">
        <v>653</v>
      </c>
      <c r="H199" s="3">
        <f t="shared" si="16"/>
        <v>-0.13856049004594184</v>
      </c>
    </row>
    <row r="200" spans="1:8" x14ac:dyDescent="0.25">
      <c r="A200" s="23">
        <v>43899</v>
      </c>
      <c r="B200" s="46" t="s">
        <v>25</v>
      </c>
      <c r="C200" s="19" t="str">
        <f t="shared" si="14"/>
        <v>43899 - 1S</v>
      </c>
      <c r="D200" s="45">
        <f>IFERROR((VLOOKUP(C200,'Daily Scrap by Shift'!$A:$D,2,0)),0)</f>
        <v>8502</v>
      </c>
      <c r="E200" s="45">
        <f>IFERROR((VLOOKUP(C200,'Daily Scrap by Shift'!$A:$D,3,0)),0)</f>
        <v>527</v>
      </c>
      <c r="F200" s="45">
        <f>IFERROR((VLOOKUP(C200,'Daily Scrap by Shift'!$A:$D,4,0)),0)</f>
        <v>1032.92</v>
      </c>
      <c r="G200" s="33">
        <v>609</v>
      </c>
      <c r="H200" s="3">
        <f t="shared" si="16"/>
        <v>0.69609195402298862</v>
      </c>
    </row>
    <row r="201" spans="1:8" x14ac:dyDescent="0.25">
      <c r="A201" s="23">
        <v>43899</v>
      </c>
      <c r="B201" s="46" t="s">
        <v>26</v>
      </c>
      <c r="C201" s="19" t="str">
        <f t="shared" si="14"/>
        <v>43899 - 2S</v>
      </c>
      <c r="D201" s="45">
        <f>IFERROR((VLOOKUP(C201,'Daily Scrap by Shift'!$A:$D,2,0)),0)</f>
        <v>20212</v>
      </c>
      <c r="E201" s="45">
        <f>IFERROR((VLOOKUP(C201,'Daily Scrap by Shift'!$A:$D,3,0)),0)</f>
        <v>517</v>
      </c>
      <c r="F201" s="45">
        <f>IFERROR((VLOOKUP(C201,'Daily Scrap by Shift'!$A:$D,4,0)),0)</f>
        <v>902.69820000000004</v>
      </c>
      <c r="G201" s="33">
        <v>372</v>
      </c>
      <c r="H201" s="3">
        <f t="shared" si="16"/>
        <v>1.4266080645161292</v>
      </c>
    </row>
    <row r="202" spans="1:8" x14ac:dyDescent="0.25">
      <c r="A202" s="23">
        <v>43900</v>
      </c>
      <c r="B202" s="46" t="s">
        <v>24</v>
      </c>
      <c r="C202" s="19" t="str">
        <f t="shared" si="14"/>
        <v>43900 - 3S</v>
      </c>
      <c r="D202" s="45">
        <f>IFERROR((VLOOKUP(C202,'Daily Scrap by Shift'!$A:$D,2,0)),0)</f>
        <v>13055</v>
      </c>
      <c r="E202" s="45">
        <f>IFERROR((VLOOKUP(C202,'Daily Scrap by Shift'!$A:$D,3,0)),0)</f>
        <v>440</v>
      </c>
      <c r="F202" s="45">
        <f>IFERROR((VLOOKUP(C202,'Daily Scrap by Shift'!$A:$D,4,0)),0)</f>
        <v>877.05585999999994</v>
      </c>
      <c r="G202" s="33">
        <v>557</v>
      </c>
      <c r="H202" s="3">
        <f t="shared" si="16"/>
        <v>0.57460657091561929</v>
      </c>
    </row>
    <row r="203" spans="1:8" x14ac:dyDescent="0.25">
      <c r="A203" s="23">
        <v>43900</v>
      </c>
      <c r="B203" s="46" t="s">
        <v>25</v>
      </c>
      <c r="C203" s="19" t="str">
        <f t="shared" si="14"/>
        <v>43900 - 1S</v>
      </c>
      <c r="D203" s="45">
        <f>IFERROR((VLOOKUP(C203,'Daily Scrap by Shift'!$A:$D,2,0)),0)</f>
        <v>25528</v>
      </c>
      <c r="E203" s="45">
        <f>IFERROR((VLOOKUP(C203,'Daily Scrap by Shift'!$A:$D,3,0)),0)</f>
        <v>905</v>
      </c>
      <c r="F203" s="45">
        <f>IFERROR((VLOOKUP(C203,'Daily Scrap by Shift'!$A:$D,4,0)),0)</f>
        <v>1895.1420879999998</v>
      </c>
      <c r="G203" s="33">
        <v>1103</v>
      </c>
      <c r="H203" s="3">
        <f t="shared" si="16"/>
        <v>0.71817052402538517</v>
      </c>
    </row>
    <row r="204" spans="1:8" x14ac:dyDescent="0.25">
      <c r="A204" s="23">
        <v>43900</v>
      </c>
      <c r="B204" s="46" t="s">
        <v>26</v>
      </c>
      <c r="C204" s="19" t="str">
        <f t="shared" si="14"/>
        <v>43900 - 2S</v>
      </c>
      <c r="D204" s="45">
        <f>IFERROR((VLOOKUP(C204,'Daily Scrap by Shift'!$A:$D,2,0)),0)</f>
        <v>30830</v>
      </c>
      <c r="E204" s="45">
        <f>IFERROR((VLOOKUP(C204,'Daily Scrap by Shift'!$A:$D,3,0)),0)</f>
        <v>679</v>
      </c>
      <c r="F204" s="45">
        <f>IFERROR((VLOOKUP(C204,'Daily Scrap by Shift'!$A:$D,4,0)),0)</f>
        <v>1176.4316660000002</v>
      </c>
      <c r="G204" s="33">
        <v>841</v>
      </c>
      <c r="H204" s="3">
        <f t="shared" si="16"/>
        <v>0.39884859215219998</v>
      </c>
    </row>
    <row r="205" spans="1:8" x14ac:dyDescent="0.25">
      <c r="A205" s="23">
        <v>43901</v>
      </c>
      <c r="B205" s="46" t="s">
        <v>24</v>
      </c>
      <c r="C205" s="19" t="str">
        <f t="shared" si="14"/>
        <v>43901 - 3S</v>
      </c>
      <c r="D205" s="45">
        <f>IFERROR((VLOOKUP(C205,'Daily Scrap by Shift'!$A:$D,2,0)),0)</f>
        <v>9170</v>
      </c>
      <c r="E205" s="45">
        <f>IFERROR((VLOOKUP(C205,'Daily Scrap by Shift'!$A:$D,3,0)),0)</f>
        <v>520</v>
      </c>
      <c r="F205" s="45">
        <f>IFERROR((VLOOKUP(C205,'Daily Scrap by Shift'!$A:$D,4,0)),0)</f>
        <v>893.17421000000002</v>
      </c>
      <c r="G205" s="33">
        <v>809</v>
      </c>
      <c r="H205" s="3">
        <f t="shared" si="16"/>
        <v>0.10404723114956739</v>
      </c>
    </row>
    <row r="206" spans="1:8" x14ac:dyDescent="0.25">
      <c r="A206" s="23">
        <v>43901</v>
      </c>
      <c r="B206" s="46" t="s">
        <v>25</v>
      </c>
      <c r="C206" s="19" t="str">
        <f t="shared" si="14"/>
        <v>43901 - 1S</v>
      </c>
      <c r="D206" s="45">
        <f>IFERROR((VLOOKUP(C206,'Daily Scrap by Shift'!$A:$D,2,0)),0)</f>
        <v>24629</v>
      </c>
      <c r="E206" s="45">
        <f>IFERROR((VLOOKUP(C206,'Daily Scrap by Shift'!$A:$D,3,0)),0)</f>
        <v>881</v>
      </c>
      <c r="F206" s="45">
        <f>IFERROR((VLOOKUP(C206,'Daily Scrap by Shift'!$A:$D,4,0)),0)</f>
        <v>2047.8003320000003</v>
      </c>
      <c r="G206" s="33">
        <v>818</v>
      </c>
      <c r="H206" s="3">
        <f t="shared" si="16"/>
        <v>1.5034233887530566</v>
      </c>
    </row>
    <row r="207" spans="1:8" x14ac:dyDescent="0.25">
      <c r="A207" s="23">
        <v>43901</v>
      </c>
      <c r="B207" s="46" t="s">
        <v>26</v>
      </c>
      <c r="C207" s="19" t="str">
        <f t="shared" si="14"/>
        <v>43901 - 2S</v>
      </c>
      <c r="D207" s="45">
        <f>IFERROR((VLOOKUP(C207,'Daily Scrap by Shift'!$A:$D,2,0)),0)</f>
        <v>13990</v>
      </c>
      <c r="E207" s="45">
        <f>IFERROR((VLOOKUP(C207,'Daily Scrap by Shift'!$A:$D,3,0)),0)</f>
        <v>1364</v>
      </c>
      <c r="F207" s="45">
        <f>IFERROR((VLOOKUP(C207,'Daily Scrap by Shift'!$A:$D,4,0)),0)</f>
        <v>2613.663728</v>
      </c>
      <c r="G207" s="33">
        <v>1000</v>
      </c>
      <c r="H207" s="3">
        <f t="shared" si="16"/>
        <v>1.6136637279999999</v>
      </c>
    </row>
    <row r="208" spans="1:8" x14ac:dyDescent="0.25">
      <c r="A208" s="23">
        <v>43902</v>
      </c>
      <c r="B208" s="46" t="s">
        <v>24</v>
      </c>
      <c r="C208" s="19" t="str">
        <f t="shared" si="14"/>
        <v>43902 - 3S</v>
      </c>
      <c r="D208" s="45">
        <f>IFERROR((VLOOKUP(C208,'Daily Scrap by Shift'!$A:$D,2,0)),0)</f>
        <v>18007.8</v>
      </c>
      <c r="E208" s="45">
        <f>IFERROR((VLOOKUP(C208,'Daily Scrap by Shift'!$A:$D,3,0)),0)</f>
        <v>567</v>
      </c>
      <c r="F208" s="45">
        <f>IFERROR((VLOOKUP(C208,'Daily Scrap by Shift'!$A:$D,4,0)),0)</f>
        <v>1417.39805</v>
      </c>
      <c r="G208" s="33">
        <v>971</v>
      </c>
      <c r="H208" s="3">
        <f t="shared" ref="H208:H274" si="17">(F208-G208)/G208</f>
        <v>0.45973022657054585</v>
      </c>
    </row>
    <row r="209" spans="1:8" x14ac:dyDescent="0.25">
      <c r="A209" s="23">
        <v>43902</v>
      </c>
      <c r="B209" s="46" t="s">
        <v>25</v>
      </c>
      <c r="C209" s="19" t="str">
        <f t="shared" si="14"/>
        <v>43902 - 1S</v>
      </c>
      <c r="D209" s="45">
        <f>IFERROR((VLOOKUP(C209,'Daily Scrap by Shift'!$A:$D,2,0)),0)</f>
        <v>32771</v>
      </c>
      <c r="E209" s="45">
        <f>IFERROR((VLOOKUP(C209,'Daily Scrap by Shift'!$A:$D,3,0)),0)</f>
        <v>963</v>
      </c>
      <c r="F209" s="45">
        <f>IFERROR((VLOOKUP(C209,'Daily Scrap by Shift'!$A:$D,4,0)),0)</f>
        <v>2260.9469199999999</v>
      </c>
      <c r="G209" s="33">
        <v>1045</v>
      </c>
      <c r="H209" s="3">
        <f t="shared" si="17"/>
        <v>1.1635855693779904</v>
      </c>
    </row>
    <row r="210" spans="1:8" x14ac:dyDescent="0.25">
      <c r="A210" s="23">
        <v>43902</v>
      </c>
      <c r="B210" s="46" t="s">
        <v>26</v>
      </c>
      <c r="C210" s="19" t="str">
        <f t="shared" si="14"/>
        <v>43902 - 2S</v>
      </c>
      <c r="D210" s="45">
        <f>IFERROR((VLOOKUP(C210,'Daily Scrap by Shift'!$A:$D,2,0)),0)</f>
        <v>33498.400000000001</v>
      </c>
      <c r="E210" s="45">
        <f>IFERROR((VLOOKUP(C210,'Daily Scrap by Shift'!$A:$D,3,0)),0)</f>
        <v>672</v>
      </c>
      <c r="F210" s="45">
        <f>IFERROR((VLOOKUP(C210,'Daily Scrap by Shift'!$A:$D,4,0)),0)</f>
        <v>1411.114372</v>
      </c>
      <c r="G210" s="33">
        <v>582</v>
      </c>
      <c r="H210" s="3">
        <f t="shared" si="17"/>
        <v>1.4245951408934707</v>
      </c>
    </row>
    <row r="211" spans="1:8" x14ac:dyDescent="0.25">
      <c r="A211" s="23">
        <v>43903</v>
      </c>
      <c r="B211" s="46" t="s">
        <v>24</v>
      </c>
      <c r="C211" s="19" t="str">
        <f t="shared" si="14"/>
        <v>43903 - 3S</v>
      </c>
      <c r="D211" s="45">
        <f>IFERROR((VLOOKUP(C211,'Daily Scrap by Shift'!$A:$D,2,0)),0)</f>
        <v>26622.400000000001</v>
      </c>
      <c r="E211" s="45">
        <f>IFERROR((VLOOKUP(C211,'Daily Scrap by Shift'!$A:$D,3,0)),0)</f>
        <v>556</v>
      </c>
      <c r="F211" s="45">
        <f>IFERROR((VLOOKUP(C211,'Daily Scrap by Shift'!$A:$D,4,0)),0)</f>
        <v>1274.76602</v>
      </c>
      <c r="G211" s="33">
        <v>753</v>
      </c>
      <c r="H211" s="3">
        <f t="shared" si="17"/>
        <v>0.69291636122177958</v>
      </c>
    </row>
    <row r="212" spans="1:8" x14ac:dyDescent="0.25">
      <c r="A212" s="23">
        <v>43903</v>
      </c>
      <c r="B212" s="46" t="s">
        <v>25</v>
      </c>
      <c r="C212" s="19" t="str">
        <f t="shared" si="14"/>
        <v>43903 - 1S</v>
      </c>
      <c r="D212" s="45">
        <f>IFERROR((VLOOKUP(C212,'Daily Scrap by Shift'!$A:$D,2,0)),0)</f>
        <v>35319.199999999997</v>
      </c>
      <c r="E212" s="45">
        <f>IFERROR((VLOOKUP(C212,'Daily Scrap by Shift'!$A:$D,3,0)),0)</f>
        <v>780</v>
      </c>
      <c r="F212" s="45">
        <f>IFERROR((VLOOKUP(C212,'Daily Scrap by Shift'!$A:$D,4,0)),0)</f>
        <v>1761.7311520000001</v>
      </c>
      <c r="G212" s="33">
        <v>852</v>
      </c>
      <c r="H212" s="3">
        <f t="shared" si="17"/>
        <v>1.0677595680751175</v>
      </c>
    </row>
    <row r="213" spans="1:8" x14ac:dyDescent="0.25">
      <c r="A213" s="23">
        <v>43903</v>
      </c>
      <c r="B213" s="46" t="s">
        <v>26</v>
      </c>
      <c r="C213" s="19" t="str">
        <f t="shared" si="14"/>
        <v>43903 - 2S</v>
      </c>
      <c r="D213" s="45">
        <f>IFERROR((VLOOKUP(C213,'Daily Scrap by Shift'!$A:$D,2,0)),0)</f>
        <v>14859</v>
      </c>
      <c r="E213" s="45">
        <f>IFERROR((VLOOKUP(C213,'Daily Scrap by Shift'!$A:$D,3,0)),0)</f>
        <v>59</v>
      </c>
      <c r="F213" s="45">
        <f>IFERROR((VLOOKUP(C213,'Daily Scrap by Shift'!$A:$D,4,0)),0)</f>
        <v>112.95695600000001</v>
      </c>
      <c r="G213" s="33">
        <v>97</v>
      </c>
      <c r="H213" s="3">
        <f t="shared" si="17"/>
        <v>0.1645047010309279</v>
      </c>
    </row>
    <row r="214" spans="1:8" x14ac:dyDescent="0.25">
      <c r="A214" s="23">
        <v>43904</v>
      </c>
      <c r="B214" s="46" t="s">
        <v>24</v>
      </c>
      <c r="C214" s="19" t="str">
        <f t="shared" si="14"/>
        <v>43904 - 3S</v>
      </c>
      <c r="D214" s="45">
        <f>IFERROR((VLOOKUP(C214,'Daily Scrap by Shift'!$A:$D,2,0)),0)</f>
        <v>0</v>
      </c>
      <c r="E214" s="45">
        <f>IFERROR((VLOOKUP(C214,'Daily Scrap by Shift'!$A:$D,3,0)),0)</f>
        <v>0</v>
      </c>
      <c r="F214" s="45">
        <f>IFERROR((VLOOKUP(C214,'Daily Scrap by Shift'!$A:$D,4,0)),0)</f>
        <v>0</v>
      </c>
      <c r="H214" s="3" t="e">
        <f t="shared" si="17"/>
        <v>#DIV/0!</v>
      </c>
    </row>
    <row r="215" spans="1:8" x14ac:dyDescent="0.25">
      <c r="A215" s="23">
        <v>43904</v>
      </c>
      <c r="B215" s="46" t="s">
        <v>25</v>
      </c>
      <c r="C215" s="19" t="str">
        <f t="shared" si="14"/>
        <v>43904 - 1S</v>
      </c>
      <c r="D215" s="45">
        <f>IFERROR((VLOOKUP(C215,'Daily Scrap by Shift'!$A:$D,2,0)),0)</f>
        <v>9003</v>
      </c>
      <c r="E215" s="45">
        <f>IFERROR((VLOOKUP(C215,'Daily Scrap by Shift'!$A:$D,3,0)),0)</f>
        <v>3</v>
      </c>
      <c r="F215" s="45">
        <f>IFERROR((VLOOKUP(C215,'Daily Scrap by Shift'!$A:$D,4,0)),0)</f>
        <v>5.8524480000000008</v>
      </c>
      <c r="H215" s="3" t="e">
        <f t="shared" si="17"/>
        <v>#DIV/0!</v>
      </c>
    </row>
    <row r="216" spans="1:8" x14ac:dyDescent="0.25">
      <c r="A216" s="23">
        <v>43904</v>
      </c>
      <c r="B216" s="46" t="s">
        <v>26</v>
      </c>
      <c r="C216" s="19" t="str">
        <f t="shared" si="14"/>
        <v>43904 - 2S</v>
      </c>
      <c r="D216" s="45">
        <f>IFERROR((VLOOKUP(C216,'Daily Scrap by Shift'!$A:$D,2,0)),0)</f>
        <v>10003</v>
      </c>
      <c r="E216" s="45">
        <f>IFERROR((VLOOKUP(C216,'Daily Scrap by Shift'!$A:$D,3,0)),0)</f>
        <v>3</v>
      </c>
      <c r="F216" s="45">
        <f>IFERROR((VLOOKUP(C216,'Daily Scrap by Shift'!$A:$D,4,0)),0)</f>
        <v>5.8524480000000008</v>
      </c>
      <c r="H216" s="3" t="e">
        <f t="shared" si="17"/>
        <v>#DIV/0!</v>
      </c>
    </row>
    <row r="217" spans="1:8" x14ac:dyDescent="0.25">
      <c r="A217" s="23">
        <v>43905</v>
      </c>
      <c r="B217" s="46" t="s">
        <v>24</v>
      </c>
      <c r="C217" s="19" t="str">
        <f t="shared" si="14"/>
        <v>43905 - 3S</v>
      </c>
      <c r="D217" s="45">
        <f>IFERROR((VLOOKUP(C217,'Daily Scrap by Shift'!$A:$D,2,0)),0)</f>
        <v>0</v>
      </c>
      <c r="E217" s="45">
        <f>IFERROR((VLOOKUP(C217,'Daily Scrap by Shift'!$A:$D,3,0)),0)</f>
        <v>0</v>
      </c>
      <c r="F217" s="45">
        <f>IFERROR((VLOOKUP(C217,'Daily Scrap by Shift'!$A:$D,4,0)),0)</f>
        <v>0</v>
      </c>
      <c r="H217" s="3" t="e">
        <f t="shared" si="17"/>
        <v>#DIV/0!</v>
      </c>
    </row>
    <row r="218" spans="1:8" x14ac:dyDescent="0.25">
      <c r="A218" s="23">
        <v>43905</v>
      </c>
      <c r="B218" s="46" t="s">
        <v>25</v>
      </c>
      <c r="C218" s="19" t="str">
        <f t="shared" si="14"/>
        <v>43905 - 1S</v>
      </c>
      <c r="D218" s="45">
        <f>IFERROR((VLOOKUP(C218,'Daily Scrap by Shift'!$A:$D,2,0)),0)</f>
        <v>5017</v>
      </c>
      <c r="E218" s="45">
        <f>IFERROR((VLOOKUP(C218,'Daily Scrap by Shift'!$A:$D,3,0)),0)</f>
        <v>17</v>
      </c>
      <c r="F218" s="45">
        <f>IFERROR((VLOOKUP(C218,'Daily Scrap by Shift'!$A:$D,4,0)),0)</f>
        <v>33.163872000000005</v>
      </c>
      <c r="H218" s="3" t="e">
        <f t="shared" si="17"/>
        <v>#DIV/0!</v>
      </c>
    </row>
    <row r="219" spans="1:8" x14ac:dyDescent="0.25">
      <c r="A219" s="23">
        <v>43905</v>
      </c>
      <c r="B219" s="46" t="s">
        <v>26</v>
      </c>
      <c r="C219" s="19" t="str">
        <f t="shared" si="14"/>
        <v>43905 - 2S</v>
      </c>
      <c r="D219" s="45">
        <f>IFERROR((VLOOKUP(C219,'Daily Scrap by Shift'!$A:$D,2,0)),0)</f>
        <v>12003</v>
      </c>
      <c r="E219" s="45">
        <f>IFERROR((VLOOKUP(C219,'Daily Scrap by Shift'!$A:$D,3,0)),0)</f>
        <v>3</v>
      </c>
      <c r="F219" s="45">
        <f>IFERROR((VLOOKUP(C219,'Daily Scrap by Shift'!$A:$D,4,0)),0)</f>
        <v>5.8524480000000008</v>
      </c>
      <c r="H219" s="3" t="e">
        <f t="shared" si="17"/>
        <v>#DIV/0!</v>
      </c>
    </row>
    <row r="220" spans="1:8" x14ac:dyDescent="0.25">
      <c r="A220" s="23">
        <v>43906</v>
      </c>
      <c r="B220" s="46" t="s">
        <v>24</v>
      </c>
      <c r="C220" s="19" t="str">
        <f t="shared" si="14"/>
        <v>43906 - 3S</v>
      </c>
      <c r="D220" s="45">
        <f>IFERROR((VLOOKUP(C220,'Daily Scrap by Shift'!$A:$D,2,0)),0)</f>
        <v>0</v>
      </c>
      <c r="E220" s="45">
        <f>IFERROR((VLOOKUP(C220,'Daily Scrap by Shift'!$A:$D,3,0)),0)</f>
        <v>0</v>
      </c>
      <c r="F220" s="45">
        <f>IFERROR((VLOOKUP(C220,'Daily Scrap by Shift'!$A:$D,4,0)),0)</f>
        <v>0</v>
      </c>
      <c r="G220" s="33">
        <v>294</v>
      </c>
      <c r="H220" s="3">
        <f t="shared" si="17"/>
        <v>-1</v>
      </c>
    </row>
    <row r="221" spans="1:8" x14ac:dyDescent="0.25">
      <c r="A221" s="23">
        <v>43906</v>
      </c>
      <c r="B221" s="46" t="s">
        <v>25</v>
      </c>
      <c r="C221" s="19" t="str">
        <f t="shared" si="14"/>
        <v>43906 - 1S</v>
      </c>
      <c r="D221" s="45">
        <f>IFERROR((VLOOKUP(C221,'Daily Scrap by Shift'!$A:$D,2,0)),0)</f>
        <v>13951.2</v>
      </c>
      <c r="E221" s="45">
        <f>IFERROR((VLOOKUP(C221,'Daily Scrap by Shift'!$A:$D,3,0)),0)</f>
        <v>450</v>
      </c>
      <c r="F221" s="45">
        <f>IFERROR((VLOOKUP(C221,'Daily Scrap by Shift'!$A:$D,4,0)),0)</f>
        <v>826.76344200000005</v>
      </c>
      <c r="G221" s="33">
        <v>394</v>
      </c>
      <c r="H221" s="3">
        <f t="shared" si="17"/>
        <v>1.0983843705583758</v>
      </c>
    </row>
    <row r="222" spans="1:8" x14ac:dyDescent="0.25">
      <c r="A222" s="23">
        <v>43906</v>
      </c>
      <c r="B222" s="46" t="s">
        <v>26</v>
      </c>
      <c r="C222" s="19" t="str">
        <f t="shared" si="14"/>
        <v>43906 - 2S</v>
      </c>
      <c r="D222" s="45">
        <f>IFERROR((VLOOKUP(C222,'Daily Scrap by Shift'!$A:$D,2,0)),0)</f>
        <v>16907.2</v>
      </c>
      <c r="E222" s="45">
        <f>IFERROR((VLOOKUP(C222,'Daily Scrap by Shift'!$A:$D,3,0)),0)</f>
        <v>492</v>
      </c>
      <c r="F222" s="45">
        <f>IFERROR((VLOOKUP(C222,'Daily Scrap by Shift'!$A:$D,4,0)),0)</f>
        <v>944.31140400000004</v>
      </c>
      <c r="G222" s="33">
        <v>500</v>
      </c>
      <c r="H222" s="3">
        <f t="shared" si="17"/>
        <v>0.88862280800000004</v>
      </c>
    </row>
    <row r="223" spans="1:8" x14ac:dyDescent="0.25">
      <c r="A223" s="23">
        <v>43907</v>
      </c>
      <c r="B223" s="46" t="s">
        <v>24</v>
      </c>
      <c r="C223" s="19" t="str">
        <f t="shared" si="14"/>
        <v>43907 - 3S</v>
      </c>
      <c r="D223" s="45">
        <f>IFERROR((VLOOKUP(C223,'Daily Scrap by Shift'!$A:$D,2,0)),0)</f>
        <v>10233.799999999999</v>
      </c>
      <c r="E223" s="45">
        <f>IFERROR((VLOOKUP(C223,'Daily Scrap by Shift'!$A:$D,3,0)),0)</f>
        <v>393</v>
      </c>
      <c r="F223" s="45">
        <f>IFERROR((VLOOKUP(C223,'Daily Scrap by Shift'!$A:$D,4,0)),0)</f>
        <v>754.03234800000007</v>
      </c>
      <c r="G223" s="33">
        <v>443</v>
      </c>
      <c r="H223" s="3">
        <f t="shared" si="17"/>
        <v>0.7021046230248309</v>
      </c>
    </row>
    <row r="224" spans="1:8" x14ac:dyDescent="0.25">
      <c r="A224" s="23">
        <v>43907</v>
      </c>
      <c r="B224" s="46" t="s">
        <v>25</v>
      </c>
      <c r="C224" s="19" t="str">
        <f t="shared" si="14"/>
        <v>43907 - 1S</v>
      </c>
      <c r="D224" s="45">
        <f>IFERROR((VLOOKUP(C224,'Daily Scrap by Shift'!$A:$D,2,0)),0)</f>
        <v>23646.92</v>
      </c>
      <c r="E224" s="45">
        <f>IFERROR((VLOOKUP(C224,'Daily Scrap by Shift'!$A:$D,3,0)),0)</f>
        <v>513</v>
      </c>
      <c r="F224" s="45">
        <f>IFERROR((VLOOKUP(C224,'Daily Scrap by Shift'!$A:$D,4,0)),0)</f>
        <v>1038.5954340000001</v>
      </c>
      <c r="G224" s="33">
        <v>488</v>
      </c>
      <c r="H224" s="3">
        <f t="shared" si="17"/>
        <v>1.1282693319672132</v>
      </c>
    </row>
    <row r="225" spans="1:8" x14ac:dyDescent="0.25">
      <c r="A225" s="23">
        <v>43907</v>
      </c>
      <c r="B225" s="46" t="s">
        <v>26</v>
      </c>
      <c r="C225" s="19" t="str">
        <f t="shared" si="14"/>
        <v>43907 - 2S</v>
      </c>
      <c r="D225" s="45">
        <f>IFERROR((VLOOKUP(C225,'Daily Scrap by Shift'!$A:$D,2,0)),0)</f>
        <v>26327.200000000001</v>
      </c>
      <c r="E225" s="45">
        <f>IFERROR((VLOOKUP(C225,'Daily Scrap by Shift'!$A:$D,3,0)),0)</f>
        <v>312</v>
      </c>
      <c r="F225" s="45">
        <f>IFERROR((VLOOKUP(C225,'Daily Scrap by Shift'!$A:$D,4,0)),0)</f>
        <v>611.72175600000003</v>
      </c>
      <c r="G225" s="33">
        <v>312</v>
      </c>
      <c r="H225" s="3">
        <f t="shared" si="17"/>
        <v>0.96064665384615389</v>
      </c>
    </row>
    <row r="226" spans="1:8" x14ac:dyDescent="0.25">
      <c r="A226" s="23">
        <v>43908</v>
      </c>
      <c r="B226" s="46" t="s">
        <v>24</v>
      </c>
      <c r="C226" s="19" t="str">
        <f t="shared" si="14"/>
        <v>43908 - 3S</v>
      </c>
      <c r="D226" s="45">
        <f>IFERROR((VLOOKUP(C226,'Daily Scrap by Shift'!$A:$D,2,0)),0)</f>
        <v>13774.8</v>
      </c>
      <c r="E226" s="45">
        <f>IFERROR((VLOOKUP(C226,'Daily Scrap by Shift'!$A:$D,3,0)),0)</f>
        <v>334</v>
      </c>
      <c r="F226" s="45">
        <f>IFERROR((VLOOKUP(C226,'Daily Scrap by Shift'!$A:$D,4,0)),0)</f>
        <v>842.73510999999996</v>
      </c>
      <c r="G226" s="33">
        <v>503</v>
      </c>
      <c r="H226" s="3">
        <f t="shared" si="17"/>
        <v>0.67541771371769377</v>
      </c>
    </row>
    <row r="227" spans="1:8" x14ac:dyDescent="0.25">
      <c r="A227" s="23">
        <v>43908</v>
      </c>
      <c r="B227" s="46" t="s">
        <v>25</v>
      </c>
      <c r="C227" s="19" t="str">
        <f t="shared" si="14"/>
        <v>43908 - 1S</v>
      </c>
      <c r="D227" s="45">
        <f>IFERROR((VLOOKUP(C227,'Daily Scrap by Shift'!$A:$D,2,0)),0)</f>
        <v>25862.2</v>
      </c>
      <c r="E227" s="45">
        <f>IFERROR((VLOOKUP(C227,'Daily Scrap by Shift'!$A:$D,3,0)),0)</f>
        <v>419</v>
      </c>
      <c r="F227" s="45">
        <f>IFERROR((VLOOKUP(C227,'Daily Scrap by Shift'!$A:$D,4,0)),0)</f>
        <v>972.65565200000003</v>
      </c>
      <c r="G227" s="33">
        <v>511</v>
      </c>
      <c r="H227" s="3">
        <f t="shared" si="17"/>
        <v>0.90343571819960866</v>
      </c>
    </row>
    <row r="228" spans="1:8" x14ac:dyDescent="0.25">
      <c r="A228" s="23">
        <v>43908</v>
      </c>
      <c r="B228" s="46" t="s">
        <v>26</v>
      </c>
      <c r="C228" s="19" t="str">
        <f t="shared" si="14"/>
        <v>43908 - 2S</v>
      </c>
      <c r="D228" s="45">
        <f>IFERROR((VLOOKUP(C228,'Daily Scrap by Shift'!$A:$D,2,0)),0)</f>
        <v>25305.8</v>
      </c>
      <c r="E228" s="45">
        <f>IFERROR((VLOOKUP(C228,'Daily Scrap by Shift'!$A:$D,3,0)),0)</f>
        <v>525</v>
      </c>
      <c r="F228" s="45">
        <f>IFERROR((VLOOKUP(C228,'Daily Scrap by Shift'!$A:$D,4,0)),0)</f>
        <v>1099.454342</v>
      </c>
      <c r="G228" s="33">
        <v>523</v>
      </c>
      <c r="H228" s="3">
        <f t="shared" si="17"/>
        <v>1.1022071548757171</v>
      </c>
    </row>
    <row r="229" spans="1:8" x14ac:dyDescent="0.25">
      <c r="A229" s="23">
        <v>43909</v>
      </c>
      <c r="B229" s="46" t="s">
        <v>24</v>
      </c>
      <c r="C229" s="19" t="str">
        <f t="shared" si="14"/>
        <v>43909 - 3S</v>
      </c>
      <c r="D229" s="45">
        <f>IFERROR((VLOOKUP(C229,'Daily Scrap by Shift'!$A:$D,2,0)),0)</f>
        <v>16288.8</v>
      </c>
      <c r="E229" s="45">
        <f>IFERROR((VLOOKUP(C229,'Daily Scrap by Shift'!$A:$D,3,0)),0)</f>
        <v>508</v>
      </c>
      <c r="F229" s="45">
        <f>IFERROR((VLOOKUP(C229,'Daily Scrap by Shift'!$A:$D,4,0)),0)</f>
        <v>1260.6336200000001</v>
      </c>
      <c r="G229" s="33">
        <v>574</v>
      </c>
      <c r="H229" s="3">
        <f t="shared" si="17"/>
        <v>1.1962258188153312</v>
      </c>
    </row>
    <row r="230" spans="1:8" x14ac:dyDescent="0.25">
      <c r="A230" s="23">
        <v>43909</v>
      </c>
      <c r="B230" s="46" t="s">
        <v>25</v>
      </c>
      <c r="C230" s="19" t="str">
        <f t="shared" si="14"/>
        <v>43909 - 1S</v>
      </c>
      <c r="D230" s="45">
        <f>IFERROR((VLOOKUP(C230,'Daily Scrap by Shift'!$A:$D,2,0)),0)</f>
        <v>26121.4</v>
      </c>
      <c r="E230" s="45">
        <f>IFERROR((VLOOKUP(C230,'Daily Scrap by Shift'!$A:$D,3,0)),0)</f>
        <v>515</v>
      </c>
      <c r="F230" s="45">
        <f>IFERROR((VLOOKUP(C230,'Daily Scrap by Shift'!$A:$D,4,0)),0)</f>
        <v>1239.150296</v>
      </c>
      <c r="G230" s="33">
        <v>512</v>
      </c>
      <c r="H230" s="3">
        <f t="shared" si="17"/>
        <v>1.4202154218750001</v>
      </c>
    </row>
    <row r="231" spans="1:8" x14ac:dyDescent="0.25">
      <c r="A231" s="23">
        <v>43909</v>
      </c>
      <c r="B231" s="46" t="s">
        <v>26</v>
      </c>
      <c r="C231" s="19" t="str">
        <f t="shared" si="14"/>
        <v>43909 - 2S</v>
      </c>
      <c r="D231" s="45">
        <f>IFERROR((VLOOKUP(C231,'Daily Scrap by Shift'!$A:$D,2,0)),0)</f>
        <v>26870.799999999999</v>
      </c>
      <c r="E231" s="45">
        <f>IFERROR((VLOOKUP(C231,'Daily Scrap by Shift'!$A:$D,3,0)),0)</f>
        <v>490</v>
      </c>
      <c r="F231" s="45">
        <f>IFERROR((VLOOKUP(C231,'Daily Scrap by Shift'!$A:$D,4,0)),0)</f>
        <v>958.75418400000001</v>
      </c>
      <c r="G231" s="33">
        <v>607</v>
      </c>
      <c r="H231" s="3">
        <f t="shared" si="17"/>
        <v>0.57949618451400331</v>
      </c>
    </row>
    <row r="232" spans="1:8" x14ac:dyDescent="0.25">
      <c r="A232" s="23">
        <v>43910</v>
      </c>
      <c r="B232" s="46" t="s">
        <v>24</v>
      </c>
      <c r="C232" s="19" t="str">
        <f t="shared" si="14"/>
        <v>43910 - 3S</v>
      </c>
      <c r="D232" s="45">
        <f>IFERROR((VLOOKUP(C232,'Daily Scrap by Shift'!$A:$D,2,0)),0)</f>
        <v>15929.6</v>
      </c>
      <c r="E232" s="45">
        <f>IFERROR((VLOOKUP(C232,'Daily Scrap by Shift'!$A:$D,3,0)),0)</f>
        <v>236</v>
      </c>
      <c r="F232" s="45">
        <f>IFERROR((VLOOKUP(C232,'Daily Scrap by Shift'!$A:$D,4,0)),0)</f>
        <v>426.82219000000003</v>
      </c>
      <c r="G232" s="33">
        <v>303</v>
      </c>
      <c r="H232" s="3">
        <f t="shared" si="17"/>
        <v>0.40865409240924105</v>
      </c>
    </row>
    <row r="233" spans="1:8" x14ac:dyDescent="0.25">
      <c r="A233" s="23">
        <v>43910</v>
      </c>
      <c r="B233" s="46" t="s">
        <v>25</v>
      </c>
      <c r="C233" s="19" t="str">
        <f t="shared" si="14"/>
        <v>43910 - 1S</v>
      </c>
      <c r="D233" s="45">
        <f>IFERROR((VLOOKUP(C233,'Daily Scrap by Shift'!$A:$D,2,0)),0)</f>
        <v>19835.8</v>
      </c>
      <c r="E233" s="45">
        <f>IFERROR((VLOOKUP(C233,'Daily Scrap by Shift'!$A:$D,3,0)),0)</f>
        <v>379</v>
      </c>
      <c r="F233" s="45">
        <f>IFERROR((VLOOKUP(C233,'Daily Scrap by Shift'!$A:$D,4,0)),0)</f>
        <v>954.53809999999999</v>
      </c>
      <c r="G233" s="33">
        <v>387</v>
      </c>
      <c r="H233" s="3">
        <f t="shared" si="17"/>
        <v>1.4665067183462532</v>
      </c>
    </row>
    <row r="234" spans="1:8" x14ac:dyDescent="0.25">
      <c r="A234" s="23">
        <v>43910</v>
      </c>
      <c r="B234" s="46" t="s">
        <v>26</v>
      </c>
      <c r="C234" s="19" t="str">
        <f t="shared" si="14"/>
        <v>43910 - 2S</v>
      </c>
      <c r="D234" s="45">
        <f>IFERROR((VLOOKUP(C234,'Daily Scrap by Shift'!$A:$D,2,0)),0)</f>
        <v>13696.8</v>
      </c>
      <c r="E234" s="45">
        <f>IFERROR((VLOOKUP(C234,'Daily Scrap by Shift'!$A:$D,3,0)),0)</f>
        <v>316</v>
      </c>
      <c r="F234" s="45">
        <f>IFERROR((VLOOKUP(C234,'Daily Scrap by Shift'!$A:$D,4,0)),0)</f>
        <v>600.15589</v>
      </c>
      <c r="G234" s="33">
        <v>506</v>
      </c>
      <c r="H234" s="3">
        <f t="shared" si="17"/>
        <v>0.18607883399209485</v>
      </c>
    </row>
    <row r="235" spans="1:8" x14ac:dyDescent="0.25">
      <c r="A235" s="23">
        <v>43911</v>
      </c>
      <c r="B235" s="46" t="s">
        <v>24</v>
      </c>
      <c r="C235" s="19" t="str">
        <f t="shared" si="14"/>
        <v>43911 - 3S</v>
      </c>
      <c r="D235" s="45">
        <f>IFERROR((VLOOKUP(C235,'Daily Scrap by Shift'!$A:$D,2,0)),0)</f>
        <v>8847.6</v>
      </c>
      <c r="E235" s="45">
        <f>IFERROR((VLOOKUP(C235,'Daily Scrap by Shift'!$A:$D,3,0)),0)</f>
        <v>294</v>
      </c>
      <c r="F235" s="45">
        <f>IFERROR((VLOOKUP(C235,'Daily Scrap by Shift'!$A:$D,4,0)),0)</f>
        <v>562.06331999999998</v>
      </c>
      <c r="G235" s="33">
        <v>294</v>
      </c>
      <c r="H235" s="3">
        <f t="shared" si="17"/>
        <v>0.91177999999999992</v>
      </c>
    </row>
    <row r="236" spans="1:8" x14ac:dyDescent="0.25">
      <c r="A236" s="23">
        <v>43911</v>
      </c>
      <c r="B236" s="46" t="s">
        <v>25</v>
      </c>
      <c r="C236" s="19" t="str">
        <f t="shared" si="14"/>
        <v>43911 - 1S</v>
      </c>
      <c r="D236" s="45">
        <f>IFERROR((VLOOKUP(C236,'Daily Scrap by Shift'!$A:$D,2,0)),0)</f>
        <v>7367</v>
      </c>
      <c r="E236" s="45">
        <f>IFERROR((VLOOKUP(C236,'Daily Scrap by Shift'!$A:$D,3,0)),0)</f>
        <v>239</v>
      </c>
      <c r="F236" s="45">
        <f>IFERROR((VLOOKUP(C236,'Daily Scrap by Shift'!$A:$D,4,0)),0)</f>
        <v>456.91541999999998</v>
      </c>
      <c r="G236" s="33">
        <v>239</v>
      </c>
      <c r="H236" s="3">
        <f t="shared" si="17"/>
        <v>0.91177999999999992</v>
      </c>
    </row>
    <row r="237" spans="1:8" x14ac:dyDescent="0.25">
      <c r="A237" s="23">
        <v>43911</v>
      </c>
      <c r="B237" s="46" t="s">
        <v>26</v>
      </c>
      <c r="C237" s="19" t="str">
        <f t="shared" si="14"/>
        <v>43911 - 2S</v>
      </c>
      <c r="D237" s="45">
        <f>IFERROR((VLOOKUP(C237,'Daily Scrap by Shift'!$A:$D,2,0)),0)</f>
        <v>7831.48</v>
      </c>
      <c r="E237" s="45">
        <f>IFERROR((VLOOKUP(C237,'Daily Scrap by Shift'!$A:$D,3,0)),0)</f>
        <v>355</v>
      </c>
      <c r="F237" s="45">
        <f>IFERROR((VLOOKUP(C237,'Daily Scrap by Shift'!$A:$D,4,0)),0)</f>
        <v>678.68190000000004</v>
      </c>
      <c r="G237" s="33">
        <v>355</v>
      </c>
      <c r="H237" s="3">
        <f t="shared" si="17"/>
        <v>0.91178000000000015</v>
      </c>
    </row>
    <row r="238" spans="1:8" x14ac:dyDescent="0.25">
      <c r="A238" s="23">
        <v>43912</v>
      </c>
      <c r="B238" s="46" t="s">
        <v>24</v>
      </c>
      <c r="C238" s="19" t="str">
        <f t="shared" si="14"/>
        <v>43912 - 3S</v>
      </c>
      <c r="D238" s="45">
        <f>IFERROR((VLOOKUP(C238,'Daily Scrap by Shift'!$A:$D,2,0)),0)</f>
        <v>0</v>
      </c>
      <c r="E238" s="45">
        <f>IFERROR((VLOOKUP(C238,'Daily Scrap by Shift'!$A:$D,3,0)),0)</f>
        <v>0</v>
      </c>
      <c r="F238" s="45">
        <f>IFERROR((VLOOKUP(C238,'Daily Scrap by Shift'!$A:$D,4,0)),0)</f>
        <v>0</v>
      </c>
      <c r="G238" s="33">
        <v>356</v>
      </c>
      <c r="H238" s="3">
        <f t="shared" si="17"/>
        <v>-1</v>
      </c>
    </row>
    <row r="239" spans="1:8" x14ac:dyDescent="0.25">
      <c r="A239" s="23">
        <v>43912</v>
      </c>
      <c r="B239" s="46" t="s">
        <v>25</v>
      </c>
      <c r="C239" s="19" t="str">
        <f t="shared" si="14"/>
        <v>43912 - 1S</v>
      </c>
      <c r="D239" s="45">
        <f>IFERROR((VLOOKUP(C239,'Daily Scrap by Shift'!$A:$D,2,0)),0)</f>
        <v>11027</v>
      </c>
      <c r="E239" s="45">
        <f>IFERROR((VLOOKUP(C239,'Daily Scrap by Shift'!$A:$D,3,0)),0)</f>
        <v>27</v>
      </c>
      <c r="F239" s="45">
        <f>IFERROR((VLOOKUP(C239,'Daily Scrap by Shift'!$A:$D,4,0)),0)</f>
        <v>39.194010000000006</v>
      </c>
      <c r="H239" s="3" t="e">
        <f t="shared" si="17"/>
        <v>#DIV/0!</v>
      </c>
    </row>
    <row r="240" spans="1:8" x14ac:dyDescent="0.25">
      <c r="A240" s="23">
        <v>43912</v>
      </c>
      <c r="B240" s="46" t="s">
        <v>26</v>
      </c>
      <c r="C240" s="19" t="str">
        <f t="shared" si="14"/>
        <v>43912 - 2S</v>
      </c>
      <c r="D240" s="45">
        <f>IFERROR((VLOOKUP(C240,'Daily Scrap by Shift'!$A:$D,2,0)),0)</f>
        <v>10013</v>
      </c>
      <c r="E240" s="45">
        <f>IFERROR((VLOOKUP(C240,'Daily Scrap by Shift'!$A:$D,3,0)),0)</f>
        <v>13</v>
      </c>
      <c r="F240" s="45">
        <f>IFERROR((VLOOKUP(C240,'Daily Scrap by Shift'!$A:$D,4,0)),0)</f>
        <v>18.871190000000002</v>
      </c>
      <c r="H240" s="3" t="e">
        <f t="shared" si="17"/>
        <v>#DIV/0!</v>
      </c>
    </row>
    <row r="241" spans="1:8" x14ac:dyDescent="0.25">
      <c r="A241" s="23">
        <v>43913</v>
      </c>
      <c r="B241" s="46" t="s">
        <v>24</v>
      </c>
      <c r="C241" s="19" t="str">
        <f t="shared" si="14"/>
        <v>43913 - 3S</v>
      </c>
      <c r="D241" s="45">
        <f>IFERROR((VLOOKUP(C241,'Daily Scrap by Shift'!$A:$D,2,0)),0)</f>
        <v>2789.5</v>
      </c>
      <c r="E241" s="45">
        <f>IFERROR((VLOOKUP(C241,'Daily Scrap by Shift'!$A:$D,3,0)),0)</f>
        <v>202</v>
      </c>
      <c r="F241" s="45">
        <f>IFERROR((VLOOKUP(C241,'Daily Scrap by Shift'!$A:$D,4,0)),0)</f>
        <v>386.17955999999998</v>
      </c>
      <c r="H241" s="3" t="e">
        <f t="shared" si="17"/>
        <v>#DIV/0!</v>
      </c>
    </row>
    <row r="242" spans="1:8" x14ac:dyDescent="0.25">
      <c r="A242" s="23">
        <v>43913</v>
      </c>
      <c r="B242" s="46" t="s">
        <v>25</v>
      </c>
      <c r="C242" s="19" t="str">
        <f t="shared" si="14"/>
        <v>43913 - 1S</v>
      </c>
      <c r="D242" s="45">
        <f>IFERROR((VLOOKUP(C242,'Daily Scrap by Shift'!$A:$D,2,0)),0)</f>
        <v>16186.1</v>
      </c>
      <c r="E242" s="45">
        <f>IFERROR((VLOOKUP(C242,'Daily Scrap by Shift'!$A:$D,3,0)),0)</f>
        <v>459</v>
      </c>
      <c r="F242" s="45">
        <f>IFERROR((VLOOKUP(C242,'Daily Scrap by Shift'!$A:$D,4,0)),0)</f>
        <v>804.85937999999999</v>
      </c>
      <c r="G242" s="33">
        <v>499</v>
      </c>
      <c r="H242" s="3">
        <f t="shared" si="17"/>
        <v>0.61294464929859716</v>
      </c>
    </row>
    <row r="243" spans="1:8" x14ac:dyDescent="0.25">
      <c r="A243" s="23">
        <v>43913</v>
      </c>
      <c r="B243" s="46" t="s">
        <v>26</v>
      </c>
      <c r="C243" s="19" t="str">
        <f t="shared" si="14"/>
        <v>43913 - 2S</v>
      </c>
      <c r="D243" s="45">
        <f>IFERROR((VLOOKUP(C243,'Daily Scrap by Shift'!$A:$D,2,0)),0)</f>
        <v>13503.9</v>
      </c>
      <c r="E243" s="45">
        <f>IFERROR((VLOOKUP(C243,'Daily Scrap by Shift'!$A:$D,3,0)),0)</f>
        <v>340</v>
      </c>
      <c r="F243" s="45">
        <f>IFERROR((VLOOKUP(C243,'Daily Scrap by Shift'!$A:$D,4,0)),0)</f>
        <v>639.88190000000009</v>
      </c>
      <c r="G243" s="33">
        <v>318</v>
      </c>
      <c r="H243" s="3">
        <f t="shared" si="17"/>
        <v>1.0122072327044027</v>
      </c>
    </row>
    <row r="244" spans="1:8" x14ac:dyDescent="0.25">
      <c r="A244" s="23">
        <v>43914</v>
      </c>
      <c r="B244" s="46" t="s">
        <v>24</v>
      </c>
      <c r="C244" s="19" t="str">
        <f t="shared" si="14"/>
        <v>43914 - 3S</v>
      </c>
      <c r="D244" s="45">
        <f>IFERROR((VLOOKUP(C244,'Daily Scrap by Shift'!$A:$D,2,0)),0)</f>
        <v>7109.5</v>
      </c>
      <c r="E244" s="45">
        <f>IFERROR((VLOOKUP(C244,'Daily Scrap by Shift'!$A:$D,3,0)),0)</f>
        <v>313</v>
      </c>
      <c r="F244" s="45">
        <f>IFERROR((VLOOKUP(C244,'Daily Scrap by Shift'!$A:$D,4,0)),0)</f>
        <v>598.50424799999996</v>
      </c>
      <c r="G244" s="33">
        <v>528</v>
      </c>
      <c r="H244" s="3">
        <f t="shared" si="17"/>
        <v>0.13353077272727265</v>
      </c>
    </row>
    <row r="245" spans="1:8" x14ac:dyDescent="0.25">
      <c r="A245" s="23">
        <v>43914</v>
      </c>
      <c r="B245" s="46" t="s">
        <v>25</v>
      </c>
      <c r="C245" s="19" t="str">
        <f t="shared" si="14"/>
        <v>43914 - 1S</v>
      </c>
      <c r="D245" s="45">
        <f>IFERROR((VLOOKUP(C245,'Daily Scrap by Shift'!$A:$D,2,0)),0)</f>
        <v>26424.799999999999</v>
      </c>
      <c r="E245" s="45">
        <f>IFERROR((VLOOKUP(C245,'Daily Scrap by Shift'!$A:$D,3,0)),0)</f>
        <v>464</v>
      </c>
      <c r="F245" s="45">
        <f>IFERROR((VLOOKUP(C245,'Daily Scrap by Shift'!$A:$D,4,0)),0)</f>
        <v>949.30482000000006</v>
      </c>
      <c r="G245" s="33">
        <v>429</v>
      </c>
      <c r="H245" s="3">
        <f t="shared" si="17"/>
        <v>1.2128317482517483</v>
      </c>
    </row>
    <row r="246" spans="1:8" x14ac:dyDescent="0.25">
      <c r="A246" s="23">
        <v>43914</v>
      </c>
      <c r="B246" s="46" t="s">
        <v>26</v>
      </c>
      <c r="C246" s="19" t="str">
        <f t="shared" si="14"/>
        <v>43914 - 2S</v>
      </c>
      <c r="D246" s="45">
        <f>IFERROR((VLOOKUP(C246,'Daily Scrap by Shift'!$A:$D,2,0)),0)</f>
        <v>16531.8</v>
      </c>
      <c r="E246" s="45">
        <f>IFERROR((VLOOKUP(C246,'Daily Scrap by Shift'!$A:$D,3,0)),0)</f>
        <v>399</v>
      </c>
      <c r="F246" s="45">
        <f>IFERROR((VLOOKUP(C246,'Daily Scrap by Shift'!$A:$D,4,0)),0)</f>
        <v>832.18876999999998</v>
      </c>
      <c r="G246" s="33">
        <v>550</v>
      </c>
      <c r="H246" s="3">
        <f t="shared" si="17"/>
        <v>0.51307049090909085</v>
      </c>
    </row>
    <row r="247" spans="1:8" x14ac:dyDescent="0.25">
      <c r="A247" s="23">
        <v>43915</v>
      </c>
      <c r="B247" s="46" t="s">
        <v>24</v>
      </c>
      <c r="C247" s="19" t="str">
        <f t="shared" ref="C247:C322" si="18">CONCATENATE(A247," - ",B247)</f>
        <v>43915 - 3S</v>
      </c>
      <c r="D247" s="45">
        <f>IFERROR((VLOOKUP(C247,'Daily Scrap by Shift'!$A:$D,2,0)),0)</f>
        <v>14359.6</v>
      </c>
      <c r="E247" s="45">
        <f>IFERROR((VLOOKUP(C247,'Daily Scrap by Shift'!$A:$D,3,0)),0)</f>
        <v>362</v>
      </c>
      <c r="F247" s="45">
        <f>IFERROR((VLOOKUP(C247,'Daily Scrap by Shift'!$A:$D,4,0)),0)</f>
        <v>777.31315000000006</v>
      </c>
      <c r="G247" s="33">
        <v>384</v>
      </c>
      <c r="H247" s="3">
        <f t="shared" si="17"/>
        <v>1.0242529947916668</v>
      </c>
    </row>
    <row r="248" spans="1:8" x14ac:dyDescent="0.25">
      <c r="A248" s="23">
        <v>43915</v>
      </c>
      <c r="B248" s="46" t="s">
        <v>25</v>
      </c>
      <c r="C248" s="19" t="str">
        <f t="shared" si="18"/>
        <v>43915 - 1S</v>
      </c>
      <c r="D248" s="45">
        <f>IFERROR((VLOOKUP(C248,'Daily Scrap by Shift'!$A:$D,2,0)),0)</f>
        <v>26195.8</v>
      </c>
      <c r="E248" s="45">
        <f>IFERROR((VLOOKUP(C248,'Daily Scrap by Shift'!$A:$D,3,0)),0)</f>
        <v>435</v>
      </c>
      <c r="F248" s="45">
        <f>IFERROR((VLOOKUP(C248,'Daily Scrap by Shift'!$A:$D,4,0)),0)</f>
        <v>1011.96581</v>
      </c>
      <c r="G248" s="33">
        <v>495</v>
      </c>
      <c r="H248" s="3">
        <f t="shared" si="17"/>
        <v>1.0443753737373738</v>
      </c>
    </row>
    <row r="249" spans="1:8" x14ac:dyDescent="0.25">
      <c r="A249" s="23">
        <v>43915</v>
      </c>
      <c r="B249" s="46" t="s">
        <v>26</v>
      </c>
      <c r="C249" s="19" t="str">
        <f t="shared" si="18"/>
        <v>43915 - 2S</v>
      </c>
      <c r="D249" s="45">
        <f>IFERROR((VLOOKUP(C249,'Daily Scrap by Shift'!$A:$D,2,0)),0)</f>
        <v>16942.72</v>
      </c>
      <c r="E249" s="45">
        <f>IFERROR((VLOOKUP(C249,'Daily Scrap by Shift'!$A:$D,3,0)),0)</f>
        <v>272</v>
      </c>
      <c r="F249" s="45">
        <f>IFERROR((VLOOKUP(C249,'Daily Scrap by Shift'!$A:$D,4,0)),0)</f>
        <v>639.38175000000001</v>
      </c>
      <c r="G249" s="33">
        <v>250</v>
      </c>
      <c r="H249" s="3">
        <f t="shared" si="17"/>
        <v>1.5575270000000001</v>
      </c>
    </row>
    <row r="250" spans="1:8" x14ac:dyDescent="0.25">
      <c r="A250" s="23">
        <v>43916</v>
      </c>
      <c r="B250" s="46" t="s">
        <v>24</v>
      </c>
      <c r="C250" s="19" t="str">
        <f t="shared" si="18"/>
        <v>43916 - 3S</v>
      </c>
      <c r="D250" s="45">
        <f>IFERROR((VLOOKUP(C250,'Daily Scrap by Shift'!$A:$D,2,0)),0)</f>
        <v>8689.2000000000007</v>
      </c>
      <c r="E250" s="45">
        <f>IFERROR((VLOOKUP(C250,'Daily Scrap by Shift'!$A:$D,3,0)),0)</f>
        <v>262</v>
      </c>
      <c r="F250" s="45">
        <f>IFERROR((VLOOKUP(C250,'Daily Scrap by Shift'!$A:$D,4,0)),0)</f>
        <v>501.38161000000002</v>
      </c>
      <c r="G250" s="33">
        <v>486</v>
      </c>
      <c r="H250" s="3">
        <f t="shared" si="17"/>
        <v>3.1649403292181119E-2</v>
      </c>
    </row>
    <row r="251" spans="1:8" x14ac:dyDescent="0.25">
      <c r="A251" s="23">
        <v>43916</v>
      </c>
      <c r="B251" s="46" t="s">
        <v>25</v>
      </c>
      <c r="C251" s="19" t="str">
        <f t="shared" si="18"/>
        <v>43916 - 1S</v>
      </c>
      <c r="D251" s="45">
        <f>IFERROR((VLOOKUP(C251,'Daily Scrap by Shift'!$A:$D,2,0)),0)</f>
        <v>23419.200000000001</v>
      </c>
      <c r="E251" s="45">
        <f>IFERROR((VLOOKUP(C251,'Daily Scrap by Shift'!$A:$D,3,0)),0)</f>
        <v>552</v>
      </c>
      <c r="F251" s="45">
        <f>IFERROR((VLOOKUP(C251,'Daily Scrap by Shift'!$A:$D,4,0)),0)</f>
        <v>1290.30333</v>
      </c>
      <c r="G251" s="33">
        <v>594</v>
      </c>
      <c r="H251" s="3">
        <f t="shared" si="17"/>
        <v>1.1722278282828282</v>
      </c>
    </row>
    <row r="252" spans="1:8" x14ac:dyDescent="0.25">
      <c r="A252" s="23">
        <v>43916</v>
      </c>
      <c r="B252" s="46" t="s">
        <v>26</v>
      </c>
      <c r="C252" s="19" t="str">
        <f t="shared" si="18"/>
        <v>43916 - 2S</v>
      </c>
      <c r="D252" s="45">
        <f>IFERROR((VLOOKUP(C252,'Daily Scrap by Shift'!$A:$D,2,0)),0)</f>
        <v>22762.6</v>
      </c>
      <c r="E252" s="45">
        <f>IFERROR((VLOOKUP(C252,'Daily Scrap by Shift'!$A:$D,3,0)),0)</f>
        <v>473</v>
      </c>
      <c r="F252" s="45">
        <f>IFERROR((VLOOKUP(C252,'Daily Scrap by Shift'!$A:$D,4,0)),0)</f>
        <v>1015.7883200000001</v>
      </c>
      <c r="G252" s="33">
        <v>392</v>
      </c>
      <c r="H252" s="3">
        <f t="shared" si="17"/>
        <v>1.5912967346938778</v>
      </c>
    </row>
    <row r="253" spans="1:8" x14ac:dyDescent="0.25">
      <c r="A253" s="23">
        <v>43917</v>
      </c>
      <c r="B253" s="46" t="s">
        <v>24</v>
      </c>
      <c r="C253" s="19" t="str">
        <f t="shared" si="18"/>
        <v>43917 - 3S</v>
      </c>
      <c r="D253" s="45">
        <f>IFERROR((VLOOKUP(C253,'Daily Scrap by Shift'!$A:$D,2,0)),0)</f>
        <v>17477.599999999999</v>
      </c>
      <c r="E253" s="45">
        <f>IFERROR((VLOOKUP(C253,'Daily Scrap by Shift'!$A:$D,3,0)),0)</f>
        <v>588</v>
      </c>
      <c r="F253" s="45">
        <f>IFERROR((VLOOKUP(C253,'Daily Scrap by Shift'!$A:$D,4,0)),0)</f>
        <v>1261.9824599999999</v>
      </c>
      <c r="G253" s="33">
        <v>801</v>
      </c>
      <c r="H253" s="3">
        <f t="shared" si="17"/>
        <v>0.57550868913857667</v>
      </c>
    </row>
    <row r="254" spans="1:8" x14ac:dyDescent="0.25">
      <c r="A254" s="23">
        <v>43917</v>
      </c>
      <c r="B254" s="46" t="s">
        <v>25</v>
      </c>
      <c r="C254" s="19" t="str">
        <f t="shared" si="18"/>
        <v>43917 - 1S</v>
      </c>
      <c r="D254" s="45">
        <f>IFERROR((VLOOKUP(C254,'Daily Scrap by Shift'!$A:$D,2,0)),0)</f>
        <v>14837.8</v>
      </c>
      <c r="E254" s="45">
        <f>IFERROR((VLOOKUP(C254,'Daily Scrap by Shift'!$A:$D,3,0)),0)</f>
        <v>535</v>
      </c>
      <c r="F254" s="45">
        <f>IFERROR((VLOOKUP(C254,'Daily Scrap by Shift'!$A:$D,4,0)),0)</f>
        <v>1149.2921900000001</v>
      </c>
      <c r="G254" s="33">
        <v>523</v>
      </c>
      <c r="H254" s="3">
        <f t="shared" si="17"/>
        <v>1.1974994072657745</v>
      </c>
    </row>
    <row r="255" spans="1:8" x14ac:dyDescent="0.25">
      <c r="A255" s="23">
        <v>43917</v>
      </c>
      <c r="B255" s="46" t="s">
        <v>26</v>
      </c>
      <c r="C255" s="19" t="str">
        <f t="shared" si="18"/>
        <v>43917 - 2S</v>
      </c>
      <c r="D255" s="45">
        <f>IFERROR((VLOOKUP(C255,'Daily Scrap by Shift'!$A:$D,2,0)),0)</f>
        <v>0</v>
      </c>
      <c r="E255" s="45">
        <f>IFERROR((VLOOKUP(C255,'Daily Scrap by Shift'!$A:$D,3,0)),0)</f>
        <v>0</v>
      </c>
      <c r="F255" s="45">
        <f>IFERROR((VLOOKUP(C255,'Daily Scrap by Shift'!$A:$D,4,0)),0)</f>
        <v>0</v>
      </c>
      <c r="G255" s="33">
        <v>505</v>
      </c>
      <c r="H255" s="3">
        <f t="shared" si="17"/>
        <v>-1</v>
      </c>
    </row>
    <row r="256" spans="1:8" x14ac:dyDescent="0.25">
      <c r="A256" s="23">
        <v>43918</v>
      </c>
      <c r="B256" s="46" t="s">
        <v>24</v>
      </c>
      <c r="C256" s="19" t="str">
        <f t="shared" si="18"/>
        <v>43918 - 3S</v>
      </c>
      <c r="D256" s="45">
        <f>IFERROR((VLOOKUP(C256,'Daily Scrap by Shift'!$A:$D,2,0)),0)</f>
        <v>2435.36</v>
      </c>
      <c r="E256" s="45">
        <f>IFERROR((VLOOKUP(C256,'Daily Scrap by Shift'!$A:$D,3,0)),0)</f>
        <v>164</v>
      </c>
      <c r="F256" s="45">
        <f>IFERROR((VLOOKUP(C256,'Daily Scrap by Shift'!$A:$D,4,0)),0)</f>
        <v>321.44</v>
      </c>
      <c r="G256" s="33" t="s">
        <v>64</v>
      </c>
      <c r="H256" s="3" t="e">
        <f t="shared" si="17"/>
        <v>#VALUE!</v>
      </c>
    </row>
    <row r="257" spans="1:8" x14ac:dyDescent="0.25">
      <c r="A257" s="23">
        <v>43918</v>
      </c>
      <c r="B257" s="46" t="s">
        <v>25</v>
      </c>
      <c r="C257" s="19" t="str">
        <f t="shared" si="18"/>
        <v>43918 - 1S</v>
      </c>
      <c r="D257" s="45">
        <f>IFERROR((VLOOKUP(C257,'Daily Scrap by Shift'!$A:$D,2,0)),0)</f>
        <v>4345.88</v>
      </c>
      <c r="E257" s="45">
        <f>IFERROR((VLOOKUP(C257,'Daily Scrap by Shift'!$A:$D,3,0)),0)</f>
        <v>371</v>
      </c>
      <c r="F257" s="45">
        <f>IFERROR((VLOOKUP(C257,'Daily Scrap by Shift'!$A:$D,4,0)),0)</f>
        <v>707.56</v>
      </c>
      <c r="G257" s="33">
        <v>361</v>
      </c>
      <c r="H257" s="3">
        <f t="shared" si="17"/>
        <v>0.95999999999999985</v>
      </c>
    </row>
    <row r="258" spans="1:8" x14ac:dyDescent="0.25">
      <c r="A258" s="23">
        <v>43918</v>
      </c>
      <c r="B258" s="46" t="s">
        <v>26</v>
      </c>
      <c r="C258" s="19" t="str">
        <f t="shared" si="18"/>
        <v>43918 - 2S</v>
      </c>
      <c r="D258" s="45">
        <f>IFERROR((VLOOKUP(C258,'Daily Scrap by Shift'!$A:$D,2,0)),0)</f>
        <v>5890.4</v>
      </c>
      <c r="E258" s="45">
        <f>IFERROR((VLOOKUP(C258,'Daily Scrap by Shift'!$A:$D,3,0)),0)</f>
        <v>212</v>
      </c>
      <c r="F258" s="45">
        <f>IFERROR((VLOOKUP(C258,'Daily Scrap by Shift'!$A:$D,4,0)),0)</f>
        <v>415.52</v>
      </c>
      <c r="G258" s="33">
        <v>274</v>
      </c>
      <c r="H258" s="3">
        <f t="shared" si="17"/>
        <v>0.51649635036496344</v>
      </c>
    </row>
    <row r="259" spans="1:8" x14ac:dyDescent="0.25">
      <c r="A259" s="23">
        <v>43919</v>
      </c>
      <c r="B259" s="46" t="s">
        <v>24</v>
      </c>
      <c r="C259" s="19" t="str">
        <f t="shared" si="18"/>
        <v>43919 - 3S</v>
      </c>
      <c r="D259" s="45">
        <f>IFERROR((VLOOKUP(C259,'Daily Scrap by Shift'!$A:$D,2,0)),0)</f>
        <v>0</v>
      </c>
      <c r="E259" s="45">
        <f>IFERROR((VLOOKUP(C259,'Daily Scrap by Shift'!$A:$D,3,0)),0)</f>
        <v>0</v>
      </c>
      <c r="F259" s="45">
        <f>IFERROR((VLOOKUP(C259,'Daily Scrap by Shift'!$A:$D,4,0)),0)</f>
        <v>0</v>
      </c>
      <c r="G259" s="33" t="s">
        <v>64</v>
      </c>
      <c r="H259" s="3" t="e">
        <f t="shared" si="17"/>
        <v>#VALUE!</v>
      </c>
    </row>
    <row r="260" spans="1:8" x14ac:dyDescent="0.25">
      <c r="A260" s="23">
        <v>43919</v>
      </c>
      <c r="B260" s="46" t="s">
        <v>25</v>
      </c>
      <c r="C260" s="19" t="str">
        <f t="shared" si="18"/>
        <v>43919 - 1S</v>
      </c>
      <c r="D260" s="45">
        <f>IFERROR((VLOOKUP(C260,'Daily Scrap by Shift'!$A:$D,2,0)),0)</f>
        <v>0</v>
      </c>
      <c r="E260" s="45">
        <f>IFERROR((VLOOKUP(C260,'Daily Scrap by Shift'!$A:$D,3,0)),0)</f>
        <v>0</v>
      </c>
      <c r="F260" s="45">
        <f>IFERROR((VLOOKUP(C260,'Daily Scrap by Shift'!$A:$D,4,0)),0)</f>
        <v>0</v>
      </c>
      <c r="H260" s="3" t="e">
        <f t="shared" si="17"/>
        <v>#DIV/0!</v>
      </c>
    </row>
    <row r="261" spans="1:8" x14ac:dyDescent="0.25">
      <c r="A261" s="23">
        <v>43919</v>
      </c>
      <c r="B261" s="46" t="s">
        <v>26</v>
      </c>
      <c r="C261" s="19" t="str">
        <f t="shared" si="18"/>
        <v>43919 - 2S</v>
      </c>
      <c r="D261" s="45">
        <f>IFERROR((VLOOKUP(C261,'Daily Scrap by Shift'!$A:$D,2,0)),0)</f>
        <v>2843.95</v>
      </c>
      <c r="E261" s="45">
        <f>IFERROR((VLOOKUP(C261,'Daily Scrap by Shift'!$A:$D,3,0)),0)</f>
        <v>4.75</v>
      </c>
      <c r="F261" s="45">
        <f>IFERROR((VLOOKUP(C261,'Daily Scrap by Shift'!$A:$D,4,0)),0)</f>
        <v>9.31</v>
      </c>
      <c r="G261" s="33">
        <v>388</v>
      </c>
      <c r="H261" s="3">
        <f t="shared" si="17"/>
        <v>-0.97600515463917525</v>
      </c>
    </row>
    <row r="262" spans="1:8" x14ac:dyDescent="0.25">
      <c r="A262" s="23">
        <v>43920</v>
      </c>
      <c r="B262" s="46" t="s">
        <v>24</v>
      </c>
      <c r="C262" s="19" t="str">
        <f t="shared" si="18"/>
        <v>43920 - 3S</v>
      </c>
      <c r="D262" s="45">
        <f>IFERROR((VLOOKUP(C262,'Daily Scrap by Shift'!$A:$D,2,0)),0)</f>
        <v>5528.56</v>
      </c>
      <c r="E262" s="45">
        <f>IFERROR((VLOOKUP(C262,'Daily Scrap by Shift'!$A:$D,3,0)),0)</f>
        <v>418</v>
      </c>
      <c r="F262" s="45">
        <f>IFERROR((VLOOKUP(C262,'Daily Scrap by Shift'!$A:$D,4,0)),0)</f>
        <v>819.28</v>
      </c>
      <c r="G262" s="33">
        <v>418</v>
      </c>
      <c r="H262" s="3">
        <f t="shared" si="17"/>
        <v>0.96</v>
      </c>
    </row>
    <row r="263" spans="1:8" x14ac:dyDescent="0.25">
      <c r="A263" s="23">
        <v>43920</v>
      </c>
      <c r="B263" s="46" t="s">
        <v>25</v>
      </c>
      <c r="C263" s="19" t="str">
        <f t="shared" si="18"/>
        <v>43920 - 1S</v>
      </c>
      <c r="D263" s="45">
        <f>IFERROR((VLOOKUP(C263,'Daily Scrap by Shift'!$A:$D,2,0)),0)</f>
        <v>6267.4</v>
      </c>
      <c r="E263" s="45">
        <f>IFERROR((VLOOKUP(C263,'Daily Scrap by Shift'!$A:$D,3,0)),0)</f>
        <v>339</v>
      </c>
      <c r="F263" s="45">
        <f>IFERROR((VLOOKUP(C263,'Daily Scrap by Shift'!$A:$D,4,0)),0)</f>
        <v>663.80630400000007</v>
      </c>
      <c r="G263" s="33">
        <v>349</v>
      </c>
      <c r="H263" s="3">
        <f t="shared" si="17"/>
        <v>0.90202379369627528</v>
      </c>
    </row>
    <row r="264" spans="1:8" x14ac:dyDescent="0.25">
      <c r="A264" s="23">
        <v>43920</v>
      </c>
      <c r="B264" s="46" t="s">
        <v>26</v>
      </c>
      <c r="C264" s="19" t="str">
        <f t="shared" si="18"/>
        <v>43920 - 2S</v>
      </c>
      <c r="D264" s="45">
        <f>IFERROR((VLOOKUP(C264,'Daily Scrap by Shift'!$A:$D,2,0)),0)</f>
        <v>5959.8</v>
      </c>
      <c r="E264" s="45">
        <f>IFERROR((VLOOKUP(C264,'Daily Scrap by Shift'!$A:$D,3,0)),0)</f>
        <v>458</v>
      </c>
      <c r="F264" s="45">
        <f>IFERROR((VLOOKUP(C264,'Daily Scrap by Shift'!$A:$D,4,0)),0)</f>
        <v>897.56979200000001</v>
      </c>
      <c r="G264" s="33">
        <v>500</v>
      </c>
      <c r="H264" s="3">
        <f t="shared" si="17"/>
        <v>0.79513958400000007</v>
      </c>
    </row>
    <row r="265" spans="1:8" x14ac:dyDescent="0.25">
      <c r="A265" s="23">
        <v>43921</v>
      </c>
      <c r="B265" s="46" t="s">
        <v>24</v>
      </c>
      <c r="C265" s="19" t="str">
        <f t="shared" si="18"/>
        <v>43921 - 3S</v>
      </c>
      <c r="D265" s="45">
        <f>IFERROR((VLOOKUP(C265,'Daily Scrap by Shift'!$A:$D,2,0)),0)</f>
        <v>21330.080000000002</v>
      </c>
      <c r="E265" s="45">
        <f>IFERROR((VLOOKUP(C265,'Daily Scrap by Shift'!$A:$D,3,0)),0)</f>
        <v>916</v>
      </c>
      <c r="F265" s="45">
        <f>IFERROR((VLOOKUP(C265,'Daily Scrap by Shift'!$A:$D,4,0)),0)</f>
        <v>1908.9191099999998</v>
      </c>
      <c r="G265" s="33">
        <v>586</v>
      </c>
      <c r="H265" s="3">
        <f t="shared" ref="H265:H269" si="19">(F265-G265)/G265</f>
        <v>2.2575411433447097</v>
      </c>
    </row>
    <row r="266" spans="1:8" x14ac:dyDescent="0.25">
      <c r="A266" s="23">
        <v>43921</v>
      </c>
      <c r="B266" s="46" t="s">
        <v>25</v>
      </c>
      <c r="C266" s="19" t="str">
        <f t="shared" si="18"/>
        <v>43921 - 1S</v>
      </c>
      <c r="D266" s="45">
        <f>IFERROR((VLOOKUP(C266,'Daily Scrap by Shift'!$A:$D,2,0)),0)</f>
        <v>13565.560000000001</v>
      </c>
      <c r="E266" s="45">
        <f>IFERROR((VLOOKUP(C266,'Daily Scrap by Shift'!$A:$D,3,0)),0)</f>
        <v>455</v>
      </c>
      <c r="F266" s="45">
        <f>IFERROR((VLOOKUP(C266,'Daily Scrap by Shift'!$A:$D,4,0)),0)</f>
        <v>1133.5887499999999</v>
      </c>
      <c r="G266" s="33">
        <v>462</v>
      </c>
      <c r="H266" s="3">
        <f t="shared" si="19"/>
        <v>1.4536553030303028</v>
      </c>
    </row>
    <row r="267" spans="1:8" x14ac:dyDescent="0.25">
      <c r="A267" s="23">
        <v>43921</v>
      </c>
      <c r="B267" s="46" t="s">
        <v>26</v>
      </c>
      <c r="C267" s="19" t="str">
        <f t="shared" si="18"/>
        <v>43921 - 2S</v>
      </c>
      <c r="D267" s="45">
        <f>IFERROR((VLOOKUP(C267,'Daily Scrap by Shift'!$A:$D,2,0)),0)</f>
        <v>12363.04</v>
      </c>
      <c r="E267" s="45">
        <f>IFERROR((VLOOKUP(C267,'Daily Scrap by Shift'!$A:$D,3,0)),0)</f>
        <v>956</v>
      </c>
      <c r="F267" s="45">
        <f>IFERROR((VLOOKUP(C267,'Daily Scrap by Shift'!$A:$D,4,0)),0)</f>
        <v>1956.4985999999999</v>
      </c>
      <c r="G267" s="33">
        <v>986</v>
      </c>
      <c r="H267" s="3">
        <f t="shared" si="19"/>
        <v>0.98427849898580111</v>
      </c>
    </row>
    <row r="268" spans="1:8" x14ac:dyDescent="0.25">
      <c r="A268" s="23">
        <v>43922</v>
      </c>
      <c r="B268" s="46" t="s">
        <v>24</v>
      </c>
      <c r="C268" s="19" t="str">
        <f t="shared" si="18"/>
        <v>43922 - 3S</v>
      </c>
      <c r="D268" s="45">
        <f>IFERROR((VLOOKUP(C268,'Daily Scrap by Shift'!$A:$D,2,0)),0)</f>
        <v>5382.56</v>
      </c>
      <c r="E268" s="45">
        <f>IFERROR((VLOOKUP(C268,'Daily Scrap by Shift'!$A:$D,3,0)),0)</f>
        <v>272</v>
      </c>
      <c r="F268" s="45">
        <f>IFERROR((VLOOKUP(C268,'Daily Scrap by Shift'!$A:$D,4,0)),0)</f>
        <v>533.12</v>
      </c>
      <c r="G268" s="33">
        <v>599</v>
      </c>
      <c r="H268" s="3">
        <f t="shared" si="19"/>
        <v>-0.10998330550918196</v>
      </c>
    </row>
    <row r="269" spans="1:8" x14ac:dyDescent="0.25">
      <c r="A269" s="23">
        <v>43922</v>
      </c>
      <c r="B269" s="46" t="s">
        <v>25</v>
      </c>
      <c r="C269" s="19" t="str">
        <f t="shared" si="18"/>
        <v>43922 - 1S</v>
      </c>
      <c r="D269" s="45">
        <f>IFERROR((VLOOKUP(C269,'Daily Scrap by Shift'!$A:$D,2,0)),0)</f>
        <v>10665.36</v>
      </c>
      <c r="E269" s="45">
        <f>IFERROR((VLOOKUP(C269,'Daily Scrap by Shift'!$A:$D,3,0)),0)</f>
        <v>394</v>
      </c>
      <c r="F269" s="45">
        <f>IFERROR((VLOOKUP(C269,'Daily Scrap by Shift'!$A:$D,4,0)),0)</f>
        <v>1056.58357</v>
      </c>
      <c r="G269" s="33">
        <v>417</v>
      </c>
      <c r="H269" s="3">
        <f t="shared" si="19"/>
        <v>1.5337735491606714</v>
      </c>
    </row>
    <row r="270" spans="1:8" x14ac:dyDescent="0.25">
      <c r="A270" s="23">
        <v>43922</v>
      </c>
      <c r="B270" s="46" t="s">
        <v>26</v>
      </c>
      <c r="C270" s="19" t="str">
        <f t="shared" si="18"/>
        <v>43922 - 2S</v>
      </c>
      <c r="D270" s="45">
        <f>IFERROR((VLOOKUP(C270,'Daily Scrap by Shift'!$A:$D,2,0)),0)</f>
        <v>11964</v>
      </c>
      <c r="E270" s="45">
        <f>IFERROR((VLOOKUP(C270,'Daily Scrap by Shift'!$A:$D,3,0)),0)</f>
        <v>412</v>
      </c>
      <c r="F270" s="45">
        <f>IFERROR((VLOOKUP(C270,'Daily Scrap by Shift'!$A:$D,4,0)),0)</f>
        <v>863.12946999999997</v>
      </c>
      <c r="G270" s="33">
        <v>414</v>
      </c>
      <c r="H270" s="3">
        <f t="shared" si="17"/>
        <v>1.0848537922705312</v>
      </c>
    </row>
    <row r="271" spans="1:8" x14ac:dyDescent="0.25">
      <c r="A271" s="23">
        <v>43923</v>
      </c>
      <c r="B271" s="46" t="s">
        <v>24</v>
      </c>
      <c r="C271" s="19" t="str">
        <f t="shared" si="18"/>
        <v>43923 - 3S</v>
      </c>
      <c r="D271" s="45">
        <f>IFERROR((VLOOKUP(C271,'Daily Scrap by Shift'!$A:$D,2,0)),0)</f>
        <v>6419</v>
      </c>
      <c r="E271" s="45">
        <f>IFERROR((VLOOKUP(C271,'Daily Scrap by Shift'!$A:$D,3,0)),0)</f>
        <v>303</v>
      </c>
      <c r="F271" s="45">
        <f>IFERROR((VLOOKUP(C271,'Daily Scrap by Shift'!$A:$D,4,0)),0)</f>
        <v>560.15153999999995</v>
      </c>
      <c r="G271" s="33">
        <v>444</v>
      </c>
      <c r="H271" s="3">
        <f t="shared" si="17"/>
        <v>0.26160256756756745</v>
      </c>
    </row>
    <row r="272" spans="1:8" x14ac:dyDescent="0.25">
      <c r="A272" s="23">
        <v>43923</v>
      </c>
      <c r="B272" s="46" t="s">
        <v>25</v>
      </c>
      <c r="C272" s="19" t="str">
        <f t="shared" si="18"/>
        <v>43923 - 1S</v>
      </c>
      <c r="D272" s="45">
        <f>IFERROR((VLOOKUP(C272,'Daily Scrap by Shift'!$A:$D,2,0)),0)</f>
        <v>17798.8</v>
      </c>
      <c r="E272" s="45">
        <f>IFERROR((VLOOKUP(C272,'Daily Scrap by Shift'!$A:$D,3,0)),0)</f>
        <v>770</v>
      </c>
      <c r="F272" s="45">
        <f>IFERROR((VLOOKUP(C272,'Daily Scrap by Shift'!$A:$D,4,0)),0)</f>
        <v>1656.44589</v>
      </c>
      <c r="G272" s="33">
        <v>861</v>
      </c>
      <c r="H272" s="3">
        <f t="shared" si="17"/>
        <v>0.92386282229965155</v>
      </c>
    </row>
    <row r="273" spans="1:8" x14ac:dyDescent="0.25">
      <c r="A273" s="23">
        <v>43923</v>
      </c>
      <c r="B273" s="46" t="s">
        <v>26</v>
      </c>
      <c r="C273" s="19" t="str">
        <f t="shared" si="18"/>
        <v>43923 - 2S</v>
      </c>
      <c r="D273" s="45">
        <f>IFERROR((VLOOKUP(C273,'Daily Scrap by Shift'!$A:$D,2,0)),0)</f>
        <v>18960.2</v>
      </c>
      <c r="E273" s="45">
        <f>IFERROR((VLOOKUP(C273,'Daily Scrap by Shift'!$A:$D,3,0)),0)</f>
        <v>793</v>
      </c>
      <c r="F273" s="45">
        <f>IFERROR((VLOOKUP(C273,'Daily Scrap by Shift'!$A:$D,4,0)),0)</f>
        <v>1290.4405280000001</v>
      </c>
      <c r="G273" s="33">
        <v>457</v>
      </c>
      <c r="H273" s="3">
        <f t="shared" si="17"/>
        <v>1.8237210678336981</v>
      </c>
    </row>
    <row r="274" spans="1:8" x14ac:dyDescent="0.25">
      <c r="A274" s="23">
        <v>43924</v>
      </c>
      <c r="B274" s="46" t="s">
        <v>24</v>
      </c>
      <c r="C274" s="19" t="str">
        <f t="shared" si="18"/>
        <v>43924 - 3S</v>
      </c>
      <c r="D274" s="45">
        <f>IFERROR((VLOOKUP(C274,'Daily Scrap by Shift'!$A:$D,2,0)),0)</f>
        <v>4831.3999999999996</v>
      </c>
      <c r="E274" s="45">
        <f>IFERROR((VLOOKUP(C274,'Daily Scrap by Shift'!$A:$D,3,0)),0)</f>
        <v>555</v>
      </c>
      <c r="F274" s="45">
        <f>IFERROR((VLOOKUP(C274,'Daily Scrap by Shift'!$A:$D,4,0)),0)</f>
        <v>1061.0379</v>
      </c>
      <c r="G274" s="33">
        <v>531</v>
      </c>
      <c r="H274" s="3">
        <f t="shared" si="17"/>
        <v>0.99818813559322039</v>
      </c>
    </row>
    <row r="275" spans="1:8" x14ac:dyDescent="0.25">
      <c r="A275" s="23">
        <v>43924</v>
      </c>
      <c r="B275" s="46" t="s">
        <v>25</v>
      </c>
      <c r="C275" s="19" t="str">
        <f t="shared" si="18"/>
        <v>43924 - 1S</v>
      </c>
      <c r="D275" s="45">
        <f>IFERROR((VLOOKUP(C275,'Daily Scrap by Shift'!$A:$D,2,0)),0)</f>
        <v>22503.200000000001</v>
      </c>
      <c r="E275" s="45">
        <f>IFERROR((VLOOKUP(C275,'Daily Scrap by Shift'!$A:$D,3,0)),0)</f>
        <v>540</v>
      </c>
      <c r="F275" s="45">
        <f>IFERROR((VLOOKUP(C275,'Daily Scrap by Shift'!$A:$D,4,0)),0)</f>
        <v>1134.1728779999999</v>
      </c>
      <c r="G275" s="33">
        <v>692</v>
      </c>
      <c r="H275" s="3">
        <f t="shared" ref="H275:H341" si="20">(F275-G275)/G275</f>
        <v>0.63897814739884373</v>
      </c>
    </row>
    <row r="276" spans="1:8" x14ac:dyDescent="0.25">
      <c r="A276" s="23">
        <v>43924</v>
      </c>
      <c r="B276" s="46" t="s">
        <v>26</v>
      </c>
      <c r="C276" s="19" t="str">
        <f t="shared" si="18"/>
        <v>43924 - 2S</v>
      </c>
      <c r="D276" s="45">
        <f>IFERROR((VLOOKUP(C276,'Daily Scrap by Shift'!$A:$D,2,0)),0)</f>
        <v>16731.599999999999</v>
      </c>
      <c r="E276" s="45">
        <f>IFERROR((VLOOKUP(C276,'Daily Scrap by Shift'!$A:$D,3,0)),0)</f>
        <v>190</v>
      </c>
      <c r="F276" s="45">
        <f>IFERROR((VLOOKUP(C276,'Daily Scrap by Shift'!$A:$D,4,0)),0)</f>
        <v>317.083212</v>
      </c>
      <c r="G276" s="33">
        <v>504</v>
      </c>
      <c r="H276" s="3">
        <f t="shared" si="20"/>
        <v>-0.37086664285714283</v>
      </c>
    </row>
    <row r="277" spans="1:8" x14ac:dyDescent="0.25">
      <c r="A277" s="23">
        <v>43925</v>
      </c>
      <c r="B277" s="46" t="s">
        <v>25</v>
      </c>
      <c r="C277" s="19" t="str">
        <f t="shared" si="18"/>
        <v>43925 - 1S</v>
      </c>
      <c r="D277" s="45">
        <f>IFERROR((VLOOKUP(C277,'Daily Scrap by Shift'!$A:$D,2,0)),0)</f>
        <v>7007</v>
      </c>
      <c r="E277" s="45">
        <f>IFERROR((VLOOKUP(C277,'Daily Scrap by Shift'!$A:$D,3,0)),0)</f>
        <v>7</v>
      </c>
      <c r="F277" s="45">
        <f>IFERROR((VLOOKUP(C277,'Daily Scrap by Shift'!$A:$D,4,0)),0)</f>
        <v>13.655712000000001</v>
      </c>
      <c r="G277" s="33">
        <v>377</v>
      </c>
      <c r="H277" s="3">
        <f t="shared" si="20"/>
        <v>-0.96377795225464191</v>
      </c>
    </row>
    <row r="278" spans="1:8" x14ac:dyDescent="0.25">
      <c r="A278" s="23">
        <v>43926</v>
      </c>
      <c r="B278" s="46" t="s">
        <v>24</v>
      </c>
      <c r="C278" s="19" t="str">
        <f t="shared" si="18"/>
        <v>43926 - 3S</v>
      </c>
      <c r="D278" s="45">
        <f>IFERROR((VLOOKUP(C278,'Daily Scrap by Shift'!$A:$D,2,0)),0)</f>
        <v>0</v>
      </c>
      <c r="E278" s="45">
        <f>IFERROR((VLOOKUP(C278,'Daily Scrap by Shift'!$A:$D,3,0)),0)</f>
        <v>0</v>
      </c>
      <c r="F278" s="45">
        <f>IFERROR((VLOOKUP(C278,'Daily Scrap by Shift'!$A:$D,4,0)),0)</f>
        <v>0</v>
      </c>
      <c r="G278" s="33">
        <v>328</v>
      </c>
      <c r="H278" s="3">
        <f t="shared" si="20"/>
        <v>-1</v>
      </c>
    </row>
    <row r="279" spans="1:8" x14ac:dyDescent="0.25">
      <c r="A279" s="23">
        <v>43927</v>
      </c>
      <c r="B279" s="46" t="s">
        <v>24</v>
      </c>
      <c r="C279" s="19" t="str">
        <f t="shared" si="18"/>
        <v>43927 - 3S</v>
      </c>
      <c r="D279" s="45">
        <f>IFERROR((VLOOKUP(C279,'Daily Scrap by Shift'!$A:$D,2,0)),0)</f>
        <v>15575</v>
      </c>
      <c r="E279" s="45">
        <f>IFERROR((VLOOKUP(C279,'Daily Scrap by Shift'!$A:$D,3,0)),0)</f>
        <v>459</v>
      </c>
      <c r="F279" s="45">
        <f>IFERROR((VLOOKUP(C279,'Daily Scrap by Shift'!$A:$D,4,0)),0)</f>
        <v>883.08916799999997</v>
      </c>
      <c r="G279" s="33">
        <v>423</v>
      </c>
      <c r="H279" s="3">
        <f t="shared" si="20"/>
        <v>1.0876812482269502</v>
      </c>
    </row>
    <row r="280" spans="1:8" x14ac:dyDescent="0.25">
      <c r="A280" s="23">
        <v>43927</v>
      </c>
      <c r="B280" s="46" t="s">
        <v>25</v>
      </c>
      <c r="C280" s="19" t="str">
        <f t="shared" si="18"/>
        <v>43927 - 1S</v>
      </c>
      <c r="D280" s="45">
        <f>IFERROR((VLOOKUP(C280,'Daily Scrap by Shift'!$A:$D,2,0)),0)</f>
        <v>12063.8</v>
      </c>
      <c r="E280" s="45">
        <f>IFERROR((VLOOKUP(C280,'Daily Scrap by Shift'!$A:$D,3,0)),0)</f>
        <v>375</v>
      </c>
      <c r="F280" s="45">
        <f>IFERROR((VLOOKUP(C280,'Daily Scrap by Shift'!$A:$D,4,0)),0)</f>
        <v>718.40086799999995</v>
      </c>
      <c r="G280" s="33">
        <v>370</v>
      </c>
      <c r="H280" s="3">
        <f t="shared" si="20"/>
        <v>0.94162396756756739</v>
      </c>
    </row>
    <row r="281" spans="1:8" x14ac:dyDescent="0.25">
      <c r="A281" s="23">
        <v>43927</v>
      </c>
      <c r="B281" s="46" t="s">
        <v>26</v>
      </c>
      <c r="C281" s="19" t="str">
        <f t="shared" si="18"/>
        <v>43927 - 2S</v>
      </c>
      <c r="D281" s="45">
        <f>IFERROR((VLOOKUP(C281,'Daily Scrap by Shift'!$A:$D,2,0)),0)</f>
        <v>11494.4</v>
      </c>
      <c r="E281" s="45">
        <f>IFERROR((VLOOKUP(C281,'Daily Scrap by Shift'!$A:$D,3,0)),0)</f>
        <v>480</v>
      </c>
      <c r="F281" s="45">
        <f>IFERROR((VLOOKUP(C281,'Daily Scrap by Shift'!$A:$D,4,0)),0)</f>
        <v>866.73898800000006</v>
      </c>
      <c r="G281" s="33">
        <v>627</v>
      </c>
      <c r="H281" s="3">
        <f t="shared" si="20"/>
        <v>0.38235883253588526</v>
      </c>
    </row>
    <row r="282" spans="1:8" x14ac:dyDescent="0.25">
      <c r="A282" s="23">
        <v>43928</v>
      </c>
      <c r="B282" s="46" t="s">
        <v>24</v>
      </c>
      <c r="C282" s="19" t="str">
        <f t="shared" si="18"/>
        <v>43928 - 3S</v>
      </c>
      <c r="D282" s="45">
        <f>IFERROR((VLOOKUP(C282,'Daily Scrap by Shift'!$A:$D,2,0)),0)</f>
        <v>19903.8</v>
      </c>
      <c r="E282" s="45">
        <f>IFERROR((VLOOKUP(C282,'Daily Scrap by Shift'!$A:$D,3,0)),0)</f>
        <v>599</v>
      </c>
      <c r="F282" s="45">
        <f>IFERROR((VLOOKUP(C282,'Daily Scrap by Shift'!$A:$D,4,0)),0)</f>
        <v>1140.945252</v>
      </c>
      <c r="G282" s="33">
        <v>530</v>
      </c>
      <c r="H282" s="3">
        <f t="shared" si="20"/>
        <v>1.1527268905660377</v>
      </c>
    </row>
    <row r="283" spans="1:8" x14ac:dyDescent="0.25">
      <c r="A283" s="23">
        <v>43928</v>
      </c>
      <c r="B283" s="46" t="s">
        <v>25</v>
      </c>
      <c r="C283" s="19" t="str">
        <f t="shared" si="18"/>
        <v>43928 - 1S</v>
      </c>
      <c r="D283" s="45">
        <f>IFERROR((VLOOKUP(C283,'Daily Scrap by Shift'!$A:$D,2,0)),0)</f>
        <v>22694</v>
      </c>
      <c r="E283" s="45">
        <f>IFERROR((VLOOKUP(C283,'Daily Scrap by Shift'!$A:$D,3,0)),0)</f>
        <v>434</v>
      </c>
      <c r="F283" s="45">
        <f>IFERROR((VLOOKUP(C283,'Daily Scrap by Shift'!$A:$D,4,0)),0)</f>
        <v>833.03057999999999</v>
      </c>
      <c r="G283" s="33">
        <v>449</v>
      </c>
      <c r="H283" s="3">
        <f t="shared" si="20"/>
        <v>0.85530195991091307</v>
      </c>
    </row>
    <row r="284" spans="1:8" x14ac:dyDescent="0.25">
      <c r="A284" s="23">
        <v>43928</v>
      </c>
      <c r="B284" s="46" t="s">
        <v>26</v>
      </c>
      <c r="C284" s="19" t="str">
        <f t="shared" si="18"/>
        <v>43928 - 2S</v>
      </c>
      <c r="D284" s="45">
        <f>IFERROR((VLOOKUP(C284,'Daily Scrap by Shift'!$A:$D,2,0)),0)</f>
        <v>13174.6</v>
      </c>
      <c r="E284" s="45">
        <f>IFERROR((VLOOKUP(C284,'Daily Scrap by Shift'!$A:$D,3,0)),0)</f>
        <v>489</v>
      </c>
      <c r="F284" s="45">
        <f>IFERROR((VLOOKUP(C284,'Daily Scrap by Shift'!$A:$D,4,0)),0)</f>
        <v>916.36719600000004</v>
      </c>
      <c r="G284" s="33">
        <v>463</v>
      </c>
      <c r="H284" s="3">
        <f t="shared" si="20"/>
        <v>0.97919480777537804</v>
      </c>
    </row>
    <row r="285" spans="1:8" x14ac:dyDescent="0.25">
      <c r="A285" s="23">
        <v>43929</v>
      </c>
      <c r="B285" s="46" t="s">
        <v>24</v>
      </c>
      <c r="C285" s="19" t="str">
        <f t="shared" si="18"/>
        <v>43929 - 3S</v>
      </c>
      <c r="D285" s="45">
        <f>IFERROR((VLOOKUP(C285,'Daily Scrap by Shift'!$A:$D,2,0)),0)</f>
        <v>9792.2000000000007</v>
      </c>
      <c r="E285" s="45">
        <f>IFERROR((VLOOKUP(C285,'Daily Scrap by Shift'!$A:$D,3,0)),0)</f>
        <v>729</v>
      </c>
      <c r="F285" s="45">
        <f>IFERROR((VLOOKUP(C285,'Daily Scrap by Shift'!$A:$D,4,0)),0)</f>
        <v>1395.014844</v>
      </c>
      <c r="G285" s="33">
        <v>792</v>
      </c>
      <c r="H285" s="3">
        <f t="shared" si="20"/>
        <v>0.76138237878787884</v>
      </c>
    </row>
    <row r="286" spans="1:8" x14ac:dyDescent="0.25">
      <c r="A286" s="23">
        <v>43929</v>
      </c>
      <c r="B286" s="46" t="s">
        <v>25</v>
      </c>
      <c r="C286" s="19" t="str">
        <f t="shared" si="18"/>
        <v>43929 - 1S</v>
      </c>
      <c r="D286" s="45">
        <f>IFERROR((VLOOKUP(C286,'Daily Scrap by Shift'!$A:$D,2,0)),0)</f>
        <v>13876.6</v>
      </c>
      <c r="E286" s="45">
        <f>IFERROR((VLOOKUP(C286,'Daily Scrap by Shift'!$A:$D,3,0)),0)</f>
        <v>755</v>
      </c>
      <c r="F286" s="45">
        <f>IFERROR((VLOOKUP(C286,'Daily Scrap by Shift'!$A:$D,4,0)),0)</f>
        <v>1445.1505200000001</v>
      </c>
      <c r="G286" s="33">
        <v>741</v>
      </c>
      <c r="H286" s="3">
        <f t="shared" si="20"/>
        <v>0.95027060728744961</v>
      </c>
    </row>
    <row r="287" spans="1:8" x14ac:dyDescent="0.25">
      <c r="A287" s="23">
        <v>43929</v>
      </c>
      <c r="B287" s="46" t="s">
        <v>26</v>
      </c>
      <c r="C287" s="19" t="str">
        <f t="shared" si="18"/>
        <v>43929 - 2S</v>
      </c>
      <c r="D287" s="45">
        <f>IFERROR((VLOOKUP(C287,'Daily Scrap by Shift'!$A:$D,2,0)),0)</f>
        <v>16682</v>
      </c>
      <c r="E287" s="45">
        <f>IFERROR((VLOOKUP(C287,'Daily Scrap by Shift'!$A:$D,3,0)),0)</f>
        <v>906</v>
      </c>
      <c r="F287" s="45">
        <f>IFERROR((VLOOKUP(C287,'Daily Scrap by Shift'!$A:$D,4,0)),0)</f>
        <v>1739.1381960000001</v>
      </c>
      <c r="G287" s="33">
        <v>725</v>
      </c>
      <c r="H287" s="3">
        <f t="shared" si="20"/>
        <v>1.3988113048275863</v>
      </c>
    </row>
    <row r="288" spans="1:8" x14ac:dyDescent="0.25">
      <c r="A288" s="23">
        <v>43930</v>
      </c>
      <c r="B288" s="46" t="s">
        <v>24</v>
      </c>
      <c r="C288" s="19" t="str">
        <f t="shared" si="18"/>
        <v>43930 - 3S</v>
      </c>
      <c r="D288" s="45">
        <f>IFERROR((VLOOKUP(C288,'Daily Scrap by Shift'!$A:$D,2,0)),0)</f>
        <v>7957.2</v>
      </c>
      <c r="E288" s="45">
        <f>IFERROR((VLOOKUP(C288,'Daily Scrap by Shift'!$A:$D,3,0)),0)</f>
        <v>894</v>
      </c>
      <c r="F288" s="45">
        <f>IFERROR((VLOOKUP(C288,'Daily Scrap by Shift'!$A:$D,4,0)),0)</f>
        <v>1709.13132</v>
      </c>
      <c r="G288" s="33">
        <v>623</v>
      </c>
      <c r="H288" s="3">
        <f t="shared" si="20"/>
        <v>1.7433889566613161</v>
      </c>
    </row>
    <row r="289" spans="1:8" x14ac:dyDescent="0.25">
      <c r="A289" s="23">
        <v>43930</v>
      </c>
      <c r="B289" s="46" t="s">
        <v>25</v>
      </c>
      <c r="C289" s="19" t="str">
        <f t="shared" si="18"/>
        <v>43930 - 1S</v>
      </c>
      <c r="D289" s="45">
        <f>IFERROR((VLOOKUP(C289,'Daily Scrap by Shift'!$A:$D,2,0)),0)</f>
        <v>18007.599999999999</v>
      </c>
      <c r="E289" s="45">
        <f>IFERROR((VLOOKUP(C289,'Daily Scrap by Shift'!$A:$D,3,0)),0)</f>
        <v>1290</v>
      </c>
      <c r="F289" s="45">
        <f>IFERROR((VLOOKUP(C289,'Daily Scrap by Shift'!$A:$D,4,0)),0)</f>
        <v>2432.5278120000003</v>
      </c>
      <c r="G289" s="33">
        <v>1208</v>
      </c>
      <c r="H289" s="3">
        <f t="shared" si="20"/>
        <v>1.0136819635761591</v>
      </c>
    </row>
    <row r="290" spans="1:8" x14ac:dyDescent="0.25">
      <c r="A290" s="23">
        <v>43930</v>
      </c>
      <c r="B290" s="46" t="s">
        <v>26</v>
      </c>
      <c r="C290" s="19" t="str">
        <f t="shared" si="18"/>
        <v>43930 - 2S</v>
      </c>
      <c r="D290" s="45">
        <f>IFERROR((VLOOKUP(C290,'Daily Scrap by Shift'!$A:$D,2,0)),0)</f>
        <v>15448.6</v>
      </c>
      <c r="E290" s="45">
        <f>IFERROR((VLOOKUP(C290,'Daily Scrap by Shift'!$A:$D,3,0)),0)</f>
        <v>811</v>
      </c>
      <c r="F290" s="45">
        <f>IFERROR((VLOOKUP(C290,'Daily Scrap by Shift'!$A:$D,4,0)),0)</f>
        <v>1550.6877959999999</v>
      </c>
      <c r="G290" s="33">
        <v>805</v>
      </c>
      <c r="H290" s="3">
        <f t="shared" si="20"/>
        <v>0.92632024347826081</v>
      </c>
    </row>
    <row r="291" spans="1:8" x14ac:dyDescent="0.25">
      <c r="A291" s="23">
        <v>43931</v>
      </c>
      <c r="B291" s="46" t="s">
        <v>24</v>
      </c>
      <c r="C291" s="19" t="str">
        <f t="shared" si="18"/>
        <v>43931 - 3S</v>
      </c>
      <c r="D291" s="45">
        <f>IFERROR((VLOOKUP(C291,'Daily Scrap by Shift'!$A:$D,2,0)),0)</f>
        <v>11452.4</v>
      </c>
      <c r="E291" s="45">
        <f>IFERROR((VLOOKUP(C291,'Daily Scrap by Shift'!$A:$D,3,0)),0)</f>
        <v>194</v>
      </c>
      <c r="F291" s="45">
        <f>IFERROR((VLOOKUP(C291,'Daily Scrap by Shift'!$A:$D,4,0)),0)</f>
        <v>370.963392</v>
      </c>
      <c r="G291" s="33">
        <v>283</v>
      </c>
      <c r="H291" s="3">
        <f t="shared" si="20"/>
        <v>0.31082470671378093</v>
      </c>
    </row>
    <row r="292" spans="1:8" x14ac:dyDescent="0.25">
      <c r="A292" s="23">
        <v>43932</v>
      </c>
      <c r="B292" s="46" t="s">
        <v>25</v>
      </c>
      <c r="C292" s="19" t="str">
        <f t="shared" si="18"/>
        <v>43932 - 1S</v>
      </c>
      <c r="D292" s="45">
        <f>IFERROR((VLOOKUP(C292,'Daily Scrap by Shift'!$A:$D,2,0)),0)</f>
        <v>0</v>
      </c>
      <c r="E292" s="45">
        <f>IFERROR((VLOOKUP(C292,'Daily Scrap by Shift'!$A:$D,3,0)),0)</f>
        <v>0</v>
      </c>
      <c r="F292" s="45">
        <f>IFERROR((VLOOKUP(C292,'Daily Scrap by Shift'!$A:$D,4,0)),0)</f>
        <v>0</v>
      </c>
      <c r="G292" s="33">
        <v>286</v>
      </c>
      <c r="H292" s="3">
        <f t="shared" si="20"/>
        <v>-1</v>
      </c>
    </row>
    <row r="293" spans="1:8" x14ac:dyDescent="0.25">
      <c r="A293" s="23">
        <v>43934</v>
      </c>
      <c r="B293" s="46" t="s">
        <v>24</v>
      </c>
      <c r="C293" s="19" t="str">
        <f t="shared" si="18"/>
        <v>43934 - 3S</v>
      </c>
      <c r="D293" s="45">
        <f>IFERROR((VLOOKUP(C293,'Daily Scrap by Shift'!$A:$D,2,0)),0)</f>
        <v>97</v>
      </c>
      <c r="E293" s="45">
        <f>IFERROR((VLOOKUP(C293,'Daily Scrap by Shift'!$A:$D,3,0)),0)</f>
        <v>97</v>
      </c>
      <c r="F293" s="45">
        <f>IFERROR((VLOOKUP(C293,'Daily Scrap by Shift'!$A:$D,4,0)),0)</f>
        <v>186.08577000000002</v>
      </c>
      <c r="G293" s="33">
        <v>339</v>
      </c>
      <c r="H293" s="3">
        <f t="shared" si="20"/>
        <v>-0.45107442477876097</v>
      </c>
    </row>
    <row r="294" spans="1:8" x14ac:dyDescent="0.25">
      <c r="A294" s="23">
        <v>43934</v>
      </c>
      <c r="B294" s="46" t="s">
        <v>25</v>
      </c>
      <c r="C294" s="19" t="str">
        <f t="shared" si="18"/>
        <v>43934 - 1S</v>
      </c>
      <c r="D294" s="45">
        <f>IFERROR((VLOOKUP(C294,'Daily Scrap by Shift'!$A:$D,2,0)),0)</f>
        <v>3332.2</v>
      </c>
      <c r="E294" s="45">
        <f>IFERROR((VLOOKUP(C294,'Daily Scrap by Shift'!$A:$D,3,0)),0)</f>
        <v>481</v>
      </c>
      <c r="F294" s="45">
        <f>IFERROR((VLOOKUP(C294,'Daily Scrap by Shift'!$A:$D,4,0)),0)</f>
        <v>913.16316000000006</v>
      </c>
      <c r="G294" s="33">
        <v>489</v>
      </c>
      <c r="H294" s="3">
        <f t="shared" si="20"/>
        <v>0.86740932515337432</v>
      </c>
    </row>
    <row r="295" spans="1:8" x14ac:dyDescent="0.25">
      <c r="A295" s="23">
        <v>43934</v>
      </c>
      <c r="B295" s="46" t="s">
        <v>26</v>
      </c>
      <c r="C295" s="19" t="str">
        <f t="shared" si="18"/>
        <v>43934 - 2S</v>
      </c>
      <c r="D295" s="45">
        <f>IFERROR((VLOOKUP(C295,'Daily Scrap by Shift'!$A:$D,2,0)),0)</f>
        <v>6195.4</v>
      </c>
      <c r="E295" s="45">
        <f>IFERROR((VLOOKUP(C295,'Daily Scrap by Shift'!$A:$D,3,0)),0)</f>
        <v>493</v>
      </c>
      <c r="F295" s="45">
        <f>IFERROR((VLOOKUP(C295,'Daily Scrap by Shift'!$A:$D,4,0)),0)</f>
        <v>940.0209000000001</v>
      </c>
      <c r="G295" s="33">
        <v>490</v>
      </c>
      <c r="H295" s="3">
        <f t="shared" si="20"/>
        <v>0.91841000000000017</v>
      </c>
    </row>
    <row r="296" spans="1:8" x14ac:dyDescent="0.25">
      <c r="A296" s="23">
        <v>43935</v>
      </c>
      <c r="B296" s="46" t="s">
        <v>24</v>
      </c>
      <c r="C296" s="19" t="str">
        <f t="shared" si="18"/>
        <v>43935 - 3S</v>
      </c>
      <c r="D296" s="45">
        <f>IFERROR((VLOOKUP(C296,'Daily Scrap by Shift'!$A:$D,2,0)),0)</f>
        <v>7334</v>
      </c>
      <c r="E296" s="45">
        <f>IFERROR((VLOOKUP(C296,'Daily Scrap by Shift'!$A:$D,3,0)),0)</f>
        <v>206</v>
      </c>
      <c r="F296" s="45">
        <f>IFERROR((VLOOKUP(C296,'Daily Scrap by Shift'!$A:$D,4,0)),0)</f>
        <v>395.19246000000004</v>
      </c>
      <c r="G296" s="33">
        <v>260</v>
      </c>
      <c r="H296" s="3">
        <f t="shared" si="20"/>
        <v>0.51997100000000018</v>
      </c>
    </row>
    <row r="297" spans="1:8" x14ac:dyDescent="0.25">
      <c r="A297" s="23">
        <v>43935</v>
      </c>
      <c r="B297" s="46" t="s">
        <v>25</v>
      </c>
      <c r="C297" s="19" t="str">
        <f t="shared" si="18"/>
        <v>43935 - 1S</v>
      </c>
      <c r="D297" s="45">
        <f>IFERROR((VLOOKUP(C297,'Daily Scrap by Shift'!$A:$D,2,0)),0)</f>
        <v>11000</v>
      </c>
      <c r="E297" s="45">
        <f>IFERROR((VLOOKUP(C297,'Daily Scrap by Shift'!$A:$D,3,0)),0)</f>
        <v>400</v>
      </c>
      <c r="F297" s="45">
        <f>IFERROR((VLOOKUP(C297,'Daily Scrap by Shift'!$A:$D,4,0)),0)</f>
        <v>783.3203840000001</v>
      </c>
      <c r="G297" s="33">
        <v>326</v>
      </c>
      <c r="H297" s="3">
        <f t="shared" si="20"/>
        <v>1.4028232638036813</v>
      </c>
    </row>
    <row r="298" spans="1:8" x14ac:dyDescent="0.25">
      <c r="A298" s="23">
        <v>43935</v>
      </c>
      <c r="B298" s="46" t="s">
        <v>26</v>
      </c>
      <c r="C298" s="19" t="str">
        <f t="shared" si="18"/>
        <v>43935 - 2S</v>
      </c>
      <c r="D298" s="45">
        <f>IFERROR((VLOOKUP(C298,'Daily Scrap by Shift'!$A:$D,2,0)),0)</f>
        <v>2923</v>
      </c>
      <c r="E298" s="45">
        <f>IFERROR((VLOOKUP(C298,'Daily Scrap by Shift'!$A:$D,3,0)),0)</f>
        <v>763</v>
      </c>
      <c r="F298" s="45">
        <f>IFERROR((VLOOKUP(C298,'Daily Scrap by Shift'!$A:$D,4,0)),0)</f>
        <v>1485.68</v>
      </c>
      <c r="G298" s="33">
        <v>758</v>
      </c>
      <c r="H298" s="3">
        <f t="shared" si="20"/>
        <v>0.96000000000000008</v>
      </c>
    </row>
    <row r="299" spans="1:8" x14ac:dyDescent="0.25">
      <c r="A299" s="23">
        <v>43936</v>
      </c>
      <c r="B299" s="46" t="s">
        <v>24</v>
      </c>
      <c r="C299" s="19" t="str">
        <f t="shared" si="18"/>
        <v>43936 - 3S</v>
      </c>
      <c r="D299" s="45">
        <f>IFERROR((VLOOKUP(C299,'Daily Scrap by Shift'!$A:$D,2,0)),0)</f>
        <v>2552</v>
      </c>
      <c r="E299" s="45">
        <f>IFERROR((VLOOKUP(C299,'Daily Scrap by Shift'!$A:$D,3,0)),0)</f>
        <v>392</v>
      </c>
      <c r="F299" s="45">
        <f>IFERROR((VLOOKUP(C299,'Daily Scrap by Shift'!$A:$D,4,0)),0)</f>
        <v>768.31999999999994</v>
      </c>
      <c r="G299" s="33">
        <v>410</v>
      </c>
      <c r="H299" s="3">
        <f t="shared" si="20"/>
        <v>0.87395121951219501</v>
      </c>
    </row>
    <row r="300" spans="1:8" x14ac:dyDescent="0.25">
      <c r="A300" s="23">
        <v>43936</v>
      </c>
      <c r="B300" s="46" t="s">
        <v>25</v>
      </c>
      <c r="C300" s="19" t="str">
        <f t="shared" si="18"/>
        <v>43936 - 1S</v>
      </c>
      <c r="D300" s="45">
        <f>IFERROR((VLOOKUP(C300,'Daily Scrap by Shift'!$A:$D,2,0)),0)</f>
        <v>26460</v>
      </c>
      <c r="E300" s="45">
        <f>IFERROR((VLOOKUP(C300,'Daily Scrap by Shift'!$A:$D,3,0)),0)</f>
        <v>700</v>
      </c>
      <c r="F300" s="45">
        <f>IFERROR((VLOOKUP(C300,'Daily Scrap by Shift'!$A:$D,4,0)),0)</f>
        <v>1371.3203840000001</v>
      </c>
      <c r="G300" s="33">
        <v>626</v>
      </c>
      <c r="H300" s="3">
        <f t="shared" si="20"/>
        <v>1.190607642172524</v>
      </c>
    </row>
    <row r="301" spans="1:8" x14ac:dyDescent="0.25">
      <c r="A301" s="23">
        <v>43936</v>
      </c>
      <c r="B301" s="46" t="s">
        <v>26</v>
      </c>
      <c r="C301" s="19" t="str">
        <f t="shared" si="18"/>
        <v>43936 - 2S</v>
      </c>
      <c r="D301" s="45">
        <f>IFERROR((VLOOKUP(C301,'Daily Scrap by Shift'!$A:$D,2,0)),0)</f>
        <v>3070.6</v>
      </c>
      <c r="E301" s="45">
        <f>IFERROR((VLOOKUP(C301,'Daily Scrap by Shift'!$A:$D,3,0)),0)</f>
        <v>845</v>
      </c>
      <c r="F301" s="45">
        <f>IFERROR((VLOOKUP(C301,'Daily Scrap by Shift'!$A:$D,4,0)),0)</f>
        <v>1605.8951999999999</v>
      </c>
      <c r="G301" s="33">
        <v>840</v>
      </c>
      <c r="H301" s="3">
        <f t="shared" si="20"/>
        <v>0.91177999999999992</v>
      </c>
    </row>
    <row r="302" spans="1:8" x14ac:dyDescent="0.25">
      <c r="A302" s="23">
        <v>43937</v>
      </c>
      <c r="B302" s="46" t="s">
        <v>24</v>
      </c>
      <c r="C302" s="19" t="str">
        <f t="shared" si="18"/>
        <v>43937 - 3S</v>
      </c>
      <c r="D302" s="45">
        <f>IFERROR((VLOOKUP(C302,'Daily Scrap by Shift'!$A:$D,2,0)),0)</f>
        <v>8623.4</v>
      </c>
      <c r="E302" s="45">
        <f>IFERROR((VLOOKUP(C302,'Daily Scrap by Shift'!$A:$D,3,0)),0)</f>
        <v>521</v>
      </c>
      <c r="F302" s="45">
        <f>IFERROR((VLOOKUP(C302,'Daily Scrap by Shift'!$A:$D,4,0)),0)</f>
        <v>996.03737999999998</v>
      </c>
      <c r="G302" s="33">
        <v>521</v>
      </c>
      <c r="H302" s="3">
        <f t="shared" si="20"/>
        <v>0.91177999999999992</v>
      </c>
    </row>
    <row r="303" spans="1:8" x14ac:dyDescent="0.25">
      <c r="A303" s="23">
        <v>43937</v>
      </c>
      <c r="B303" s="46" t="s">
        <v>25</v>
      </c>
      <c r="C303" s="19" t="str">
        <f t="shared" si="18"/>
        <v>43937 - 1S</v>
      </c>
      <c r="D303" s="45">
        <f>IFERROR((VLOOKUP(C303,'Daily Scrap by Shift'!$A:$D,2,0)),0)</f>
        <v>5850.8</v>
      </c>
      <c r="E303" s="45">
        <f>IFERROR((VLOOKUP(C303,'Daily Scrap by Shift'!$A:$D,3,0)),0)</f>
        <v>338</v>
      </c>
      <c r="F303" s="45">
        <f>IFERROR((VLOOKUP(C303,'Daily Scrap by Shift'!$A:$D,4,0)),0)</f>
        <v>646.18164000000002</v>
      </c>
      <c r="G303" s="33">
        <v>358</v>
      </c>
      <c r="H303" s="3">
        <f t="shared" si="20"/>
        <v>0.80497664804469282</v>
      </c>
    </row>
    <row r="304" spans="1:8" x14ac:dyDescent="0.25">
      <c r="A304" s="23">
        <v>43937</v>
      </c>
      <c r="B304" s="46" t="s">
        <v>26</v>
      </c>
      <c r="C304" s="19" t="str">
        <f t="shared" si="18"/>
        <v>43937 - 2S</v>
      </c>
      <c r="D304" s="45">
        <f>IFERROR((VLOOKUP(C304,'Daily Scrap by Shift'!$A:$D,2,0)),0)</f>
        <v>7688</v>
      </c>
      <c r="E304" s="45">
        <f>IFERROR((VLOOKUP(C304,'Daily Scrap by Shift'!$A:$D,3,0)),0)</f>
        <v>488</v>
      </c>
      <c r="F304" s="45">
        <f>IFERROR((VLOOKUP(C304,'Daily Scrap by Shift'!$A:$D,4,0)),0)</f>
        <v>932.94864000000007</v>
      </c>
      <c r="G304" s="33">
        <v>488</v>
      </c>
      <c r="H304" s="3">
        <f t="shared" si="20"/>
        <v>0.91178000000000015</v>
      </c>
    </row>
    <row r="305" spans="1:8" x14ac:dyDescent="0.25">
      <c r="A305" s="23">
        <v>43938</v>
      </c>
      <c r="B305" s="46" t="s">
        <v>24</v>
      </c>
      <c r="C305" s="19" t="str">
        <f t="shared" si="18"/>
        <v>43938 - 3S</v>
      </c>
      <c r="D305" s="45">
        <f>IFERROR((VLOOKUP(C305,'Daily Scrap by Shift'!$A:$D,2,0)),0)</f>
        <v>8523</v>
      </c>
      <c r="E305" s="45">
        <f>IFERROR((VLOOKUP(C305,'Daily Scrap by Shift'!$A:$D,3,0)),0)</f>
        <v>123</v>
      </c>
      <c r="F305" s="45">
        <f>IFERROR((VLOOKUP(C305,'Daily Scrap by Shift'!$A:$D,4,0)),0)</f>
        <v>235.92966000000001</v>
      </c>
      <c r="G305" s="33">
        <v>602</v>
      </c>
      <c r="H305" s="3">
        <f t="shared" si="20"/>
        <v>-0.60809026578073089</v>
      </c>
    </row>
    <row r="306" spans="1:8" x14ac:dyDescent="0.25">
      <c r="A306" s="23">
        <v>43938</v>
      </c>
      <c r="B306" s="46" t="s">
        <v>25</v>
      </c>
      <c r="C306" s="19" t="str">
        <f t="shared" si="18"/>
        <v>43938 - 1S</v>
      </c>
      <c r="D306" s="45">
        <f>IFERROR((VLOOKUP(C306,'Daily Scrap by Shift'!$A:$D,2,0)),0)</f>
        <v>24358</v>
      </c>
      <c r="E306" s="45">
        <f>IFERROR((VLOOKUP(C306,'Daily Scrap by Shift'!$A:$D,3,0)),0)</f>
        <v>838</v>
      </c>
      <c r="F306" s="45">
        <f>IFERROR((VLOOKUP(C306,'Daily Scrap by Shift'!$A:$D,4,0)),0)</f>
        <v>1650.8226380000001</v>
      </c>
      <c r="G306" s="33">
        <v>715</v>
      </c>
      <c r="H306" s="3">
        <f t="shared" si="20"/>
        <v>1.3088428503496505</v>
      </c>
    </row>
    <row r="307" spans="1:8" x14ac:dyDescent="0.25">
      <c r="A307" s="23">
        <v>43938</v>
      </c>
      <c r="B307" s="46" t="s">
        <v>26</v>
      </c>
      <c r="C307" s="19" t="str">
        <f t="shared" si="18"/>
        <v>43938 - 2S</v>
      </c>
      <c r="D307" s="45">
        <f>IFERROR((VLOOKUP(C307,'Daily Scrap by Shift'!$A:$D,2,0)),0)</f>
        <v>15487</v>
      </c>
      <c r="E307" s="45">
        <f>IFERROR((VLOOKUP(C307,'Daily Scrap by Shift'!$A:$D,3,0)),0)</f>
        <v>767</v>
      </c>
      <c r="F307" s="45">
        <f>IFERROR((VLOOKUP(C307,'Daily Scrap by Shift'!$A:$D,4,0)),0)</f>
        <v>1475.7056600000001</v>
      </c>
      <c r="G307" s="33">
        <v>784</v>
      </c>
      <c r="H307" s="3">
        <f t="shared" si="20"/>
        <v>0.88227762755102046</v>
      </c>
    </row>
    <row r="308" spans="1:8" x14ac:dyDescent="0.25">
      <c r="A308" s="23">
        <v>43939</v>
      </c>
      <c r="B308" s="46" t="s">
        <v>26</v>
      </c>
      <c r="C308" s="19" t="str">
        <f t="shared" si="18"/>
        <v>43939 - 2S</v>
      </c>
      <c r="D308" s="45">
        <f>IFERROR((VLOOKUP(C308,'Daily Scrap by Shift'!$A:$D,2,0)),0)</f>
        <v>9029</v>
      </c>
      <c r="E308" s="45">
        <f>IFERROR((VLOOKUP(C308,'Daily Scrap by Shift'!$A:$D,3,0)),0)</f>
        <v>29</v>
      </c>
      <c r="F308" s="45">
        <f>IFERROR((VLOOKUP(C308,'Daily Scrap by Shift'!$A:$D,4,0)),0)</f>
        <v>56.573664000000001</v>
      </c>
      <c r="G308" s="33">
        <v>205</v>
      </c>
      <c r="H308" s="3">
        <f t="shared" si="20"/>
        <v>-0.72403090731707309</v>
      </c>
    </row>
    <row r="309" spans="1:8" x14ac:dyDescent="0.25">
      <c r="A309" s="23">
        <v>43940</v>
      </c>
      <c r="B309" s="46" t="s">
        <v>25</v>
      </c>
      <c r="C309" s="19" t="str">
        <f t="shared" si="18"/>
        <v>43940 - 1S</v>
      </c>
      <c r="D309" s="45">
        <f>IFERROR((VLOOKUP(C309,'Daily Scrap by Shift'!$A:$D,2,0)),0)</f>
        <v>10057</v>
      </c>
      <c r="E309" s="45">
        <f>IFERROR((VLOOKUP(C309,'Daily Scrap by Shift'!$A:$D,3,0)),0)</f>
        <v>57</v>
      </c>
      <c r="F309" s="45">
        <f>IFERROR((VLOOKUP(C309,'Daily Scrap by Shift'!$A:$D,4,0)),0)</f>
        <v>111.19651200000001</v>
      </c>
      <c r="G309" s="33">
        <v>162</v>
      </c>
      <c r="H309" s="3">
        <f t="shared" si="20"/>
        <v>-0.3136017777777777</v>
      </c>
    </row>
    <row r="310" spans="1:8" x14ac:dyDescent="0.25">
      <c r="A310" s="23">
        <v>43940</v>
      </c>
      <c r="B310" s="46" t="s">
        <v>26</v>
      </c>
      <c r="C310" s="19" t="str">
        <f t="shared" si="18"/>
        <v>43940 - 2S</v>
      </c>
      <c r="D310" s="45">
        <f>IFERROR((VLOOKUP(C310,'Daily Scrap by Shift'!$A:$D,2,0)),0)</f>
        <v>11101</v>
      </c>
      <c r="E310" s="45">
        <f>IFERROR((VLOOKUP(C310,'Daily Scrap by Shift'!$A:$D,3,0)),0)</f>
        <v>101</v>
      </c>
      <c r="F310" s="45">
        <f>IFERROR((VLOOKUP(C310,'Daily Scrap by Shift'!$A:$D,4,0)),0)</f>
        <v>193.51917600000002</v>
      </c>
      <c r="G310" s="33">
        <v>491</v>
      </c>
      <c r="H310" s="3">
        <f t="shared" si="20"/>
        <v>-0.60586725865580449</v>
      </c>
    </row>
    <row r="311" spans="1:8" x14ac:dyDescent="0.25">
      <c r="A311" s="23">
        <v>43941</v>
      </c>
      <c r="B311" s="46" t="s">
        <v>25</v>
      </c>
      <c r="C311" s="19" t="str">
        <f t="shared" si="18"/>
        <v>43941 - 1S</v>
      </c>
      <c r="D311" s="45">
        <f>IFERROR((VLOOKUP(C311,'Daily Scrap by Shift'!$A:$D,2,0)),0)</f>
        <v>15323</v>
      </c>
      <c r="E311" s="45">
        <f>IFERROR((VLOOKUP(C311,'Daily Scrap by Shift'!$A:$D,3,0)),0)</f>
        <v>675</v>
      </c>
      <c r="F311" s="45">
        <f>IFERROR((VLOOKUP(C311,'Daily Scrap by Shift'!$A:$D,4,0)),0)</f>
        <v>1310.7461959999998</v>
      </c>
      <c r="G311" s="33">
        <v>690</v>
      </c>
      <c r="H311" s="3">
        <f t="shared" si="20"/>
        <v>0.89963216811594182</v>
      </c>
    </row>
    <row r="312" spans="1:8" x14ac:dyDescent="0.25">
      <c r="A312" s="23">
        <v>43941</v>
      </c>
      <c r="B312" s="46" t="s">
        <v>26</v>
      </c>
      <c r="C312" s="19" t="str">
        <f t="shared" si="18"/>
        <v>43941 - 2S</v>
      </c>
      <c r="D312" s="45">
        <f>IFERROR((VLOOKUP(C312,'Daily Scrap by Shift'!$A:$D,2,0)),0)</f>
        <v>21887.599999999999</v>
      </c>
      <c r="E312" s="45">
        <f>IFERROR((VLOOKUP(C312,'Daily Scrap by Shift'!$A:$D,3,0)),0)</f>
        <v>526</v>
      </c>
      <c r="F312" s="45">
        <f>IFERROR((VLOOKUP(C312,'Daily Scrap by Shift'!$A:$D,4,0)),0)</f>
        <v>1006.4941080000001</v>
      </c>
      <c r="G312" s="33">
        <v>275</v>
      </c>
      <c r="H312" s="3">
        <f t="shared" si="20"/>
        <v>2.6599785745454549</v>
      </c>
    </row>
    <row r="313" spans="1:8" x14ac:dyDescent="0.25">
      <c r="A313" s="23">
        <v>43942</v>
      </c>
      <c r="B313" s="46" t="s">
        <v>24</v>
      </c>
      <c r="C313" s="19" t="str">
        <f t="shared" si="18"/>
        <v>43942 - 3S</v>
      </c>
      <c r="D313" s="45">
        <f>IFERROR((VLOOKUP(C313,'Daily Scrap by Shift'!$A:$D,2,0)),0)</f>
        <v>13805.76</v>
      </c>
      <c r="E313" s="45">
        <f>IFERROR((VLOOKUP(C313,'Daily Scrap by Shift'!$A:$D,3,0)),0)</f>
        <v>376</v>
      </c>
      <c r="F313" s="45">
        <f>IFERROR((VLOOKUP(C313,'Daily Scrap by Shift'!$A:$D,4,0)),0)</f>
        <v>727.94502399999999</v>
      </c>
      <c r="G313" s="33">
        <v>521</v>
      </c>
      <c r="H313" s="3">
        <f t="shared" si="20"/>
        <v>0.39720733973128597</v>
      </c>
    </row>
    <row r="314" spans="1:8" x14ac:dyDescent="0.25">
      <c r="A314" s="23">
        <v>43942</v>
      </c>
      <c r="B314" s="46" t="s">
        <v>25</v>
      </c>
      <c r="C314" s="19" t="str">
        <f t="shared" si="18"/>
        <v>43942 - 1S</v>
      </c>
      <c r="D314" s="45">
        <f>IFERROR((VLOOKUP(C314,'Daily Scrap by Shift'!$A:$D,2,0)),0)</f>
        <v>10326.4</v>
      </c>
      <c r="E314" s="45">
        <f>IFERROR((VLOOKUP(C314,'Daily Scrap by Shift'!$A:$D,3,0)),0)</f>
        <v>704</v>
      </c>
      <c r="F314" s="45">
        <f>IFERROR((VLOOKUP(C314,'Daily Scrap by Shift'!$A:$D,4,0)),0)</f>
        <v>1406.0329899999999</v>
      </c>
      <c r="G314" s="33">
        <v>757</v>
      </c>
      <c r="H314" s="3">
        <f t="shared" si="20"/>
        <v>0.85737515191545566</v>
      </c>
    </row>
    <row r="315" spans="1:8" x14ac:dyDescent="0.25">
      <c r="A315" s="23">
        <v>43942</v>
      </c>
      <c r="B315" s="46" t="s">
        <v>26</v>
      </c>
      <c r="C315" s="19" t="str">
        <f t="shared" si="18"/>
        <v>43942 - 2S</v>
      </c>
      <c r="D315" s="45">
        <f>IFERROR((VLOOKUP(C315,'Daily Scrap by Shift'!$A:$D,2,0)),0)</f>
        <v>22433</v>
      </c>
      <c r="E315" s="45">
        <f>IFERROR((VLOOKUP(C315,'Daily Scrap by Shift'!$A:$D,3,0)),0)</f>
        <v>545</v>
      </c>
      <c r="F315" s="45">
        <f>IFERROR((VLOOKUP(C315,'Daily Scrap by Shift'!$A:$D,4,0)),0)</f>
        <v>1060.2750859999999</v>
      </c>
      <c r="G315" s="33">
        <v>574</v>
      </c>
      <c r="H315" s="3">
        <f t="shared" si="20"/>
        <v>0.84716913937282212</v>
      </c>
    </row>
    <row r="316" spans="1:8" x14ac:dyDescent="0.25">
      <c r="A316" s="23">
        <v>43943</v>
      </c>
      <c r="B316" s="46" t="s">
        <v>24</v>
      </c>
      <c r="C316" s="19" t="str">
        <f t="shared" si="18"/>
        <v>43943 - 3S</v>
      </c>
      <c r="D316" s="45">
        <f>IFERROR((VLOOKUP(C316,'Daily Scrap by Shift'!$A:$D,2,0)),0)</f>
        <v>15102.8</v>
      </c>
      <c r="E316" s="45">
        <f>IFERROR((VLOOKUP(C316,'Daily Scrap by Shift'!$A:$D,3,0)),0)</f>
        <v>542</v>
      </c>
      <c r="F316" s="45">
        <f>IFERROR((VLOOKUP(C316,'Daily Scrap by Shift'!$A:$D,4,0)),0)</f>
        <v>898.39386000000013</v>
      </c>
      <c r="G316" s="33">
        <v>744</v>
      </c>
      <c r="H316" s="3">
        <f t="shared" si="20"/>
        <v>0.20751862903225823</v>
      </c>
    </row>
    <row r="317" spans="1:8" x14ac:dyDescent="0.25">
      <c r="A317" s="23">
        <v>43943</v>
      </c>
      <c r="B317" s="46" t="s">
        <v>25</v>
      </c>
      <c r="C317" s="19" t="str">
        <f t="shared" si="18"/>
        <v>43943 - 1S</v>
      </c>
      <c r="D317" s="45">
        <f>IFERROR((VLOOKUP(C317,'Daily Scrap by Shift'!$A:$D,2,0)),0)</f>
        <v>29073.599999999999</v>
      </c>
      <c r="E317" s="45">
        <f>IFERROR((VLOOKUP(C317,'Daily Scrap by Shift'!$A:$D,3,0)),0)</f>
        <v>800</v>
      </c>
      <c r="F317" s="45">
        <f>IFERROR((VLOOKUP(C317,'Daily Scrap by Shift'!$A:$D,4,0)),0)</f>
        <v>1564.3942780000002</v>
      </c>
      <c r="G317" s="33">
        <v>758</v>
      </c>
      <c r="H317" s="3">
        <f t="shared" si="20"/>
        <v>1.0638446939313988</v>
      </c>
    </row>
    <row r="318" spans="1:8" x14ac:dyDescent="0.25">
      <c r="A318" s="23">
        <v>43943</v>
      </c>
      <c r="B318" s="46" t="s">
        <v>26</v>
      </c>
      <c r="C318" s="19" t="str">
        <f t="shared" si="18"/>
        <v>43943 - 2S</v>
      </c>
      <c r="D318" s="45">
        <f>IFERROR((VLOOKUP(C318,'Daily Scrap by Shift'!$A:$D,2,0)),0)</f>
        <v>13076.4</v>
      </c>
      <c r="E318" s="45">
        <f>IFERROR((VLOOKUP(C318,'Daily Scrap by Shift'!$A:$D,3,0)),0)</f>
        <v>654</v>
      </c>
      <c r="F318" s="45">
        <f>IFERROR((VLOOKUP(C318,'Daily Scrap by Shift'!$A:$D,4,0)),0)</f>
        <v>1262.66777</v>
      </c>
      <c r="G318" s="33">
        <v>644</v>
      </c>
      <c r="H318" s="3">
        <f t="shared" si="20"/>
        <v>0.96066423913043486</v>
      </c>
    </row>
    <row r="319" spans="1:8" x14ac:dyDescent="0.25">
      <c r="A319" s="23">
        <v>43944</v>
      </c>
      <c r="B319" s="46" t="s">
        <v>24</v>
      </c>
      <c r="C319" s="19" t="str">
        <f t="shared" si="18"/>
        <v>43944 - 3S</v>
      </c>
      <c r="D319" s="45">
        <f>IFERROR((VLOOKUP(C319,'Daily Scrap by Shift'!$A:$D,2,0)),0)</f>
        <v>12004.8</v>
      </c>
      <c r="E319" s="45">
        <f>IFERROR((VLOOKUP(C319,'Daily Scrap by Shift'!$A:$D,3,0)),0)</f>
        <v>324</v>
      </c>
      <c r="F319" s="45">
        <f>IFERROR((VLOOKUP(C319,'Daily Scrap by Shift'!$A:$D,4,0)),0)</f>
        <v>631.20122000000003</v>
      </c>
      <c r="G319" s="33">
        <v>400</v>
      </c>
      <c r="H319" s="3">
        <f t="shared" si="20"/>
        <v>0.57800305000000007</v>
      </c>
    </row>
    <row r="320" spans="1:8" x14ac:dyDescent="0.25">
      <c r="A320" s="23">
        <v>43944</v>
      </c>
      <c r="B320" s="46" t="s">
        <v>25</v>
      </c>
      <c r="C320" s="19" t="str">
        <f t="shared" si="18"/>
        <v>43944 - 1S</v>
      </c>
      <c r="D320" s="45">
        <f>IFERROR((VLOOKUP(C320,'Daily Scrap by Shift'!$A:$D,2,0)),0)</f>
        <v>2871.4</v>
      </c>
      <c r="E320" s="45">
        <f>IFERROR((VLOOKUP(C320,'Daily Scrap by Shift'!$A:$D,3,0)),0)</f>
        <v>733</v>
      </c>
      <c r="F320" s="45">
        <f>IFERROR((VLOOKUP(C320,'Daily Scrap by Shift'!$A:$D,4,0)),0)</f>
        <v>542.94551999999999</v>
      </c>
      <c r="G320" s="33">
        <v>765</v>
      </c>
      <c r="H320" s="3">
        <f t="shared" si="20"/>
        <v>-0.29026729411764707</v>
      </c>
    </row>
    <row r="321" spans="1:8" x14ac:dyDescent="0.25">
      <c r="A321" s="23">
        <v>43944</v>
      </c>
      <c r="B321" s="46" t="s">
        <v>26</v>
      </c>
      <c r="C321" s="19" t="str">
        <f t="shared" si="18"/>
        <v>43944 - 2S</v>
      </c>
      <c r="D321" s="45">
        <f>IFERROR((VLOOKUP(C321,'Daily Scrap by Shift'!$A:$D,2,0)),0)</f>
        <v>0</v>
      </c>
      <c r="E321" s="45">
        <f>IFERROR((VLOOKUP(C321,'Daily Scrap by Shift'!$A:$D,3,0)),0)</f>
        <v>0</v>
      </c>
      <c r="F321" s="45">
        <f>IFERROR((VLOOKUP(C321,'Daily Scrap by Shift'!$A:$D,4,0)),0)</f>
        <v>0</v>
      </c>
      <c r="G321" s="33">
        <v>0</v>
      </c>
      <c r="H321" s="3" t="e">
        <f t="shared" si="20"/>
        <v>#DIV/0!</v>
      </c>
    </row>
    <row r="322" spans="1:8" x14ac:dyDescent="0.25">
      <c r="A322" s="23">
        <v>43945</v>
      </c>
      <c r="B322" s="46" t="s">
        <v>24</v>
      </c>
      <c r="C322" s="19" t="str">
        <f t="shared" si="18"/>
        <v>43945 - 3S</v>
      </c>
      <c r="D322" s="45">
        <f>IFERROR((VLOOKUP(C322,'Daily Scrap by Shift'!$A:$D,2,0)),0)</f>
        <v>66</v>
      </c>
      <c r="E322" s="45">
        <f>IFERROR((VLOOKUP(C322,'Daily Scrap by Shift'!$A:$D,3,0)),0)</f>
        <v>66</v>
      </c>
      <c r="F322" s="45">
        <f>IFERROR((VLOOKUP(C322,'Daily Scrap by Shift'!$A:$D,4,0)),0)</f>
        <v>126.17748</v>
      </c>
      <c r="G322" s="33">
        <v>111</v>
      </c>
      <c r="H322" s="3">
        <f t="shared" si="20"/>
        <v>0.13673405405405409</v>
      </c>
    </row>
    <row r="323" spans="1:8" x14ac:dyDescent="0.25">
      <c r="A323" s="23">
        <v>43946</v>
      </c>
      <c r="B323" s="46" t="s">
        <v>24</v>
      </c>
      <c r="C323" s="19" t="str">
        <f t="shared" ref="C323:C389" si="21">CONCATENATE(A323," - ",B323)</f>
        <v>43946 - 3S</v>
      </c>
      <c r="D323" s="45">
        <f>IFERROR((VLOOKUP(C323,'Daily Scrap by Shift'!$A:$D,2,0)),0)</f>
        <v>60</v>
      </c>
      <c r="E323" s="45">
        <f>IFERROR((VLOOKUP(C323,'Daily Scrap by Shift'!$A:$D,3,0)),0)</f>
        <v>60</v>
      </c>
      <c r="F323" s="45">
        <f>IFERROR((VLOOKUP(C323,'Daily Scrap by Shift'!$A:$D,4,0)),0)</f>
        <v>0</v>
      </c>
      <c r="G323" s="33">
        <v>254</v>
      </c>
      <c r="H323" s="3">
        <f t="shared" si="20"/>
        <v>-1</v>
      </c>
    </row>
    <row r="324" spans="1:8" x14ac:dyDescent="0.25">
      <c r="A324" s="23">
        <v>43947</v>
      </c>
      <c r="B324" s="46" t="s">
        <v>24</v>
      </c>
      <c r="C324" s="19" t="str">
        <f t="shared" si="21"/>
        <v>43947 - 3S</v>
      </c>
      <c r="D324" s="45">
        <f>IFERROR((VLOOKUP(C324,'Daily Scrap by Shift'!$A:$D,2,0)),0)</f>
        <v>20</v>
      </c>
      <c r="E324" s="45">
        <f>IFERROR((VLOOKUP(C324,'Daily Scrap by Shift'!$A:$D,3,0)),0)</f>
        <v>20</v>
      </c>
      <c r="F324" s="45">
        <f>IFERROR((VLOOKUP(C324,'Daily Scrap by Shift'!$A:$D,4,0)),0)</f>
        <v>0</v>
      </c>
      <c r="G324" s="33">
        <v>418</v>
      </c>
      <c r="H324" s="3">
        <f t="shared" si="20"/>
        <v>-1</v>
      </c>
    </row>
    <row r="325" spans="1:8" x14ac:dyDescent="0.25">
      <c r="A325" s="23">
        <v>43948</v>
      </c>
      <c r="B325" s="46" t="s">
        <v>25</v>
      </c>
      <c r="C325" s="19" t="str">
        <f t="shared" si="21"/>
        <v>43948 - 1S</v>
      </c>
      <c r="D325" s="45">
        <f>IFERROR((VLOOKUP(C325,'Daily Scrap by Shift'!$A:$D,2,0)),0)</f>
        <v>9509</v>
      </c>
      <c r="E325" s="45">
        <f>IFERROR((VLOOKUP(C325,'Daily Scrap by Shift'!$A:$D,3,0)),0)</f>
        <v>789</v>
      </c>
      <c r="F325" s="45">
        <f>IFERROR((VLOOKUP(C325,'Daily Scrap by Shift'!$A:$D,4,0)),0)</f>
        <v>13.655712000000001</v>
      </c>
      <c r="G325" s="33">
        <v>782</v>
      </c>
      <c r="H325" s="3">
        <f t="shared" si="20"/>
        <v>-0.98253745268542203</v>
      </c>
    </row>
    <row r="326" spans="1:8" x14ac:dyDescent="0.25">
      <c r="A326" s="23">
        <v>43948</v>
      </c>
      <c r="B326" s="46" t="s">
        <v>26</v>
      </c>
      <c r="C326" s="19" t="str">
        <f t="shared" si="21"/>
        <v>43948 - 2S</v>
      </c>
      <c r="D326" s="45">
        <f>IFERROR((VLOOKUP(C326,'Daily Scrap by Shift'!$A:$D,2,0)),0)</f>
        <v>4661</v>
      </c>
      <c r="E326" s="45">
        <f>IFERROR((VLOOKUP(C326,'Daily Scrap by Shift'!$A:$D,3,0)),0)</f>
        <v>341</v>
      </c>
      <c r="F326" s="45">
        <f>IFERROR((VLOOKUP(C326,'Daily Scrap by Shift'!$A:$D,4,0)),0)</f>
        <v>0</v>
      </c>
      <c r="G326" s="33">
        <v>375</v>
      </c>
      <c r="H326" s="3">
        <f t="shared" si="20"/>
        <v>-1</v>
      </c>
    </row>
    <row r="327" spans="1:8" x14ac:dyDescent="0.25">
      <c r="A327" s="23">
        <v>43948</v>
      </c>
      <c r="B327" s="46" t="s">
        <v>24</v>
      </c>
      <c r="C327" s="19" t="str">
        <f t="shared" si="21"/>
        <v>43948 - 3S</v>
      </c>
      <c r="D327" s="45">
        <f>IFERROR((VLOOKUP(C327,'Daily Scrap by Shift'!$A:$D,2,0)),0)</f>
        <v>224</v>
      </c>
      <c r="E327" s="45">
        <f>IFERROR((VLOOKUP(C327,'Daily Scrap by Shift'!$A:$D,3,0)),0)</f>
        <v>224</v>
      </c>
      <c r="F327" s="45">
        <f>IFERROR((VLOOKUP(C327,'Daily Scrap by Shift'!$A:$D,4,0)),0)</f>
        <v>0</v>
      </c>
      <c r="G327" s="33">
        <v>676</v>
      </c>
      <c r="H327" s="3">
        <f t="shared" si="20"/>
        <v>-1</v>
      </c>
    </row>
    <row r="328" spans="1:8" x14ac:dyDescent="0.25">
      <c r="A328" s="23">
        <v>43949</v>
      </c>
      <c r="B328" s="46" t="s">
        <v>25</v>
      </c>
      <c r="C328" s="19" t="str">
        <f t="shared" si="21"/>
        <v>43949 - 1S</v>
      </c>
      <c r="D328" s="45">
        <f>IFERROR((VLOOKUP(C328,'Daily Scrap by Shift'!$A:$D,2,0)),0)</f>
        <v>13154</v>
      </c>
      <c r="E328" s="45">
        <f>IFERROR((VLOOKUP(C328,'Daily Scrap by Shift'!$A:$D,3,0)),0)</f>
        <v>736</v>
      </c>
      <c r="F328" s="45">
        <f>IFERROR((VLOOKUP(C328,'Daily Scrap by Shift'!$A:$D,4,0)),0)</f>
        <v>99.491616000000008</v>
      </c>
      <c r="G328" s="33">
        <v>1058</v>
      </c>
      <c r="H328" s="3">
        <f t="shared" si="20"/>
        <v>-0.90596255576559548</v>
      </c>
    </row>
    <row r="329" spans="1:8" x14ac:dyDescent="0.25">
      <c r="A329" s="23">
        <v>43949</v>
      </c>
      <c r="B329" s="46" t="s">
        <v>24</v>
      </c>
      <c r="C329" s="19" t="str">
        <f t="shared" si="21"/>
        <v>43949 - 3S</v>
      </c>
      <c r="D329" s="45">
        <f>IFERROR((VLOOKUP(C329,'Daily Scrap by Shift'!$A:$D,2,0)),0)</f>
        <v>15458</v>
      </c>
      <c r="E329" s="45">
        <f>IFERROR((VLOOKUP(C329,'Daily Scrap by Shift'!$A:$D,3,0)),0)</f>
        <v>658</v>
      </c>
      <c r="F329" s="45">
        <f>IFERROR((VLOOKUP(C329,'Daily Scrap by Shift'!$A:$D,4,0)),0)</f>
        <v>396.015648</v>
      </c>
      <c r="G329" s="33">
        <v>257</v>
      </c>
      <c r="H329" s="3">
        <f t="shared" si="20"/>
        <v>0.54091691828793775</v>
      </c>
    </row>
    <row r="330" spans="1:8" x14ac:dyDescent="0.25">
      <c r="A330" s="23">
        <v>43950</v>
      </c>
      <c r="B330" s="46" t="s">
        <v>25</v>
      </c>
      <c r="C330" s="19" t="str">
        <f t="shared" si="21"/>
        <v>43950 - 1S</v>
      </c>
      <c r="D330" s="45">
        <f>IFERROR((VLOOKUP(C330,'Daily Scrap by Shift'!$A:$D,2,0)),0)</f>
        <v>10407</v>
      </c>
      <c r="E330" s="45">
        <f>IFERROR((VLOOKUP(C330,'Daily Scrap by Shift'!$A:$D,3,0)),0)</f>
        <v>407</v>
      </c>
      <c r="F330" s="45">
        <f>IFERROR((VLOOKUP(C330,'Daily Scrap by Shift'!$A:$D,4,0)),0)</f>
        <v>793.98211200000003</v>
      </c>
      <c r="G330" s="33">
        <v>59</v>
      </c>
      <c r="H330" s="3">
        <f t="shared" si="20"/>
        <v>12.457323932203391</v>
      </c>
    </row>
    <row r="331" spans="1:8" x14ac:dyDescent="0.25">
      <c r="A331" s="23">
        <v>43950</v>
      </c>
      <c r="B331" s="46" t="s">
        <v>26</v>
      </c>
      <c r="C331" s="19" t="str">
        <f t="shared" si="21"/>
        <v>43950 - 2S</v>
      </c>
      <c r="D331" s="45">
        <f>IFERROR((VLOOKUP(C331,'Daily Scrap by Shift'!$A:$D,2,0)),0)</f>
        <v>10031</v>
      </c>
      <c r="E331" s="45">
        <f>IFERROR((VLOOKUP(C331,'Daily Scrap by Shift'!$A:$D,3,0)),0)</f>
        <v>31</v>
      </c>
      <c r="F331" s="45">
        <f>IFERROR((VLOOKUP(C331,'Daily Scrap by Shift'!$A:$D,4,0)),0)</f>
        <v>7.8032640000000004</v>
      </c>
      <c r="G331" s="33">
        <v>0</v>
      </c>
      <c r="H331" s="3" t="e">
        <f t="shared" si="20"/>
        <v>#DIV/0!</v>
      </c>
    </row>
    <row r="332" spans="1:8" x14ac:dyDescent="0.25">
      <c r="A332" s="23">
        <v>43950</v>
      </c>
      <c r="B332" s="46" t="s">
        <v>24</v>
      </c>
      <c r="C332" s="19" t="str">
        <f t="shared" si="21"/>
        <v>43950 - 3S</v>
      </c>
      <c r="D332" s="45">
        <f>IFERROR((VLOOKUP(C332,'Daily Scrap by Shift'!$A:$D,2,0)),0)</f>
        <v>0</v>
      </c>
      <c r="E332" s="45">
        <f>IFERROR((VLOOKUP(C332,'Daily Scrap by Shift'!$A:$D,3,0)),0)</f>
        <v>0</v>
      </c>
      <c r="F332" s="45">
        <f>IFERROR((VLOOKUP(C332,'Daily Scrap by Shift'!$A:$D,4,0)),0)</f>
        <v>0</v>
      </c>
      <c r="G332" s="33">
        <v>532</v>
      </c>
      <c r="H332" s="3">
        <f t="shared" si="20"/>
        <v>-1</v>
      </c>
    </row>
    <row r="333" spans="1:8" x14ac:dyDescent="0.25">
      <c r="A333" s="23">
        <v>43951</v>
      </c>
      <c r="B333" s="46" t="s">
        <v>25</v>
      </c>
      <c r="C333" s="19" t="str">
        <f t="shared" si="21"/>
        <v>43951 - 1S</v>
      </c>
      <c r="D333" s="45">
        <f>IFERROR((VLOOKUP(C333,'Daily Scrap by Shift'!$A:$D,2,0)),0)</f>
        <v>12460</v>
      </c>
      <c r="E333" s="45">
        <f>IFERROR((VLOOKUP(C333,'Daily Scrap by Shift'!$A:$D,3,0)),0)</f>
        <v>896</v>
      </c>
      <c r="F333" s="45">
        <f>IFERROR((VLOOKUP(C333,'Daily Scrap by Shift'!$A:$D,4,0)),0)</f>
        <v>1728.1789199999998</v>
      </c>
      <c r="G333" s="33">
        <v>888</v>
      </c>
      <c r="H333" s="3">
        <f t="shared" si="20"/>
        <v>0.94614743243243227</v>
      </c>
    </row>
    <row r="334" spans="1:8" x14ac:dyDescent="0.25">
      <c r="A334" s="23">
        <v>43951</v>
      </c>
      <c r="B334" s="46" t="s">
        <v>26</v>
      </c>
      <c r="C334" s="19" t="str">
        <f t="shared" si="21"/>
        <v>43951 - 2S</v>
      </c>
      <c r="D334" s="45">
        <f>IFERROR((VLOOKUP(C334,'Daily Scrap by Shift'!$A:$D,2,0)),0)</f>
        <v>10</v>
      </c>
      <c r="E334" s="45">
        <f>IFERROR((VLOOKUP(C334,'Daily Scrap by Shift'!$A:$D,3,0)),0)</f>
        <v>10</v>
      </c>
      <c r="F334" s="45">
        <f>IFERROR((VLOOKUP(C334,'Daily Scrap by Shift'!$A:$D,4,0)),0)</f>
        <v>0</v>
      </c>
      <c r="G334" s="33">
        <v>559</v>
      </c>
      <c r="H334" s="3">
        <f t="shared" si="20"/>
        <v>-1</v>
      </c>
    </row>
    <row r="335" spans="1:8" x14ac:dyDescent="0.25">
      <c r="A335" s="23">
        <v>43951</v>
      </c>
      <c r="B335" s="46" t="s">
        <v>24</v>
      </c>
      <c r="C335" s="19" t="str">
        <f t="shared" si="21"/>
        <v>43951 - 3S</v>
      </c>
      <c r="D335" s="45">
        <f>IFERROR((VLOOKUP(C335,'Daily Scrap by Shift'!$A:$D,2,0)),0)</f>
        <v>0</v>
      </c>
      <c r="E335" s="45">
        <f>IFERROR((VLOOKUP(C335,'Daily Scrap by Shift'!$A:$D,3,0)),0)</f>
        <v>0</v>
      </c>
      <c r="F335" s="45">
        <f>IFERROR((VLOOKUP(C335,'Daily Scrap by Shift'!$A:$D,4,0)),0)</f>
        <v>0</v>
      </c>
      <c r="G335" s="33">
        <v>456</v>
      </c>
      <c r="H335" s="3">
        <f t="shared" si="20"/>
        <v>-1</v>
      </c>
    </row>
    <row r="336" spans="1:8" x14ac:dyDescent="0.25">
      <c r="A336" s="23">
        <v>43952</v>
      </c>
      <c r="B336" s="46" t="s">
        <v>25</v>
      </c>
      <c r="C336" s="19" t="str">
        <f t="shared" si="21"/>
        <v>43952 - 1S</v>
      </c>
      <c r="D336" s="45">
        <f>IFERROR((VLOOKUP(C336,'Daily Scrap by Shift'!$A:$D,2,0)),0)</f>
        <v>9076.4</v>
      </c>
      <c r="E336" s="45">
        <f>IFERROR((VLOOKUP(C336,'Daily Scrap by Shift'!$A:$D,3,0)),0)</f>
        <v>2499</v>
      </c>
      <c r="F336" s="45">
        <f>IFERROR((VLOOKUP(C336,'Daily Scrap by Shift'!$A:$D,4,0)),0)</f>
        <v>4791.1276680000001</v>
      </c>
      <c r="G336" s="33">
        <v>2529</v>
      </c>
      <c r="H336" s="3">
        <f t="shared" si="20"/>
        <v>0.89447515539739031</v>
      </c>
    </row>
    <row r="337" spans="1:8" x14ac:dyDescent="0.25">
      <c r="A337" s="23">
        <v>43952</v>
      </c>
      <c r="B337" s="46" t="s">
        <v>26</v>
      </c>
      <c r="C337" s="19" t="str">
        <f t="shared" si="21"/>
        <v>43952 - 2S</v>
      </c>
      <c r="D337" s="45">
        <f>IFERROR((VLOOKUP(C337,'Daily Scrap by Shift'!$A:$D,2,0)),0)</f>
        <v>7111</v>
      </c>
      <c r="E337" s="45">
        <f>IFERROR((VLOOKUP(C337,'Daily Scrap by Shift'!$A:$D,3,0)),0)</f>
        <v>1409</v>
      </c>
      <c r="F337" s="45">
        <f>IFERROR((VLOOKUP(C337,'Daily Scrap by Shift'!$A:$D,4,0)),0)</f>
        <v>0</v>
      </c>
      <c r="G337" s="33">
        <v>1655</v>
      </c>
      <c r="H337" s="3">
        <f t="shared" si="20"/>
        <v>-1</v>
      </c>
    </row>
    <row r="338" spans="1:8" x14ac:dyDescent="0.25">
      <c r="A338" s="23">
        <v>43953</v>
      </c>
      <c r="B338" s="46" t="s">
        <v>26</v>
      </c>
      <c r="C338" s="19" t="str">
        <f t="shared" si="21"/>
        <v>43953 - 2S</v>
      </c>
      <c r="D338" s="45">
        <f>IFERROR((VLOOKUP(C338,'Daily Scrap by Shift'!$A:$D,2,0)),0)</f>
        <v>0</v>
      </c>
      <c r="E338" s="45">
        <f>IFERROR((VLOOKUP(C338,'Daily Scrap by Shift'!$A:$D,3,0)),0)</f>
        <v>0</v>
      </c>
      <c r="F338" s="45">
        <f>IFERROR((VLOOKUP(C338,'Daily Scrap by Shift'!$A:$D,4,0)),0)</f>
        <v>0</v>
      </c>
      <c r="G338" s="33">
        <v>32</v>
      </c>
      <c r="H338" s="3">
        <f t="shared" si="20"/>
        <v>-1</v>
      </c>
    </row>
    <row r="339" spans="1:8" x14ac:dyDescent="0.25">
      <c r="A339" s="23">
        <v>43954</v>
      </c>
      <c r="B339" s="46" t="s">
        <v>24</v>
      </c>
      <c r="C339" s="19" t="str">
        <f t="shared" si="21"/>
        <v>43954 - 3S</v>
      </c>
      <c r="D339" s="45">
        <f>IFERROR((VLOOKUP(C339,'Daily Scrap by Shift'!$A:$D,2,0)),0)</f>
        <v>0</v>
      </c>
      <c r="E339" s="45">
        <f>IFERROR((VLOOKUP(C339,'Daily Scrap by Shift'!$A:$D,3,0)),0)</f>
        <v>0</v>
      </c>
      <c r="F339" s="45">
        <f>IFERROR((VLOOKUP(C339,'Daily Scrap by Shift'!$A:$D,4,0)),0)</f>
        <v>0</v>
      </c>
      <c r="G339" s="33">
        <v>764</v>
      </c>
      <c r="H339" s="3">
        <f t="shared" si="20"/>
        <v>-1</v>
      </c>
    </row>
    <row r="340" spans="1:8" x14ac:dyDescent="0.25">
      <c r="A340" s="23">
        <v>43955</v>
      </c>
      <c r="B340" s="46" t="s">
        <v>25</v>
      </c>
      <c r="C340" s="19" t="str">
        <f t="shared" si="21"/>
        <v>43955 - 1S</v>
      </c>
      <c r="D340" s="45">
        <f>IFERROR((VLOOKUP(C340,'Daily Scrap by Shift'!$A:$D,2,0)),0)</f>
        <v>11957</v>
      </c>
      <c r="E340" s="45">
        <f>IFERROR((VLOOKUP(C340,'Daily Scrap by Shift'!$A:$D,3,0)),0)</f>
        <v>829</v>
      </c>
      <c r="F340" s="45">
        <f>IFERROR((VLOOKUP(C340,'Daily Scrap by Shift'!$A:$D,4,0)),0)</f>
        <v>1773.20597</v>
      </c>
      <c r="G340" s="33">
        <v>807</v>
      </c>
      <c r="H340" s="3">
        <f t="shared" si="20"/>
        <v>1.1972812515489466</v>
      </c>
    </row>
    <row r="341" spans="1:8" x14ac:dyDescent="0.25">
      <c r="A341" s="23">
        <v>43955</v>
      </c>
      <c r="B341" s="46" t="s">
        <v>26</v>
      </c>
      <c r="C341" s="19" t="str">
        <f t="shared" si="21"/>
        <v>43955 - 2S</v>
      </c>
      <c r="D341" s="45">
        <f>IFERROR((VLOOKUP(C341,'Daily Scrap by Shift'!$A:$D,2,0)),0)</f>
        <v>12504</v>
      </c>
      <c r="E341" s="45">
        <f>IFERROR((VLOOKUP(C341,'Daily Scrap by Shift'!$A:$D,3,0)),0)</f>
        <v>104</v>
      </c>
      <c r="F341" s="45">
        <f>IFERROR((VLOOKUP(C341,'Daily Scrap by Shift'!$A:$D,4,0)),0)</f>
        <v>237.72412000000003</v>
      </c>
      <c r="G341" s="33">
        <v>161</v>
      </c>
      <c r="H341" s="3">
        <f t="shared" si="20"/>
        <v>0.47654732919254678</v>
      </c>
    </row>
    <row r="342" spans="1:8" x14ac:dyDescent="0.25">
      <c r="A342" s="23">
        <v>43956</v>
      </c>
      <c r="B342" s="46" t="s">
        <v>24</v>
      </c>
      <c r="C342" s="19" t="str">
        <f t="shared" si="21"/>
        <v>43956 - 3S</v>
      </c>
      <c r="D342" s="45">
        <f>IFERROR((VLOOKUP(C342,'Daily Scrap by Shift'!$A:$D,2,0)),0)</f>
        <v>5391</v>
      </c>
      <c r="E342" s="45">
        <f>IFERROR((VLOOKUP(C342,'Daily Scrap by Shift'!$A:$D,3,0)),0)</f>
        <v>391</v>
      </c>
      <c r="F342" s="45">
        <f>IFERROR((VLOOKUP(C342,'Daily Scrap by Shift'!$A:$D,4,0)),0)</f>
        <v>1028.8295579999999</v>
      </c>
      <c r="G342" s="33">
        <v>764</v>
      </c>
      <c r="H342" s="3">
        <f t="shared" ref="H342:H405" si="22">(F342-G342)/G342</f>
        <v>0.34663554712041872</v>
      </c>
    </row>
    <row r="343" spans="1:8" x14ac:dyDescent="0.25">
      <c r="A343" s="23">
        <v>43956</v>
      </c>
      <c r="B343" s="46" t="s">
        <v>25</v>
      </c>
      <c r="C343" s="19" t="str">
        <f t="shared" si="21"/>
        <v>43956 - 1S</v>
      </c>
      <c r="D343" s="45">
        <f>IFERROR((VLOOKUP(C343,'Daily Scrap by Shift'!$A:$D,2,0)),0)</f>
        <v>23167.4</v>
      </c>
      <c r="E343" s="45">
        <f>IFERROR((VLOOKUP(C343,'Daily Scrap by Shift'!$A:$D,3,0)),0)</f>
        <v>701</v>
      </c>
      <c r="F343" s="45">
        <f>IFERROR((VLOOKUP(C343,'Daily Scrap by Shift'!$A:$D,4,0)),0)</f>
        <v>1588.7157139999999</v>
      </c>
      <c r="G343" s="33">
        <v>778</v>
      </c>
      <c r="H343" s="3">
        <f t="shared" si="22"/>
        <v>1.0420510462724935</v>
      </c>
    </row>
    <row r="344" spans="1:8" x14ac:dyDescent="0.25">
      <c r="A344" s="23">
        <v>43956</v>
      </c>
      <c r="B344" s="46" t="s">
        <v>26</v>
      </c>
      <c r="C344" s="19" t="str">
        <f t="shared" si="21"/>
        <v>43956 - 2S</v>
      </c>
      <c r="D344" s="45">
        <f>IFERROR((VLOOKUP(C344,'Daily Scrap by Shift'!$A:$D,2,0)),0)</f>
        <v>9080</v>
      </c>
      <c r="E344" s="45">
        <f>IFERROR((VLOOKUP(C344,'Daily Scrap by Shift'!$A:$D,3,0)),0)</f>
        <v>80</v>
      </c>
      <c r="F344" s="45">
        <f>IFERROR((VLOOKUP(C344,'Daily Scrap by Shift'!$A:$D,4,0)),0)</f>
        <v>141.08969999999999</v>
      </c>
      <c r="G344" s="33">
        <v>82</v>
      </c>
      <c r="H344" s="3">
        <f t="shared" si="22"/>
        <v>0.72060609756097549</v>
      </c>
    </row>
    <row r="345" spans="1:8" x14ac:dyDescent="0.25">
      <c r="A345" s="23">
        <v>43957</v>
      </c>
      <c r="B345" s="46" t="s">
        <v>24</v>
      </c>
      <c r="C345" s="19" t="str">
        <f t="shared" si="21"/>
        <v>43957 - 3S</v>
      </c>
      <c r="D345" s="45">
        <f>IFERROR((VLOOKUP(C345,'Daily Scrap by Shift'!$A:$D,2,0)),0)</f>
        <v>7333</v>
      </c>
      <c r="E345" s="45">
        <f>IFERROR((VLOOKUP(C345,'Daily Scrap by Shift'!$A:$D,3,0)),0)</f>
        <v>133</v>
      </c>
      <c r="F345" s="45">
        <f>IFERROR((VLOOKUP(C345,'Daily Scrap by Shift'!$A:$D,4,0)),0)</f>
        <v>517.94322999999997</v>
      </c>
      <c r="G345" s="33">
        <v>284</v>
      </c>
      <c r="H345" s="3">
        <f t="shared" si="22"/>
        <v>0.82374376760563373</v>
      </c>
    </row>
    <row r="346" spans="1:8" x14ac:dyDescent="0.25">
      <c r="A346" s="23">
        <v>43957</v>
      </c>
      <c r="B346" s="46" t="s">
        <v>25</v>
      </c>
      <c r="C346" s="19" t="str">
        <f t="shared" si="21"/>
        <v>43957 - 1S</v>
      </c>
      <c r="D346" s="45">
        <f>IFERROR((VLOOKUP(C346,'Daily Scrap by Shift'!$A:$D,2,0)),0)</f>
        <v>26763.599999999999</v>
      </c>
      <c r="E346" s="45">
        <f>IFERROR((VLOOKUP(C346,'Daily Scrap by Shift'!$A:$D,3,0)),0)</f>
        <v>774</v>
      </c>
      <c r="F346" s="45">
        <f>IFERROR((VLOOKUP(C346,'Daily Scrap by Shift'!$A:$D,4,0)),0)</f>
        <v>1723.476486</v>
      </c>
      <c r="G346" s="33">
        <v>821</v>
      </c>
      <c r="H346" s="3">
        <f t="shared" si="22"/>
        <v>1.0992405432399512</v>
      </c>
    </row>
    <row r="347" spans="1:8" x14ac:dyDescent="0.25">
      <c r="A347" s="23">
        <v>43957</v>
      </c>
      <c r="B347" s="46" t="s">
        <v>26</v>
      </c>
      <c r="C347" s="19" t="str">
        <f t="shared" si="21"/>
        <v>43957 - 2S</v>
      </c>
      <c r="D347" s="45">
        <f>IFERROR((VLOOKUP(C347,'Daily Scrap by Shift'!$A:$D,2,0)),0)</f>
        <v>13003</v>
      </c>
      <c r="E347" s="45">
        <f>IFERROR((VLOOKUP(C347,'Daily Scrap by Shift'!$A:$D,3,0)),0)</f>
        <v>203</v>
      </c>
      <c r="F347" s="45">
        <f>IFERROR((VLOOKUP(C347,'Daily Scrap by Shift'!$A:$D,4,0)),0)</f>
        <v>411.51234600000004</v>
      </c>
      <c r="G347" s="33">
        <v>184</v>
      </c>
      <c r="H347" s="3">
        <f t="shared" si="22"/>
        <v>1.236480141304348</v>
      </c>
    </row>
    <row r="348" spans="1:8" x14ac:dyDescent="0.25">
      <c r="A348" s="23">
        <v>43958</v>
      </c>
      <c r="B348" s="46" t="s">
        <v>24</v>
      </c>
      <c r="C348" s="19" t="str">
        <f t="shared" si="21"/>
        <v>43958 - 3S</v>
      </c>
      <c r="D348" s="45">
        <f>IFERROR((VLOOKUP(C348,'Daily Scrap by Shift'!$A:$D,2,0)),0)</f>
        <v>15021.8</v>
      </c>
      <c r="E348" s="45">
        <f>IFERROR((VLOOKUP(C348,'Daily Scrap by Shift'!$A:$D,3,0)),0)</f>
        <v>345</v>
      </c>
      <c r="F348" s="45">
        <f>IFERROR((VLOOKUP(C348,'Daily Scrap by Shift'!$A:$D,4,0)),0)</f>
        <v>731.56806199999994</v>
      </c>
      <c r="G348" s="33">
        <v>589</v>
      </c>
      <c r="H348" s="3">
        <f t="shared" si="22"/>
        <v>0.24205103904923589</v>
      </c>
    </row>
    <row r="349" spans="1:8" x14ac:dyDescent="0.25">
      <c r="A349" s="23">
        <v>43958</v>
      </c>
      <c r="B349" s="46" t="s">
        <v>25</v>
      </c>
      <c r="C349" s="19" t="str">
        <f t="shared" si="21"/>
        <v>43958 - 1S</v>
      </c>
      <c r="D349" s="45">
        <f>IFERROR((VLOOKUP(C349,'Daily Scrap by Shift'!$A:$D,2,0)),0)</f>
        <v>19643</v>
      </c>
      <c r="E349" s="45">
        <f>IFERROR((VLOOKUP(C349,'Daily Scrap by Shift'!$A:$D,3,0)),0)</f>
        <v>443</v>
      </c>
      <c r="F349" s="45">
        <f>IFERROR((VLOOKUP(C349,'Daily Scrap by Shift'!$A:$D,4,0)),0)</f>
        <v>1152.993344</v>
      </c>
      <c r="G349" s="33">
        <v>462</v>
      </c>
      <c r="H349" s="3">
        <f t="shared" si="22"/>
        <v>1.4956565887445887</v>
      </c>
    </row>
    <row r="350" spans="1:8" x14ac:dyDescent="0.25">
      <c r="A350" s="23">
        <v>43958</v>
      </c>
      <c r="B350" s="46" t="s">
        <v>26</v>
      </c>
      <c r="C350" s="19" t="str">
        <f t="shared" si="21"/>
        <v>43958 - 2S</v>
      </c>
      <c r="D350" s="45">
        <f>IFERROR((VLOOKUP(C350,'Daily Scrap by Shift'!$A:$D,2,0)),0)</f>
        <v>9630</v>
      </c>
      <c r="E350" s="45">
        <f>IFERROR((VLOOKUP(C350,'Daily Scrap by Shift'!$A:$D,3,0)),0)</f>
        <v>255</v>
      </c>
      <c r="F350" s="45">
        <f>IFERROR((VLOOKUP(C350,'Daily Scrap by Shift'!$A:$D,4,0)),0)</f>
        <v>660.35876200000007</v>
      </c>
      <c r="G350" s="33">
        <v>323</v>
      </c>
      <c r="H350" s="3">
        <f t="shared" si="22"/>
        <v>1.044454371517028</v>
      </c>
    </row>
    <row r="351" spans="1:8" x14ac:dyDescent="0.25">
      <c r="A351" s="23">
        <v>43959</v>
      </c>
      <c r="B351" s="46" t="s">
        <v>24</v>
      </c>
      <c r="C351" s="19" t="str">
        <f t="shared" si="21"/>
        <v>43959 - 3S</v>
      </c>
      <c r="D351" s="45">
        <f>IFERROR((VLOOKUP(C351,'Daily Scrap by Shift'!$A:$D,2,0)),0)</f>
        <v>6711</v>
      </c>
      <c r="E351" s="45">
        <f>IFERROR((VLOOKUP(C351,'Daily Scrap by Shift'!$A:$D,3,0)),0)</f>
        <v>605</v>
      </c>
      <c r="F351" s="45">
        <f>IFERROR((VLOOKUP(C351,'Daily Scrap by Shift'!$A:$D,4,0)),0)</f>
        <v>1185.6806079999999</v>
      </c>
      <c r="G351" s="33">
        <v>743</v>
      </c>
      <c r="H351" s="3">
        <f t="shared" si="22"/>
        <v>0.59580162584118423</v>
      </c>
    </row>
    <row r="352" spans="1:8" x14ac:dyDescent="0.25">
      <c r="A352" s="23">
        <v>43959</v>
      </c>
      <c r="B352" s="46" t="s">
        <v>25</v>
      </c>
      <c r="C352" s="19" t="str">
        <f t="shared" si="21"/>
        <v>43959 - 1S</v>
      </c>
      <c r="D352" s="45">
        <f>IFERROR((VLOOKUP(C352,'Daily Scrap by Shift'!$A:$D,2,0)),0)</f>
        <v>7408</v>
      </c>
      <c r="E352" s="45">
        <f>IFERROR((VLOOKUP(C352,'Daily Scrap by Shift'!$A:$D,3,0)),0)</f>
        <v>648</v>
      </c>
      <c r="F352" s="45">
        <f>IFERROR((VLOOKUP(C352,'Daily Scrap by Shift'!$A:$D,4,0)),0)</f>
        <v>1268.1605439999998</v>
      </c>
      <c r="G352" s="33">
        <v>577</v>
      </c>
      <c r="H352" s="3">
        <f t="shared" si="22"/>
        <v>1.1978518960138647</v>
      </c>
    </row>
    <row r="353" spans="1:8" x14ac:dyDescent="0.25">
      <c r="A353" s="23">
        <v>43959</v>
      </c>
      <c r="B353" s="46" t="s">
        <v>26</v>
      </c>
      <c r="C353" s="19" t="str">
        <f t="shared" si="21"/>
        <v>43959 - 2S</v>
      </c>
      <c r="D353" s="45">
        <f>IFERROR((VLOOKUP(C353,'Daily Scrap by Shift'!$A:$D,2,0)),0)</f>
        <v>5069</v>
      </c>
      <c r="E353" s="45">
        <f>IFERROR((VLOOKUP(C353,'Daily Scrap by Shift'!$A:$D,3,0)),0)</f>
        <v>69</v>
      </c>
      <c r="F353" s="45">
        <f>IFERROR((VLOOKUP(C353,'Daily Scrap by Shift'!$A:$D,4,0)),0)</f>
        <v>134.60630399999999</v>
      </c>
      <c r="G353" s="33">
        <v>69</v>
      </c>
      <c r="H353" s="3">
        <f t="shared" si="22"/>
        <v>0.95081599999999988</v>
      </c>
    </row>
    <row r="354" spans="1:8" x14ac:dyDescent="0.25">
      <c r="A354" s="23">
        <v>43960</v>
      </c>
      <c r="B354" s="46" t="s">
        <v>25</v>
      </c>
      <c r="C354" s="19" t="str">
        <f t="shared" si="21"/>
        <v>43960 - 1S</v>
      </c>
      <c r="D354" s="45">
        <f>IFERROR((VLOOKUP(C354,'Daily Scrap by Shift'!$A:$D,2,0)),0)</f>
        <v>17047</v>
      </c>
      <c r="E354" s="45">
        <f>IFERROR((VLOOKUP(C354,'Daily Scrap by Shift'!$A:$D,3,0)),0)</f>
        <v>47</v>
      </c>
      <c r="F354" s="45">
        <f>IFERROR((VLOOKUP(C354,'Daily Scrap by Shift'!$A:$D,4,0)),0)</f>
        <v>91.688352000000009</v>
      </c>
      <c r="G354" s="33">
        <v>72</v>
      </c>
      <c r="H354" s="3">
        <f t="shared" si="22"/>
        <v>0.27344933333333343</v>
      </c>
    </row>
    <row r="355" spans="1:8" x14ac:dyDescent="0.25">
      <c r="A355" s="23">
        <v>43961</v>
      </c>
      <c r="B355" s="46" t="s">
        <v>24</v>
      </c>
      <c r="C355" s="19" t="str">
        <f t="shared" si="21"/>
        <v>43961 - 3S</v>
      </c>
      <c r="D355" s="45">
        <f>IFERROR((VLOOKUP(C355,'Daily Scrap by Shift'!$A:$D,2,0)),0)</f>
        <v>15115</v>
      </c>
      <c r="E355" s="45">
        <f>IFERROR((VLOOKUP(C355,'Daily Scrap by Shift'!$A:$D,3,0)),0)</f>
        <v>115</v>
      </c>
      <c r="F355" s="45">
        <f>IFERROR((VLOOKUP(C355,'Daily Scrap by Shift'!$A:$D,4,0)),0)</f>
        <v>224.34384</v>
      </c>
      <c r="G355" s="33">
        <v>213</v>
      </c>
      <c r="H355" s="3">
        <f t="shared" si="22"/>
        <v>5.3257464788732396E-2</v>
      </c>
    </row>
    <row r="356" spans="1:8" x14ac:dyDescent="0.25">
      <c r="A356" s="23">
        <v>43962</v>
      </c>
      <c r="B356" s="46" t="s">
        <v>24</v>
      </c>
      <c r="C356" s="19" t="str">
        <f t="shared" si="21"/>
        <v>43962 - 3S</v>
      </c>
      <c r="D356" s="45">
        <f>IFERROR((VLOOKUP(C356,'Daily Scrap by Shift'!$A:$D,2,0)),0)</f>
        <v>1715.84</v>
      </c>
      <c r="E356" s="45">
        <f>IFERROR((VLOOKUP(C356,'Daily Scrap by Shift'!$A:$D,3,0)),0)</f>
        <v>428</v>
      </c>
      <c r="F356" s="45">
        <f>IFERROR((VLOOKUP(C356,'Daily Scrap by Shift'!$A:$D,4,0)),0)</f>
        <v>836.75849600000004</v>
      </c>
      <c r="G356" s="33">
        <v>553</v>
      </c>
      <c r="H356" s="3">
        <f t="shared" si="22"/>
        <v>0.51312567088607597</v>
      </c>
    </row>
    <row r="357" spans="1:8" x14ac:dyDescent="0.25">
      <c r="A357" s="23">
        <v>43962</v>
      </c>
      <c r="B357" s="46" t="s">
        <v>25</v>
      </c>
      <c r="C357" s="19" t="str">
        <f t="shared" si="21"/>
        <v>43962 - 1S</v>
      </c>
      <c r="D357" s="45">
        <f>IFERROR((VLOOKUP(C357,'Daily Scrap by Shift'!$A:$D,2,0)),0)</f>
        <v>6809.84</v>
      </c>
      <c r="E357" s="45">
        <f>IFERROR((VLOOKUP(C357,'Daily Scrap by Shift'!$A:$D,3,0)),0)</f>
        <v>1082</v>
      </c>
      <c r="F357" s="45">
        <f>IFERROR((VLOOKUP(C357,'Daily Scrap by Shift'!$A:$D,4,0)),0)</f>
        <v>2119.268928</v>
      </c>
      <c r="G357" s="33">
        <v>1107</v>
      </c>
      <c r="H357" s="3">
        <f t="shared" si="22"/>
        <v>0.9144254092140921</v>
      </c>
    </row>
    <row r="358" spans="1:8" x14ac:dyDescent="0.25">
      <c r="A358" s="23">
        <v>43962</v>
      </c>
      <c r="B358" s="46" t="s">
        <v>26</v>
      </c>
      <c r="C358" s="19" t="str">
        <f t="shared" si="21"/>
        <v>43962 - 2S</v>
      </c>
      <c r="D358" s="45">
        <f>IFERROR((VLOOKUP(C358,'Daily Scrap by Shift'!$A:$D,2,0)),0)</f>
        <v>10042.52</v>
      </c>
      <c r="E358" s="45">
        <f>IFERROR((VLOOKUP(C358,'Daily Scrap by Shift'!$A:$D,3,0)),0)</f>
        <v>619</v>
      </c>
      <c r="F358" s="45">
        <f>IFERROR((VLOOKUP(C358,'Daily Scrap by Shift'!$A:$D,4,0)),0)</f>
        <v>1328.2633840000001</v>
      </c>
      <c r="G358" s="33">
        <v>545</v>
      </c>
      <c r="H358" s="3">
        <f t="shared" si="22"/>
        <v>1.4371805211009177</v>
      </c>
    </row>
    <row r="359" spans="1:8" x14ac:dyDescent="0.25">
      <c r="A359" s="23">
        <v>43963</v>
      </c>
      <c r="B359" s="46" t="s">
        <v>24</v>
      </c>
      <c r="C359" s="19" t="str">
        <f t="shared" si="21"/>
        <v>43963 - 3S</v>
      </c>
      <c r="D359" s="45">
        <f>IFERROR((VLOOKUP(C359,'Daily Scrap by Shift'!$A:$D,2,0)),0)</f>
        <v>10647.84</v>
      </c>
      <c r="E359" s="45">
        <f>IFERROR((VLOOKUP(C359,'Daily Scrap by Shift'!$A:$D,3,0)),0)</f>
        <v>600</v>
      </c>
      <c r="F359" s="45">
        <f>IFERROR((VLOOKUP(C359,'Daily Scrap by Shift'!$A:$D,4,0)),0)</f>
        <v>1369.394264</v>
      </c>
      <c r="G359" s="33">
        <v>687</v>
      </c>
      <c r="H359" s="3">
        <f t="shared" si="22"/>
        <v>0.99329587190684132</v>
      </c>
    </row>
    <row r="360" spans="1:8" x14ac:dyDescent="0.25">
      <c r="A360" s="23">
        <v>43963</v>
      </c>
      <c r="B360" s="46" t="s">
        <v>25</v>
      </c>
      <c r="C360" s="19" t="str">
        <f t="shared" si="21"/>
        <v>43963 - 1S</v>
      </c>
      <c r="D360" s="45">
        <f>IFERROR((VLOOKUP(C360,'Daily Scrap by Shift'!$A:$D,2,0)),0)</f>
        <v>23643.84</v>
      </c>
      <c r="E360" s="45">
        <f>IFERROR((VLOOKUP(C360,'Daily Scrap by Shift'!$A:$D,3,0)),0)</f>
        <v>756</v>
      </c>
      <c r="F360" s="45">
        <f>IFERROR((VLOOKUP(C360,'Daily Scrap by Shift'!$A:$D,4,0)),0)</f>
        <v>1706.6622460000001</v>
      </c>
      <c r="G360" s="33">
        <v>766</v>
      </c>
      <c r="H360" s="3">
        <f t="shared" si="22"/>
        <v>1.2280185979112272</v>
      </c>
    </row>
    <row r="361" spans="1:8" x14ac:dyDescent="0.25">
      <c r="A361" s="23">
        <v>43963</v>
      </c>
      <c r="B361" s="46" t="s">
        <v>26</v>
      </c>
      <c r="C361" s="19" t="str">
        <f t="shared" si="21"/>
        <v>43963 - 2S</v>
      </c>
      <c r="D361" s="45">
        <f>IFERROR((VLOOKUP(C361,'Daily Scrap by Shift'!$A:$D,2,0)),0)</f>
        <v>11159.84</v>
      </c>
      <c r="E361" s="45">
        <f>IFERROR((VLOOKUP(C361,'Daily Scrap by Shift'!$A:$D,3,0)),0)</f>
        <v>832</v>
      </c>
      <c r="F361" s="45">
        <f>IFERROR((VLOOKUP(C361,'Daily Scrap by Shift'!$A:$D,4,0)),0)</f>
        <v>1997.5227999999997</v>
      </c>
      <c r="G361" s="33">
        <v>817</v>
      </c>
      <c r="H361" s="3">
        <f t="shared" si="22"/>
        <v>1.4449483476132188</v>
      </c>
    </row>
    <row r="362" spans="1:8" x14ac:dyDescent="0.25">
      <c r="A362" s="23">
        <v>43964</v>
      </c>
      <c r="B362" s="46" t="s">
        <v>24</v>
      </c>
      <c r="C362" s="19" t="str">
        <f t="shared" si="21"/>
        <v>43964 - 3S</v>
      </c>
      <c r="D362" s="45">
        <f>IFERROR((VLOOKUP(C362,'Daily Scrap by Shift'!$A:$D,2,0)),0)</f>
        <v>11862</v>
      </c>
      <c r="E362" s="45">
        <f>IFERROR((VLOOKUP(C362,'Daily Scrap by Shift'!$A:$D,3,0)),0)</f>
        <v>502</v>
      </c>
      <c r="F362" s="45">
        <f>IFERROR((VLOOKUP(C362,'Daily Scrap by Shift'!$A:$D,4,0)),0)</f>
        <v>1151.782506</v>
      </c>
      <c r="G362" s="33">
        <v>661</v>
      </c>
      <c r="H362" s="3">
        <f t="shared" si="22"/>
        <v>0.74248488048411498</v>
      </c>
    </row>
    <row r="363" spans="1:8" x14ac:dyDescent="0.25">
      <c r="A363" s="23">
        <v>43964</v>
      </c>
      <c r="B363" s="46" t="s">
        <v>25</v>
      </c>
      <c r="C363" s="19" t="str">
        <f t="shared" si="21"/>
        <v>43964 - 1S</v>
      </c>
      <c r="D363" s="45">
        <f>IFERROR((VLOOKUP(C363,'Daily Scrap by Shift'!$A:$D,2,0)),0)</f>
        <v>11618.68</v>
      </c>
      <c r="E363" s="45">
        <f>IFERROR((VLOOKUP(C363,'Daily Scrap by Shift'!$A:$D,3,0)),0)</f>
        <v>323</v>
      </c>
      <c r="F363" s="45">
        <f>IFERROR((VLOOKUP(C363,'Daily Scrap by Shift'!$A:$D,4,0)),0)</f>
        <v>837.76786799999991</v>
      </c>
      <c r="G363" s="33">
        <v>388</v>
      </c>
      <c r="H363" s="3">
        <f t="shared" si="22"/>
        <v>1.1591955360824739</v>
      </c>
    </row>
    <row r="364" spans="1:8" x14ac:dyDescent="0.25">
      <c r="A364" s="23">
        <v>43964</v>
      </c>
      <c r="B364" s="46" t="s">
        <v>26</v>
      </c>
      <c r="C364" s="19" t="str">
        <f t="shared" si="21"/>
        <v>43964 - 2S</v>
      </c>
      <c r="D364" s="45">
        <f>IFERROR((VLOOKUP(C364,'Daily Scrap by Shift'!$A:$D,2,0)),0)</f>
        <v>20017.68</v>
      </c>
      <c r="E364" s="45">
        <f>IFERROR((VLOOKUP(C364,'Daily Scrap by Shift'!$A:$D,3,0)),0)</f>
        <v>402</v>
      </c>
      <c r="F364" s="45">
        <f>IFERROR((VLOOKUP(C364,'Daily Scrap by Shift'!$A:$D,4,0)),0)</f>
        <v>1368.4238600000001</v>
      </c>
      <c r="G364" s="33">
        <v>576</v>
      </c>
      <c r="H364" s="3">
        <f t="shared" si="22"/>
        <v>1.3757358680555558</v>
      </c>
    </row>
    <row r="365" spans="1:8" x14ac:dyDescent="0.25">
      <c r="A365" s="23">
        <v>43965</v>
      </c>
      <c r="B365" s="46" t="s">
        <v>24</v>
      </c>
      <c r="C365" s="19" t="str">
        <f t="shared" si="21"/>
        <v>43965 - 3S</v>
      </c>
      <c r="D365" s="45">
        <f>IFERROR((VLOOKUP(C365,'Daily Scrap by Shift'!$A:$D,2,0)),0)</f>
        <v>17124.52</v>
      </c>
      <c r="E365" s="45">
        <f>IFERROR((VLOOKUP(C365,'Daily Scrap by Shift'!$A:$D,3,0)),0)</f>
        <v>341</v>
      </c>
      <c r="F365" s="45">
        <f>IFERROR((VLOOKUP(C365,'Daily Scrap by Shift'!$A:$D,4,0)),0)</f>
        <v>712.45421799999997</v>
      </c>
      <c r="G365" s="33">
        <v>460</v>
      </c>
      <c r="H365" s="3">
        <f t="shared" si="22"/>
        <v>0.54881351739130424</v>
      </c>
    </row>
    <row r="366" spans="1:8" x14ac:dyDescent="0.25">
      <c r="A366" s="23">
        <v>43965</v>
      </c>
      <c r="B366" s="46" t="s">
        <v>25</v>
      </c>
      <c r="C366" s="19" t="str">
        <f t="shared" si="21"/>
        <v>43965 - 1S</v>
      </c>
      <c r="D366" s="45">
        <f>IFERROR((VLOOKUP(C366,'Daily Scrap by Shift'!$A:$D,2,0)),0)</f>
        <v>19169.52</v>
      </c>
      <c r="E366" s="45">
        <f>IFERROR((VLOOKUP(C366,'Daily Scrap by Shift'!$A:$D,3,0)),0)</f>
        <v>666</v>
      </c>
      <c r="F366" s="45">
        <f>IFERROR((VLOOKUP(C366,'Daily Scrap by Shift'!$A:$D,4,0)),0)</f>
        <v>1498.8806140000002</v>
      </c>
      <c r="G366" s="33">
        <v>659</v>
      </c>
      <c r="H366" s="3">
        <f t="shared" si="22"/>
        <v>1.2744774112291353</v>
      </c>
    </row>
    <row r="367" spans="1:8" x14ac:dyDescent="0.25">
      <c r="A367" s="23">
        <v>43965</v>
      </c>
      <c r="B367" s="46" t="s">
        <v>26</v>
      </c>
      <c r="C367" s="19" t="str">
        <f t="shared" si="21"/>
        <v>43965 - 2S</v>
      </c>
      <c r="D367" s="45">
        <f>IFERROR((VLOOKUP(C367,'Daily Scrap by Shift'!$A:$D,2,0)),0)</f>
        <v>16684.68</v>
      </c>
      <c r="E367" s="45">
        <f>IFERROR((VLOOKUP(C367,'Daily Scrap by Shift'!$A:$D,3,0)),0)</f>
        <v>669</v>
      </c>
      <c r="F367" s="45">
        <f>IFERROR((VLOOKUP(C367,'Daily Scrap by Shift'!$A:$D,4,0)),0)</f>
        <v>1816.4049399999999</v>
      </c>
      <c r="G367" s="33">
        <v>593</v>
      </c>
      <c r="H367" s="3">
        <f t="shared" si="22"/>
        <v>2.0630774704890387</v>
      </c>
    </row>
    <row r="368" spans="1:8" x14ac:dyDescent="0.25">
      <c r="A368" s="23">
        <v>43966</v>
      </c>
      <c r="B368" s="46" t="s">
        <v>24</v>
      </c>
      <c r="C368" s="19" t="str">
        <f t="shared" si="21"/>
        <v>43966 - 3S</v>
      </c>
      <c r="D368" s="45">
        <f>IFERROR((VLOOKUP(C368,'Daily Scrap by Shift'!$A:$D,2,0)),0)</f>
        <v>4282.5200000000004</v>
      </c>
      <c r="E368" s="45">
        <f>IFERROR((VLOOKUP(C368,'Daily Scrap by Shift'!$A:$D,3,0)),0)</f>
        <v>419</v>
      </c>
      <c r="F368" s="45">
        <f>IFERROR((VLOOKUP(C368,'Daily Scrap by Shift'!$A:$D,4,0)),0)</f>
        <v>821.24</v>
      </c>
      <c r="G368" s="33">
        <v>730</v>
      </c>
      <c r="H368" s="3">
        <f t="shared" si="22"/>
        <v>0.12498630136986302</v>
      </c>
    </row>
    <row r="369" spans="1:8" x14ac:dyDescent="0.25">
      <c r="A369" s="23">
        <v>43966</v>
      </c>
      <c r="B369" s="46" t="s">
        <v>25</v>
      </c>
      <c r="C369" s="19" t="str">
        <f t="shared" si="21"/>
        <v>43966 - 1S</v>
      </c>
      <c r="D369" s="45">
        <f>IFERROR((VLOOKUP(C369,'Daily Scrap by Shift'!$A:$D,2,0)),0)</f>
        <v>11238.68</v>
      </c>
      <c r="E369" s="45">
        <f>IFERROR((VLOOKUP(C369,'Daily Scrap by Shift'!$A:$D,3,0)),0)</f>
        <v>823</v>
      </c>
      <c r="F369" s="45">
        <f>IFERROR((VLOOKUP(C369,'Daily Scrap by Shift'!$A:$D,4,0)),0)</f>
        <v>1551.855184</v>
      </c>
      <c r="G369" s="33">
        <v>753</v>
      </c>
      <c r="H369" s="3">
        <f t="shared" si="22"/>
        <v>1.0608966586985391</v>
      </c>
    </row>
    <row r="370" spans="1:8" x14ac:dyDescent="0.25">
      <c r="A370" s="23">
        <v>43966</v>
      </c>
      <c r="B370" s="46" t="s">
        <v>26</v>
      </c>
      <c r="C370" s="19" t="str">
        <f t="shared" si="21"/>
        <v>43966 - 2S</v>
      </c>
      <c r="D370" s="45">
        <f>IFERROR((VLOOKUP(C370,'Daily Scrap by Shift'!$A:$D,2,0)),0)</f>
        <v>13123</v>
      </c>
      <c r="E370" s="45">
        <f>IFERROR((VLOOKUP(C370,'Daily Scrap by Shift'!$A:$D,3,0)),0)</f>
        <v>123</v>
      </c>
      <c r="F370" s="45">
        <f>IFERROR((VLOOKUP(C370,'Daily Scrap by Shift'!$A:$D,4,0)),0)</f>
        <v>239.95036800000003</v>
      </c>
      <c r="G370" s="33">
        <v>126</v>
      </c>
      <c r="H370" s="3">
        <f t="shared" si="22"/>
        <v>0.90436800000000017</v>
      </c>
    </row>
    <row r="371" spans="1:8" x14ac:dyDescent="0.25">
      <c r="A371" s="23">
        <v>43967</v>
      </c>
      <c r="B371" s="46" t="s">
        <v>26</v>
      </c>
      <c r="C371" s="19" t="str">
        <f t="shared" si="21"/>
        <v>43967 - 2S</v>
      </c>
      <c r="D371" s="45">
        <f>IFERROR((VLOOKUP(C371,'Daily Scrap by Shift'!$A:$D,2,0)),0)</f>
        <v>17079</v>
      </c>
      <c r="E371" s="45">
        <f>IFERROR((VLOOKUP(C371,'Daily Scrap by Shift'!$A:$D,3,0)),0)</f>
        <v>79</v>
      </c>
      <c r="F371" s="45">
        <f>IFERROR((VLOOKUP(C371,'Daily Scrap by Shift'!$A:$D,4,0)),0)</f>
        <v>154.114464</v>
      </c>
      <c r="G371" s="33">
        <v>155</v>
      </c>
      <c r="H371" s="3">
        <f t="shared" si="22"/>
        <v>-5.71313548387098E-3</v>
      </c>
    </row>
    <row r="372" spans="1:8" x14ac:dyDescent="0.25">
      <c r="A372" s="23">
        <v>43968</v>
      </c>
      <c r="B372" s="46" t="s">
        <v>26</v>
      </c>
      <c r="C372" s="19" t="str">
        <f t="shared" si="21"/>
        <v>43968 - 2S</v>
      </c>
      <c r="D372" s="45">
        <f>IFERROR((VLOOKUP(C372,'Daily Scrap by Shift'!$A:$D,2,0)),0)</f>
        <v>0</v>
      </c>
      <c r="E372" s="45">
        <f>IFERROR((VLOOKUP(C372,'Daily Scrap by Shift'!$A:$D,3,0)),0)</f>
        <v>0</v>
      </c>
      <c r="F372" s="45">
        <f>IFERROR((VLOOKUP(C372,'Daily Scrap by Shift'!$A:$D,4,0)),0)</f>
        <v>0</v>
      </c>
      <c r="G372" s="33">
        <v>594</v>
      </c>
      <c r="H372" s="3">
        <f t="shared" si="22"/>
        <v>-1</v>
      </c>
    </row>
    <row r="373" spans="1:8" x14ac:dyDescent="0.25">
      <c r="A373" s="23">
        <v>43969</v>
      </c>
      <c r="B373" s="46" t="s">
        <v>25</v>
      </c>
      <c r="C373" s="19" t="str">
        <f t="shared" si="21"/>
        <v>43969 - 1S</v>
      </c>
      <c r="D373" s="45">
        <f>IFERROR((VLOOKUP(C373,'Daily Scrap by Shift'!$A:$D,2,0)),0)</f>
        <v>12271</v>
      </c>
      <c r="E373" s="45">
        <f>IFERROR((VLOOKUP(C373,'Daily Scrap by Shift'!$A:$D,3,0)),0)</f>
        <v>171</v>
      </c>
      <c r="F373" s="45">
        <f>IFERROR((VLOOKUP(C373,'Daily Scrap by Shift'!$A:$D,4,0)),0)</f>
        <v>424.99997000000002</v>
      </c>
      <c r="G373" s="33">
        <v>215</v>
      </c>
      <c r="H373" s="3">
        <f t="shared" si="22"/>
        <v>0.97674404651162805</v>
      </c>
    </row>
    <row r="374" spans="1:8" x14ac:dyDescent="0.25">
      <c r="A374" s="23">
        <v>43969</v>
      </c>
      <c r="B374" s="46" t="s">
        <v>26</v>
      </c>
      <c r="C374" s="19" t="str">
        <f t="shared" si="21"/>
        <v>43969 - 2S</v>
      </c>
      <c r="D374" s="45">
        <f>IFERROR((VLOOKUP(C374,'Daily Scrap by Shift'!$A:$D,2,0)),0)</f>
        <v>12899.84</v>
      </c>
      <c r="E374" s="45">
        <f>IFERROR((VLOOKUP(C374,'Daily Scrap by Shift'!$A:$D,3,0)),0)</f>
        <v>532</v>
      </c>
      <c r="F374" s="45">
        <f>IFERROR((VLOOKUP(C374,'Daily Scrap by Shift'!$A:$D,4,0)),0)</f>
        <v>1152.6725979999999</v>
      </c>
      <c r="G374" s="33">
        <v>739</v>
      </c>
      <c r="H374" s="3">
        <f t="shared" si="22"/>
        <v>0.55977347496617036</v>
      </c>
    </row>
    <row r="375" spans="1:8" x14ac:dyDescent="0.25">
      <c r="A375" s="23">
        <v>43970</v>
      </c>
      <c r="B375" s="46" t="s">
        <v>24</v>
      </c>
      <c r="C375" s="19" t="str">
        <f t="shared" si="21"/>
        <v>43970 - 3S</v>
      </c>
      <c r="D375" s="45">
        <f>IFERROR((VLOOKUP(C375,'Daily Scrap by Shift'!$A:$D,2,0)),0)</f>
        <v>8185.2</v>
      </c>
      <c r="E375" s="45">
        <f>IFERROR((VLOOKUP(C375,'Daily Scrap by Shift'!$A:$D,3,0)),0)</f>
        <v>546</v>
      </c>
      <c r="F375" s="45">
        <f>IFERROR((VLOOKUP(C375,'Daily Scrap by Shift'!$A:$D,4,0)),0)</f>
        <v>1135.41274</v>
      </c>
      <c r="G375" s="33">
        <v>637</v>
      </c>
      <c r="H375" s="3">
        <f t="shared" si="22"/>
        <v>0.78243758241758243</v>
      </c>
    </row>
    <row r="376" spans="1:8" x14ac:dyDescent="0.25">
      <c r="A376" s="23">
        <v>43970</v>
      </c>
      <c r="B376" s="46" t="s">
        <v>25</v>
      </c>
      <c r="C376" s="19" t="str">
        <f t="shared" si="21"/>
        <v>43970 - 1S</v>
      </c>
      <c r="D376" s="45">
        <f>IFERROR((VLOOKUP(C376,'Daily Scrap by Shift'!$A:$D,2,0)),0)</f>
        <v>13892.52</v>
      </c>
      <c r="E376" s="45">
        <f>IFERROR((VLOOKUP(C376,'Daily Scrap by Shift'!$A:$D,3,0)),0)</f>
        <v>389</v>
      </c>
      <c r="F376" s="45">
        <f>IFERROR((VLOOKUP(C376,'Daily Scrap by Shift'!$A:$D,4,0)),0)</f>
        <v>967.25644399999999</v>
      </c>
      <c r="G376" s="33">
        <v>380</v>
      </c>
      <c r="H376" s="3">
        <f t="shared" si="22"/>
        <v>1.5454116947368421</v>
      </c>
    </row>
    <row r="377" spans="1:8" x14ac:dyDescent="0.25">
      <c r="A377" s="23">
        <v>43970</v>
      </c>
      <c r="B377" s="46" t="s">
        <v>26</v>
      </c>
      <c r="C377" s="19" t="str">
        <f t="shared" si="21"/>
        <v>43970 - 2S</v>
      </c>
      <c r="D377" s="45">
        <f>IFERROR((VLOOKUP(C377,'Daily Scrap by Shift'!$A:$D,2,0)),0)</f>
        <v>7708.52</v>
      </c>
      <c r="E377" s="45">
        <f>IFERROR((VLOOKUP(C377,'Daily Scrap by Shift'!$A:$D,3,0)),0)</f>
        <v>405</v>
      </c>
      <c r="F377" s="45">
        <f>IFERROR((VLOOKUP(C377,'Daily Scrap by Shift'!$A:$D,4,0)),0)</f>
        <v>1070.40633</v>
      </c>
      <c r="G377" s="33">
        <v>523</v>
      </c>
      <c r="H377" s="3">
        <f t="shared" si="22"/>
        <v>1.0466660229445508</v>
      </c>
    </row>
    <row r="378" spans="1:8" x14ac:dyDescent="0.25">
      <c r="A378" s="23">
        <v>43971</v>
      </c>
      <c r="B378" s="46" t="s">
        <v>24</v>
      </c>
      <c r="C378" s="19" t="str">
        <f t="shared" si="21"/>
        <v>43971 - 3S</v>
      </c>
      <c r="D378" s="45">
        <f>IFERROR((VLOOKUP(C378,'Daily Scrap by Shift'!$A:$D,2,0)),0)</f>
        <v>8290.36</v>
      </c>
      <c r="E378" s="45">
        <f>IFERROR((VLOOKUP(C378,'Daily Scrap by Shift'!$A:$D,3,0)),0)</f>
        <v>419</v>
      </c>
      <c r="F378" s="45">
        <f>IFERROR((VLOOKUP(C378,'Daily Scrap by Shift'!$A:$D,4,0)),0)</f>
        <v>942.45928000000004</v>
      </c>
      <c r="G378" s="33">
        <v>543</v>
      </c>
      <c r="H378" s="3">
        <f t="shared" si="22"/>
        <v>0.73565244935543284</v>
      </c>
    </row>
    <row r="379" spans="1:8" x14ac:dyDescent="0.25">
      <c r="A379" s="23">
        <v>43971</v>
      </c>
      <c r="B379" s="46" t="s">
        <v>25</v>
      </c>
      <c r="C379" s="19" t="str">
        <f t="shared" si="21"/>
        <v>43971 - 1S</v>
      </c>
      <c r="D379" s="45">
        <f>IFERROR((VLOOKUP(C379,'Daily Scrap by Shift'!$A:$D,2,0)),0)</f>
        <v>16417.52</v>
      </c>
      <c r="E379" s="45">
        <f>IFERROR((VLOOKUP(C379,'Daily Scrap by Shift'!$A:$D,3,0)),0)</f>
        <v>314</v>
      </c>
      <c r="F379" s="45">
        <f>IFERROR((VLOOKUP(C379,'Daily Scrap by Shift'!$A:$D,4,0)),0)</f>
        <v>628.6403620000001</v>
      </c>
      <c r="G379" s="33">
        <v>310</v>
      </c>
      <c r="H379" s="3">
        <f t="shared" si="22"/>
        <v>1.0278721354838714</v>
      </c>
    </row>
    <row r="380" spans="1:8" x14ac:dyDescent="0.25">
      <c r="A380" s="23">
        <v>43971</v>
      </c>
      <c r="B380" s="46" t="s">
        <v>26</v>
      </c>
      <c r="C380" s="19" t="str">
        <f t="shared" si="21"/>
        <v>43971 - 2S</v>
      </c>
      <c r="D380" s="45">
        <f>IFERROR((VLOOKUP(C380,'Daily Scrap by Shift'!$A:$D,2,0)),0)</f>
        <v>12679</v>
      </c>
      <c r="E380" s="45">
        <f>IFERROR((VLOOKUP(C380,'Daily Scrap by Shift'!$A:$D,3,0)),0)</f>
        <v>159</v>
      </c>
      <c r="F380" s="45">
        <f>IFERROR((VLOOKUP(C380,'Daily Scrap by Shift'!$A:$D,4,0)),0)</f>
        <v>345.132364</v>
      </c>
      <c r="G380" s="33">
        <v>400</v>
      </c>
      <c r="H380" s="3">
        <f t="shared" si="22"/>
        <v>-0.13716909000000002</v>
      </c>
    </row>
    <row r="381" spans="1:8" x14ac:dyDescent="0.25">
      <c r="A381" s="23">
        <v>43972</v>
      </c>
      <c r="B381" s="46" t="s">
        <v>24</v>
      </c>
      <c r="C381" s="19" t="str">
        <f t="shared" si="21"/>
        <v>43972 - 3S</v>
      </c>
      <c r="D381" s="45">
        <f>IFERROR((VLOOKUP(C381,'Daily Scrap by Shift'!$A:$D,2,0)),0)</f>
        <v>14478</v>
      </c>
      <c r="E381" s="45">
        <f>IFERROR((VLOOKUP(C381,'Daily Scrap by Shift'!$A:$D,3,0)),0)</f>
        <v>238</v>
      </c>
      <c r="F381" s="45">
        <f>IFERROR((VLOOKUP(C381,'Daily Scrap by Shift'!$A:$D,4,0)),0)</f>
        <v>631.13444000000004</v>
      </c>
      <c r="G381" s="33">
        <v>354</v>
      </c>
      <c r="H381" s="3">
        <f t="shared" si="22"/>
        <v>0.78286564971751427</v>
      </c>
    </row>
    <row r="382" spans="1:8" x14ac:dyDescent="0.25">
      <c r="A382" s="23">
        <v>43972</v>
      </c>
      <c r="B382" s="46" t="s">
        <v>25</v>
      </c>
      <c r="C382" s="19" t="str">
        <f t="shared" si="21"/>
        <v>43972 - 1S</v>
      </c>
      <c r="D382" s="45">
        <f>IFERROR((VLOOKUP(C382,'Daily Scrap by Shift'!$A:$D,2,0)),0)</f>
        <v>17702</v>
      </c>
      <c r="E382" s="45">
        <f>IFERROR((VLOOKUP(C382,'Daily Scrap by Shift'!$A:$D,3,0)),0)</f>
        <v>302</v>
      </c>
      <c r="F382" s="45">
        <f>IFERROR((VLOOKUP(C382,'Daily Scrap by Shift'!$A:$D,4,0)),0)</f>
        <v>779.20613400000002</v>
      </c>
      <c r="G382" s="33">
        <v>0</v>
      </c>
      <c r="H382" s="3" t="e">
        <f t="shared" si="22"/>
        <v>#DIV/0!</v>
      </c>
    </row>
    <row r="383" spans="1:8" x14ac:dyDescent="0.25">
      <c r="A383" s="23">
        <v>43972</v>
      </c>
      <c r="B383" s="46" t="s">
        <v>26</v>
      </c>
      <c r="C383" s="19" t="str">
        <f t="shared" si="21"/>
        <v>43972 - 2S</v>
      </c>
      <c r="D383" s="45">
        <f>IFERROR((VLOOKUP(C383,'Daily Scrap by Shift'!$A:$D,2,0)),0)</f>
        <v>11947</v>
      </c>
      <c r="E383" s="45">
        <f>IFERROR((VLOOKUP(C383,'Daily Scrap by Shift'!$A:$D,3,0)),0)</f>
        <v>427</v>
      </c>
      <c r="F383" s="45">
        <f>IFERROR((VLOOKUP(C383,'Daily Scrap by Shift'!$A:$D,4,0)),0)</f>
        <v>1456.05385</v>
      </c>
      <c r="G383" s="33">
        <v>768</v>
      </c>
      <c r="H383" s="3">
        <f t="shared" si="22"/>
        <v>0.89590345052083331</v>
      </c>
    </row>
    <row r="384" spans="1:8" x14ac:dyDescent="0.25">
      <c r="A384" s="23">
        <v>43973</v>
      </c>
      <c r="B384" s="46" t="s">
        <v>24</v>
      </c>
      <c r="C384" s="19" t="str">
        <f t="shared" si="21"/>
        <v>43973 - 3S</v>
      </c>
      <c r="D384" s="45">
        <f>IFERROR((VLOOKUP(C384,'Daily Scrap by Shift'!$A:$D,2,0)),0)</f>
        <v>9994</v>
      </c>
      <c r="E384" s="45">
        <f>IFERROR((VLOOKUP(C384,'Daily Scrap by Shift'!$A:$D,3,0)),0)</f>
        <v>274</v>
      </c>
      <c r="F384" s="45">
        <f>IFERROR((VLOOKUP(C384,'Daily Scrap by Shift'!$A:$D,4,0)),0)</f>
        <v>563.61923400000001</v>
      </c>
      <c r="G384" s="33">
        <v>403</v>
      </c>
      <c r="H384" s="3">
        <f t="shared" si="22"/>
        <v>0.39855889330024813</v>
      </c>
    </row>
    <row r="385" spans="1:8" x14ac:dyDescent="0.25">
      <c r="A385" s="23">
        <v>43973</v>
      </c>
      <c r="B385" s="46" t="s">
        <v>25</v>
      </c>
      <c r="C385" s="19" t="str">
        <f t="shared" si="21"/>
        <v>43973 - 1S</v>
      </c>
      <c r="D385" s="45">
        <f>IFERROR((VLOOKUP(C385,'Daily Scrap by Shift'!$A:$D,2,0)),0)</f>
        <v>15819</v>
      </c>
      <c r="E385" s="45">
        <f>IFERROR((VLOOKUP(C385,'Daily Scrap by Shift'!$A:$D,3,0)),0)</f>
        <v>179</v>
      </c>
      <c r="F385" s="45">
        <f>IFERROR((VLOOKUP(C385,'Daily Scrap by Shift'!$A:$D,4,0)),0)</f>
        <v>364.71374400000002</v>
      </c>
      <c r="G385" s="33">
        <v>230</v>
      </c>
      <c r="H385" s="3">
        <f t="shared" si="22"/>
        <v>0.58571193043478265</v>
      </c>
    </row>
    <row r="386" spans="1:8" x14ac:dyDescent="0.25">
      <c r="A386" s="23">
        <v>43974</v>
      </c>
      <c r="B386" s="46" t="s">
        <v>24</v>
      </c>
      <c r="C386" s="19" t="str">
        <f t="shared" si="21"/>
        <v>43974 - 3S</v>
      </c>
      <c r="D386" s="45">
        <f>IFERROR((VLOOKUP(C386,'Daily Scrap by Shift'!$A:$D,2,0)),0)</f>
        <v>20</v>
      </c>
      <c r="E386" s="45">
        <f>IFERROR((VLOOKUP(C386,'Daily Scrap by Shift'!$A:$D,3,0)),0)</f>
        <v>20</v>
      </c>
      <c r="F386" s="45">
        <f>IFERROR((VLOOKUP(C386,'Daily Scrap by Shift'!$A:$D,4,0)),0)</f>
        <v>0</v>
      </c>
      <c r="G386" s="33">
        <v>232</v>
      </c>
      <c r="H386" s="3">
        <f t="shared" si="22"/>
        <v>-1</v>
      </c>
    </row>
    <row r="387" spans="1:8" x14ac:dyDescent="0.25">
      <c r="A387" s="23">
        <v>43975</v>
      </c>
      <c r="B387" s="46" t="s">
        <v>26</v>
      </c>
      <c r="C387" s="19" t="str">
        <f t="shared" si="21"/>
        <v>43975 - 2S</v>
      </c>
      <c r="D387" s="45">
        <f>IFERROR((VLOOKUP(C387,'Daily Scrap by Shift'!$A:$D,2,0)),0)</f>
        <v>7025</v>
      </c>
      <c r="E387" s="45">
        <f>IFERROR((VLOOKUP(C387,'Daily Scrap by Shift'!$A:$D,3,0)),0)</f>
        <v>25</v>
      </c>
      <c r="F387" s="45">
        <f>IFERROR((VLOOKUP(C387,'Daily Scrap by Shift'!$A:$D,4,0)),0)</f>
        <v>48.770400000000002</v>
      </c>
      <c r="G387" s="33">
        <v>214</v>
      </c>
      <c r="H387" s="3">
        <f t="shared" si="22"/>
        <v>-0.77210093457943929</v>
      </c>
    </row>
    <row r="388" spans="1:8" x14ac:dyDescent="0.25">
      <c r="A388" s="23">
        <v>43975</v>
      </c>
      <c r="B388" s="46" t="s">
        <v>24</v>
      </c>
      <c r="C388" s="19" t="str">
        <f t="shared" si="21"/>
        <v>43975 - 3S</v>
      </c>
      <c r="D388" s="45">
        <f>IFERROR((VLOOKUP(C388,'Daily Scrap by Shift'!$A:$D,2,0)),0)</f>
        <v>0</v>
      </c>
      <c r="E388" s="45">
        <f>IFERROR((VLOOKUP(C388,'Daily Scrap by Shift'!$A:$D,3,0)),0)</f>
        <v>0</v>
      </c>
      <c r="F388" s="45">
        <f>IFERROR((VLOOKUP(C388,'Daily Scrap by Shift'!$A:$D,4,0)),0)</f>
        <v>0</v>
      </c>
      <c r="G388" s="33">
        <v>621</v>
      </c>
      <c r="H388" s="3">
        <f t="shared" si="22"/>
        <v>-1</v>
      </c>
    </row>
    <row r="389" spans="1:8" x14ac:dyDescent="0.25">
      <c r="A389" s="23">
        <v>43976</v>
      </c>
      <c r="B389" s="46" t="s">
        <v>25</v>
      </c>
      <c r="C389" s="19" t="str">
        <f t="shared" si="21"/>
        <v>43976 - 1S</v>
      </c>
      <c r="D389" s="45">
        <f>IFERROR((VLOOKUP(C389,'Daily Scrap by Shift'!$A:$D,2,0)),0)</f>
        <v>7474.73</v>
      </c>
      <c r="E389" s="45">
        <f>IFERROR((VLOOKUP(C389,'Daily Scrap by Shift'!$A:$D,3,0)),0)</f>
        <v>564</v>
      </c>
      <c r="F389" s="45">
        <f>IFERROR((VLOOKUP(C389,'Daily Scrap by Shift'!$A:$D,4,0)),0)</f>
        <v>1078.2439200000001</v>
      </c>
      <c r="G389" s="33">
        <v>564</v>
      </c>
      <c r="H389" s="3">
        <f t="shared" si="22"/>
        <v>0.91178000000000026</v>
      </c>
    </row>
    <row r="390" spans="1:8" x14ac:dyDescent="0.25">
      <c r="A390" s="23">
        <v>43976</v>
      </c>
      <c r="B390" s="46" t="s">
        <v>26</v>
      </c>
      <c r="C390" s="19" t="str">
        <f t="shared" ref="C390:C453" si="23">CONCATENATE(A390," - ",B390)</f>
        <v>43976 - 2S</v>
      </c>
      <c r="D390" s="45">
        <f>IFERROR((VLOOKUP(C390,'Daily Scrap by Shift'!$A:$D,2,0)),0)</f>
        <v>17988.900000000001</v>
      </c>
      <c r="E390" s="45">
        <f>IFERROR((VLOOKUP(C390,'Daily Scrap by Shift'!$A:$D,3,0)),0)</f>
        <v>537</v>
      </c>
      <c r="F390" s="45">
        <f>IFERROR((VLOOKUP(C390,'Daily Scrap by Shift'!$A:$D,4,0)),0)</f>
        <v>1027.9921200000001</v>
      </c>
      <c r="G390" s="33">
        <v>587</v>
      </c>
      <c r="H390" s="3">
        <f t="shared" si="22"/>
        <v>0.75126425894378213</v>
      </c>
    </row>
    <row r="391" spans="1:8" x14ac:dyDescent="0.25">
      <c r="A391" s="23">
        <v>43976</v>
      </c>
      <c r="B391" s="46" t="s">
        <v>24</v>
      </c>
      <c r="C391" s="19" t="str">
        <f t="shared" si="23"/>
        <v>43976 - 3S</v>
      </c>
      <c r="D391" s="45">
        <f>IFERROR((VLOOKUP(C391,'Daily Scrap by Shift'!$A:$D,2,0)),0)</f>
        <v>3900.8</v>
      </c>
      <c r="E391" s="45">
        <f>IFERROR((VLOOKUP(C391,'Daily Scrap by Shift'!$A:$D,3,0)),0)</f>
        <v>588</v>
      </c>
      <c r="F391" s="45">
        <f>IFERROR((VLOOKUP(C391,'Daily Scrap by Shift'!$A:$D,4,0)),0)</f>
        <v>1124.5170000000001</v>
      </c>
      <c r="G391" s="33">
        <v>418</v>
      </c>
      <c r="H391" s="3">
        <f t="shared" si="22"/>
        <v>1.6902320574162681</v>
      </c>
    </row>
    <row r="392" spans="1:8" x14ac:dyDescent="0.25">
      <c r="A392" s="23">
        <v>43976</v>
      </c>
      <c r="B392" s="46" t="s">
        <v>25</v>
      </c>
      <c r="C392" s="19" t="str">
        <f t="shared" si="23"/>
        <v>43976 - 1S</v>
      </c>
      <c r="D392" s="45">
        <f>IFERROR((VLOOKUP(C392,'Daily Scrap by Shift'!$A:$D,2,0)),0)</f>
        <v>7474.73</v>
      </c>
      <c r="E392" s="45">
        <f>IFERROR((VLOOKUP(C392,'Daily Scrap by Shift'!$A:$D,3,0)),0)</f>
        <v>564</v>
      </c>
      <c r="F392" s="45">
        <f>IFERROR((VLOOKUP(C392,'Daily Scrap by Shift'!$A:$D,4,0)),0)</f>
        <v>1078.2439200000001</v>
      </c>
      <c r="G392" s="33">
        <v>823</v>
      </c>
      <c r="H392" s="3">
        <f t="shared" si="22"/>
        <v>0.31013842041312284</v>
      </c>
    </row>
    <row r="393" spans="1:8" x14ac:dyDescent="0.25">
      <c r="A393" s="23">
        <v>43976</v>
      </c>
      <c r="B393" s="46" t="s">
        <v>26</v>
      </c>
      <c r="C393" s="19" t="str">
        <f t="shared" si="23"/>
        <v>43976 - 2S</v>
      </c>
      <c r="D393" s="45">
        <f>IFERROR((VLOOKUP(C393,'Daily Scrap by Shift'!$A:$D,2,0)),0)</f>
        <v>17988.900000000001</v>
      </c>
      <c r="E393" s="45">
        <f>IFERROR((VLOOKUP(C393,'Daily Scrap by Shift'!$A:$D,3,0)),0)</f>
        <v>537</v>
      </c>
      <c r="F393" s="45">
        <f>IFERROR((VLOOKUP(C393,'Daily Scrap by Shift'!$A:$D,4,0)),0)</f>
        <v>1027.9921200000001</v>
      </c>
      <c r="G393" s="33">
        <v>669</v>
      </c>
      <c r="H393" s="3">
        <f t="shared" si="22"/>
        <v>0.53661004484304953</v>
      </c>
    </row>
    <row r="394" spans="1:8" x14ac:dyDescent="0.25">
      <c r="A394" s="23">
        <v>43977</v>
      </c>
      <c r="B394" s="46" t="s">
        <v>24</v>
      </c>
      <c r="C394" s="19" t="str">
        <f t="shared" si="23"/>
        <v>43977 - 3S</v>
      </c>
      <c r="D394" s="45">
        <f>IFERROR((VLOOKUP(C394,'Daily Scrap by Shift'!$A:$D,2,0)),0)</f>
        <v>10983.23</v>
      </c>
      <c r="E394" s="45">
        <f>IFERROR((VLOOKUP(C394,'Daily Scrap by Shift'!$A:$D,3,0)),0)</f>
        <v>359</v>
      </c>
      <c r="F394" s="45">
        <f>IFERROR((VLOOKUP(C394,'Daily Scrap by Shift'!$A:$D,4,0)),0)</f>
        <v>687.96853199999998</v>
      </c>
      <c r="G394" s="33">
        <v>586</v>
      </c>
      <c r="H394" s="3">
        <f t="shared" si="22"/>
        <v>0.17400773378839587</v>
      </c>
    </row>
    <row r="395" spans="1:8" x14ac:dyDescent="0.25">
      <c r="A395" s="23">
        <v>43978</v>
      </c>
      <c r="B395" s="46" t="s">
        <v>25</v>
      </c>
      <c r="C395" s="19" t="str">
        <f t="shared" si="23"/>
        <v>43978 - 1S</v>
      </c>
      <c r="D395" s="45">
        <f>IFERROR((VLOOKUP(C395,'Daily Scrap by Shift'!$A:$D,2,0)),0)</f>
        <v>15194.83</v>
      </c>
      <c r="E395" s="45">
        <f>IFERROR((VLOOKUP(C395,'Daily Scrap by Shift'!$A:$D,3,0)),0)</f>
        <v>545</v>
      </c>
      <c r="F395" s="45">
        <f>IFERROR((VLOOKUP(C395,'Daily Scrap by Shift'!$A:$D,4,0)),0)</f>
        <v>1042.466604</v>
      </c>
      <c r="G395" s="33">
        <v>558</v>
      </c>
      <c r="H395" s="3">
        <f t="shared" si="22"/>
        <v>0.86821972043010742</v>
      </c>
    </row>
    <row r="396" spans="1:8" x14ac:dyDescent="0.25">
      <c r="A396" s="23">
        <v>43978</v>
      </c>
      <c r="B396" s="46" t="s">
        <v>26</v>
      </c>
      <c r="C396" s="19" t="str">
        <f t="shared" si="23"/>
        <v>43978 - 2S</v>
      </c>
      <c r="D396" s="45">
        <f>IFERROR((VLOOKUP(C396,'Daily Scrap by Shift'!$A:$D,2,0)),0)</f>
        <v>16592</v>
      </c>
      <c r="E396" s="45">
        <f>IFERROR((VLOOKUP(C396,'Daily Scrap by Shift'!$A:$D,3,0)),0)</f>
        <v>601</v>
      </c>
      <c r="F396" s="45">
        <f>IFERROR((VLOOKUP(C396,'Daily Scrap by Shift'!$A:$D,4,0)),0)</f>
        <v>1149.721464</v>
      </c>
      <c r="G396" s="33">
        <v>507</v>
      </c>
      <c r="H396" s="3">
        <f t="shared" si="22"/>
        <v>1.2676951952662721</v>
      </c>
    </row>
    <row r="397" spans="1:8" x14ac:dyDescent="0.25">
      <c r="A397" s="23">
        <v>43978</v>
      </c>
      <c r="B397" s="46" t="s">
        <v>24</v>
      </c>
      <c r="C397" s="19" t="str">
        <f t="shared" si="23"/>
        <v>43978 - 3S</v>
      </c>
      <c r="D397" s="45">
        <f>IFERROR((VLOOKUP(C397,'Daily Scrap by Shift'!$A:$D,2,0)),0)</f>
        <v>3202.6</v>
      </c>
      <c r="E397" s="45">
        <f>IFERROR((VLOOKUP(C397,'Daily Scrap by Shift'!$A:$D,3,0)),0)</f>
        <v>497</v>
      </c>
      <c r="F397" s="45">
        <f>IFERROR((VLOOKUP(C397,'Daily Scrap by Shift'!$A:$D,4,0)),0)</f>
        <v>950.15466000000004</v>
      </c>
      <c r="G397" s="33">
        <v>846</v>
      </c>
      <c r="H397" s="3">
        <f t="shared" si="22"/>
        <v>0.12311425531914898</v>
      </c>
    </row>
    <row r="398" spans="1:8" x14ac:dyDescent="0.25">
      <c r="A398" s="23">
        <v>43979</v>
      </c>
      <c r="B398" s="46" t="s">
        <v>25</v>
      </c>
      <c r="C398" s="19" t="str">
        <f t="shared" si="23"/>
        <v>43979 - 1S</v>
      </c>
      <c r="D398" s="45">
        <f>IFERROR((VLOOKUP(C398,'Daily Scrap by Shift'!$A:$D,2,0)),0)</f>
        <v>20473.580000000002</v>
      </c>
      <c r="E398" s="45">
        <f>IFERROR((VLOOKUP(C398,'Daily Scrap by Shift'!$A:$D,3,0)),0)</f>
        <v>567</v>
      </c>
      <c r="F398" s="45">
        <f>IFERROR((VLOOKUP(C398,'Daily Scrap by Shift'!$A:$D,4,0)),0)</f>
        <v>1038.604992</v>
      </c>
      <c r="G398" s="33">
        <v>549</v>
      </c>
      <c r="H398" s="3">
        <f t="shared" si="22"/>
        <v>0.8918123715846995</v>
      </c>
    </row>
    <row r="399" spans="1:8" x14ac:dyDescent="0.25">
      <c r="A399" s="23">
        <v>43979</v>
      </c>
      <c r="B399" s="46" t="s">
        <v>26</v>
      </c>
      <c r="C399" s="19" t="str">
        <f t="shared" si="23"/>
        <v>43979 - 2S</v>
      </c>
      <c r="D399" s="45">
        <f>IFERROR((VLOOKUP(C399,'Daily Scrap by Shift'!$A:$D,2,0)),0)</f>
        <v>9914.18</v>
      </c>
      <c r="E399" s="45">
        <f>IFERROR((VLOOKUP(C399,'Daily Scrap by Shift'!$A:$D,3,0)),0)</f>
        <v>382</v>
      </c>
      <c r="F399" s="45">
        <f>IFERROR((VLOOKUP(C399,'Daily Scrap by Shift'!$A:$D,4,0)),0)</f>
        <v>730.29996000000006</v>
      </c>
      <c r="G399" s="33">
        <v>382</v>
      </c>
      <c r="H399" s="3">
        <f t="shared" si="22"/>
        <v>0.91178000000000015</v>
      </c>
    </row>
    <row r="400" spans="1:8" x14ac:dyDescent="0.25">
      <c r="A400" s="23">
        <v>43979</v>
      </c>
      <c r="B400" s="46" t="s">
        <v>24</v>
      </c>
      <c r="C400" s="19" t="str">
        <f t="shared" si="23"/>
        <v>43979 - 3S</v>
      </c>
      <c r="D400" s="45">
        <f>IFERROR((VLOOKUP(C400,'Daily Scrap by Shift'!$A:$D,2,0)),0)</f>
        <v>10738.029999999999</v>
      </c>
      <c r="E400" s="45">
        <f>IFERROR((VLOOKUP(C400,'Daily Scrap by Shift'!$A:$D,3,0)),0)</f>
        <v>601</v>
      </c>
      <c r="F400" s="45">
        <f>IFERROR((VLOOKUP(C400,'Daily Scrap by Shift'!$A:$D,4,0)),0)</f>
        <v>1152.7662720000001</v>
      </c>
      <c r="G400" s="33">
        <v>698</v>
      </c>
      <c r="H400" s="3">
        <f t="shared" si="22"/>
        <v>0.65152761031518636</v>
      </c>
    </row>
    <row r="401" spans="1:8" x14ac:dyDescent="0.25">
      <c r="A401" s="23">
        <v>43980</v>
      </c>
      <c r="B401" s="46" t="s">
        <v>25</v>
      </c>
      <c r="C401" s="19" t="str">
        <f t="shared" si="23"/>
        <v>43980 - 1S</v>
      </c>
      <c r="D401" s="45">
        <f>IFERROR((VLOOKUP(C401,'Daily Scrap by Shift'!$A:$D,2,0)),0)</f>
        <v>1474</v>
      </c>
      <c r="E401" s="45">
        <f>IFERROR((VLOOKUP(C401,'Daily Scrap by Shift'!$A:$D,3,0)),0)</f>
        <v>1474</v>
      </c>
      <c r="F401" s="45">
        <f>IFERROR((VLOOKUP(C401,'Daily Scrap by Shift'!$A:$D,4,0)),0)</f>
        <v>0</v>
      </c>
      <c r="G401" s="33">
        <v>441</v>
      </c>
      <c r="H401" s="3">
        <f t="shared" si="22"/>
        <v>-1</v>
      </c>
    </row>
    <row r="402" spans="1:8" x14ac:dyDescent="0.25">
      <c r="A402" s="23">
        <v>43981</v>
      </c>
      <c r="B402" s="46" t="s">
        <v>26</v>
      </c>
      <c r="C402" s="19" t="str">
        <f t="shared" si="23"/>
        <v>43981 - 2S</v>
      </c>
      <c r="D402" s="45">
        <f>IFERROR((VLOOKUP(C402,'Daily Scrap by Shift'!$A:$D,2,0)),0)</f>
        <v>0</v>
      </c>
      <c r="E402" s="45">
        <f>IFERROR((VLOOKUP(C402,'Daily Scrap by Shift'!$A:$D,3,0)),0)</f>
        <v>0</v>
      </c>
      <c r="F402" s="45">
        <f>IFERROR((VLOOKUP(C402,'Daily Scrap by Shift'!$A:$D,4,0)),0)</f>
        <v>0</v>
      </c>
      <c r="G402" s="33">
        <v>214</v>
      </c>
      <c r="H402" s="3">
        <f t="shared" si="22"/>
        <v>-1</v>
      </c>
    </row>
    <row r="403" spans="1:8" x14ac:dyDescent="0.25">
      <c r="A403" s="23">
        <v>43982</v>
      </c>
      <c r="B403" s="46" t="s">
        <v>24</v>
      </c>
      <c r="C403" s="19" t="str">
        <f t="shared" si="23"/>
        <v>43982 - 3S</v>
      </c>
      <c r="D403" s="45">
        <f>IFERROR((VLOOKUP(C403,'Daily Scrap by Shift'!$A:$D,2,0)),0)</f>
        <v>0</v>
      </c>
      <c r="E403" s="45">
        <f>IFERROR((VLOOKUP(C403,'Daily Scrap by Shift'!$A:$D,3,0)),0)</f>
        <v>0</v>
      </c>
      <c r="F403" s="45">
        <f>IFERROR((VLOOKUP(C403,'Daily Scrap by Shift'!$A:$D,4,0)),0)</f>
        <v>0</v>
      </c>
      <c r="G403" s="33">
        <v>166</v>
      </c>
      <c r="H403" s="3">
        <f t="shared" si="22"/>
        <v>-1</v>
      </c>
    </row>
    <row r="404" spans="1:8" x14ac:dyDescent="0.25">
      <c r="A404" s="23">
        <v>43983</v>
      </c>
      <c r="B404" s="46" t="s">
        <v>25</v>
      </c>
      <c r="C404" s="19" t="str">
        <f t="shared" si="23"/>
        <v>43983 - 1S</v>
      </c>
      <c r="D404" s="45">
        <f>IFERROR((VLOOKUP(C404,'Daily Scrap by Shift'!$A:$D,2,0)),0)</f>
        <v>13078</v>
      </c>
      <c r="E404" s="45">
        <f>IFERROR((VLOOKUP(C404,'Daily Scrap by Shift'!$A:$D,3,0)),0)</f>
        <v>78</v>
      </c>
      <c r="F404" s="45">
        <f>IFERROR((VLOOKUP(C404,'Daily Scrap by Shift'!$A:$D,4,0)),0)</f>
        <v>138.889152</v>
      </c>
      <c r="G404" s="33">
        <v>166</v>
      </c>
      <c r="H404" s="3">
        <f t="shared" si="22"/>
        <v>-0.16331836144578316</v>
      </c>
    </row>
    <row r="405" spans="1:8" x14ac:dyDescent="0.25">
      <c r="A405" s="23">
        <v>43983</v>
      </c>
      <c r="B405" s="46" t="s">
        <v>26</v>
      </c>
      <c r="C405" s="19" t="str">
        <f t="shared" si="23"/>
        <v>43983 - 2S</v>
      </c>
      <c r="D405" s="45">
        <f>IFERROR((VLOOKUP(C405,'Daily Scrap by Shift'!$A:$D,2,0)),0)</f>
        <v>16354</v>
      </c>
      <c r="E405" s="45">
        <f>IFERROR((VLOOKUP(C405,'Daily Scrap by Shift'!$A:$D,3,0)),0)</f>
        <v>154</v>
      </c>
      <c r="F405" s="45">
        <f>IFERROR((VLOOKUP(C405,'Daily Scrap by Shift'!$A:$D,4,0)),0)</f>
        <v>287.44129600000002</v>
      </c>
      <c r="G405" s="33">
        <v>86</v>
      </c>
      <c r="H405" s="3">
        <f t="shared" si="22"/>
        <v>2.3423406511627909</v>
      </c>
    </row>
    <row r="406" spans="1:8" x14ac:dyDescent="0.25">
      <c r="A406" s="23">
        <v>43984</v>
      </c>
      <c r="B406" s="46" t="s">
        <v>24</v>
      </c>
      <c r="C406" s="19" t="str">
        <f t="shared" si="23"/>
        <v>43984 - 3S</v>
      </c>
      <c r="D406" s="45">
        <f>IFERROR((VLOOKUP(C406,'Daily Scrap by Shift'!$A:$D,2,0)),0)</f>
        <v>5981</v>
      </c>
      <c r="E406" s="45">
        <f>IFERROR((VLOOKUP(C406,'Daily Scrap by Shift'!$A:$D,3,0)),0)</f>
        <v>621</v>
      </c>
      <c r="F406" s="45">
        <f>IFERROR((VLOOKUP(C406,'Daily Scrap by Shift'!$A:$D,4,0)),0)</f>
        <v>1091.12654</v>
      </c>
      <c r="G406" s="33">
        <v>691</v>
      </c>
      <c r="H406" s="3">
        <f t="shared" ref="H406:H469" si="24">(F406-G406)/G406</f>
        <v>0.57905432706222859</v>
      </c>
    </row>
    <row r="407" spans="1:8" x14ac:dyDescent="0.25">
      <c r="A407" s="23">
        <v>43984</v>
      </c>
      <c r="B407" s="46" t="s">
        <v>25</v>
      </c>
      <c r="C407" s="19" t="str">
        <f t="shared" si="23"/>
        <v>43984 - 1S</v>
      </c>
      <c r="D407" s="45">
        <f>IFERROR((VLOOKUP(C407,'Daily Scrap by Shift'!$A:$D,2,0)),0)</f>
        <v>8985</v>
      </c>
      <c r="E407" s="45">
        <f>IFERROR((VLOOKUP(C407,'Daily Scrap by Shift'!$A:$D,3,0)),0)</f>
        <v>265</v>
      </c>
      <c r="F407" s="45">
        <f>IFERROR((VLOOKUP(C407,'Daily Scrap by Shift'!$A:$D,4,0)),0)</f>
        <v>499.83084000000002</v>
      </c>
      <c r="G407" s="33">
        <v>287</v>
      </c>
      <c r="H407" s="3">
        <f t="shared" si="24"/>
        <v>0.74157087108013942</v>
      </c>
    </row>
    <row r="408" spans="1:8" x14ac:dyDescent="0.25">
      <c r="A408" s="23">
        <v>43984</v>
      </c>
      <c r="B408" s="46" t="s">
        <v>26</v>
      </c>
      <c r="C408" s="19" t="str">
        <f t="shared" si="23"/>
        <v>43984 - 2S</v>
      </c>
      <c r="D408" s="45">
        <f>IFERROR((VLOOKUP(C408,'Daily Scrap by Shift'!$A:$D,2,0)),0)</f>
        <v>6786</v>
      </c>
      <c r="E408" s="45">
        <f>IFERROR((VLOOKUP(C408,'Daily Scrap by Shift'!$A:$D,3,0)),0)</f>
        <v>386</v>
      </c>
      <c r="F408" s="45">
        <f>IFERROR((VLOOKUP(C408,'Daily Scrap by Shift'!$A:$D,4,0)),0)</f>
        <v>860.86394000000007</v>
      </c>
      <c r="G408" s="33">
        <v>394</v>
      </c>
      <c r="H408" s="3">
        <f t="shared" si="24"/>
        <v>1.1849338578680204</v>
      </c>
    </row>
    <row r="409" spans="1:8" x14ac:dyDescent="0.25">
      <c r="A409" s="23">
        <v>43985</v>
      </c>
      <c r="B409" s="46" t="s">
        <v>24</v>
      </c>
      <c r="C409" s="19" t="str">
        <f t="shared" si="23"/>
        <v>43985 - 3S</v>
      </c>
      <c r="D409" s="45">
        <f>IFERROR((VLOOKUP(C409,'Daily Scrap by Shift'!$A:$D,2,0)),0)</f>
        <v>9062</v>
      </c>
      <c r="E409" s="45">
        <f>IFERROR((VLOOKUP(C409,'Daily Scrap by Shift'!$A:$D,3,0)),0)</f>
        <v>422</v>
      </c>
      <c r="F409" s="45">
        <f>IFERROR((VLOOKUP(C409,'Daily Scrap by Shift'!$A:$D,4,0)),0)</f>
        <v>669.93115</v>
      </c>
      <c r="G409" s="33">
        <v>493</v>
      </c>
      <c r="H409" s="3">
        <f t="shared" si="24"/>
        <v>0.35888671399594319</v>
      </c>
    </row>
    <row r="410" spans="1:8" x14ac:dyDescent="0.25">
      <c r="A410" s="23">
        <v>43985</v>
      </c>
      <c r="B410" s="46" t="s">
        <v>25</v>
      </c>
      <c r="C410" s="19" t="str">
        <f t="shared" si="23"/>
        <v>43985 - 1S</v>
      </c>
      <c r="D410" s="45">
        <f>IFERROR((VLOOKUP(C410,'Daily Scrap by Shift'!$A:$D,2,0)),0)</f>
        <v>14030.8</v>
      </c>
      <c r="E410" s="45">
        <f>IFERROR((VLOOKUP(C410,'Daily Scrap by Shift'!$A:$D,3,0)),0)</f>
        <v>754</v>
      </c>
      <c r="F410" s="45">
        <f>IFERROR((VLOOKUP(C410,'Daily Scrap by Shift'!$A:$D,4,0)),0)</f>
        <v>619.20993399999998</v>
      </c>
      <c r="G410" s="33">
        <v>665</v>
      </c>
      <c r="H410" s="3">
        <f t="shared" si="24"/>
        <v>-6.88572421052632E-2</v>
      </c>
    </row>
    <row r="411" spans="1:8" x14ac:dyDescent="0.25">
      <c r="A411" s="23">
        <v>43985</v>
      </c>
      <c r="B411" s="46" t="s">
        <v>26</v>
      </c>
      <c r="C411" s="19" t="str">
        <f t="shared" si="23"/>
        <v>43985 - 2S</v>
      </c>
      <c r="D411" s="45">
        <f>IFERROR((VLOOKUP(C411,'Daily Scrap by Shift'!$A:$D,2,0)),0)</f>
        <v>12425.2</v>
      </c>
      <c r="E411" s="45">
        <f>IFERROR((VLOOKUP(C411,'Daily Scrap by Shift'!$A:$D,3,0)),0)</f>
        <v>374</v>
      </c>
      <c r="F411" s="45">
        <f>IFERROR((VLOOKUP(C411,'Daily Scrap by Shift'!$A:$D,4,0)),0)</f>
        <v>144.14072400000001</v>
      </c>
      <c r="G411" s="33">
        <v>338</v>
      </c>
      <c r="H411" s="3">
        <f t="shared" si="24"/>
        <v>-0.57354815384615387</v>
      </c>
    </row>
    <row r="412" spans="1:8" x14ac:dyDescent="0.25">
      <c r="A412" s="23">
        <v>43986</v>
      </c>
      <c r="B412" s="46" t="s">
        <v>24</v>
      </c>
      <c r="C412" s="19" t="str">
        <f t="shared" si="23"/>
        <v>43986 - 3S</v>
      </c>
      <c r="D412" s="45">
        <f>IFERROR((VLOOKUP(C412,'Daily Scrap by Shift'!$A:$D,2,0)),0)</f>
        <v>690</v>
      </c>
      <c r="E412" s="45">
        <f>IFERROR((VLOOKUP(C412,'Daily Scrap by Shift'!$A:$D,3,0)),0)</f>
        <v>690</v>
      </c>
      <c r="F412" s="45">
        <f>IFERROR((VLOOKUP(C412,'Daily Scrap by Shift'!$A:$D,4,0)),0)</f>
        <v>0</v>
      </c>
      <c r="G412" s="33">
        <v>1166</v>
      </c>
      <c r="H412" s="3">
        <f t="shared" si="24"/>
        <v>-1</v>
      </c>
    </row>
    <row r="413" spans="1:8" x14ac:dyDescent="0.25">
      <c r="A413" s="23">
        <v>43986</v>
      </c>
      <c r="B413" s="46" t="s">
        <v>25</v>
      </c>
      <c r="C413" s="19" t="str">
        <f t="shared" si="23"/>
        <v>43986 - 1S</v>
      </c>
      <c r="D413" s="45">
        <f>IFERROR((VLOOKUP(C413,'Daily Scrap by Shift'!$A:$D,2,0)),0)</f>
        <v>7301</v>
      </c>
      <c r="E413" s="45">
        <f>IFERROR((VLOOKUP(C413,'Daily Scrap by Shift'!$A:$D,3,0)),0)</f>
        <v>101</v>
      </c>
      <c r="F413" s="45">
        <f>IFERROR((VLOOKUP(C413,'Daily Scrap by Shift'!$A:$D,4,0)),0)</f>
        <v>393.32531</v>
      </c>
      <c r="G413" s="33">
        <v>306</v>
      </c>
      <c r="H413" s="3">
        <f t="shared" si="24"/>
        <v>0.28537683006535947</v>
      </c>
    </row>
    <row r="414" spans="1:8" x14ac:dyDescent="0.25">
      <c r="A414" s="23">
        <v>43986</v>
      </c>
      <c r="B414" s="46" t="s">
        <v>26</v>
      </c>
      <c r="C414" s="19" t="str">
        <f t="shared" si="23"/>
        <v>43986 - 2S</v>
      </c>
      <c r="D414" s="45">
        <f>IFERROR((VLOOKUP(C414,'Daily Scrap by Shift'!$A:$D,2,0)),0)</f>
        <v>6483</v>
      </c>
      <c r="E414" s="45">
        <f>IFERROR((VLOOKUP(C414,'Daily Scrap by Shift'!$A:$D,3,0)),0)</f>
        <v>83</v>
      </c>
      <c r="F414" s="45">
        <f>IFERROR((VLOOKUP(C414,'Daily Scrap by Shift'!$A:$D,4,0)),0)</f>
        <v>323.22773000000001</v>
      </c>
      <c r="G414" s="33">
        <v>146</v>
      </c>
      <c r="H414" s="3">
        <f t="shared" si="24"/>
        <v>1.2138885616438357</v>
      </c>
    </row>
    <row r="415" spans="1:8" x14ac:dyDescent="0.25">
      <c r="A415" s="23">
        <v>43987</v>
      </c>
      <c r="B415" s="46" t="s">
        <v>24</v>
      </c>
      <c r="C415" s="19" t="str">
        <f t="shared" si="23"/>
        <v>43987 - 3S</v>
      </c>
      <c r="D415" s="45">
        <f>IFERROR((VLOOKUP(C415,'Daily Scrap by Shift'!$A:$D,2,0)),0)</f>
        <v>279</v>
      </c>
      <c r="E415" s="45">
        <f>IFERROR((VLOOKUP(C415,'Daily Scrap by Shift'!$A:$D,3,0)),0)</f>
        <v>279</v>
      </c>
      <c r="F415" s="45">
        <f>IFERROR((VLOOKUP(C415,'Daily Scrap by Shift'!$A:$D,4,0)),0)</f>
        <v>533.38661999999999</v>
      </c>
      <c r="G415" s="33">
        <v>279</v>
      </c>
      <c r="H415" s="3">
        <f t="shared" si="24"/>
        <v>0.91177999999999992</v>
      </c>
    </row>
    <row r="416" spans="1:8" x14ac:dyDescent="0.25">
      <c r="A416" s="23">
        <v>43987</v>
      </c>
      <c r="B416" s="46" t="s">
        <v>25</v>
      </c>
      <c r="C416" s="19" t="str">
        <f t="shared" si="23"/>
        <v>43987 - 1S</v>
      </c>
      <c r="D416" s="45">
        <f>IFERROR((VLOOKUP(C416,'Daily Scrap by Shift'!$A:$D,2,0)),0)</f>
        <v>1581.6</v>
      </c>
      <c r="E416" s="45">
        <f>IFERROR((VLOOKUP(C416,'Daily Scrap by Shift'!$A:$D,3,0)),0)</f>
        <v>156</v>
      </c>
      <c r="F416" s="45">
        <f>IFERROR((VLOOKUP(C416,'Daily Scrap by Shift'!$A:$D,4,0)),0)</f>
        <v>298.23768000000001</v>
      </c>
      <c r="G416" s="33">
        <v>156</v>
      </c>
      <c r="H416" s="3">
        <f t="shared" si="24"/>
        <v>0.91178000000000003</v>
      </c>
    </row>
    <row r="417" spans="1:8" x14ac:dyDescent="0.25">
      <c r="A417" s="23">
        <v>43987</v>
      </c>
      <c r="B417" s="46" t="s">
        <v>26</v>
      </c>
      <c r="C417" s="19" t="str">
        <f t="shared" si="23"/>
        <v>43987 - 2S</v>
      </c>
      <c r="D417" s="45">
        <f>IFERROR((VLOOKUP(C417,'Daily Scrap by Shift'!$A:$D,2,0)),0)</f>
        <v>5465</v>
      </c>
      <c r="E417" s="45">
        <f>IFERROR((VLOOKUP(C417,'Daily Scrap by Shift'!$A:$D,3,0)),0)</f>
        <v>327</v>
      </c>
      <c r="F417" s="45">
        <f>IFERROR((VLOOKUP(C417,'Daily Scrap by Shift'!$A:$D,4,0)),0)</f>
        <v>598.38714000000004</v>
      </c>
      <c r="G417" s="33">
        <v>358</v>
      </c>
      <c r="H417" s="3">
        <f t="shared" si="24"/>
        <v>0.67147245810055878</v>
      </c>
    </row>
    <row r="418" spans="1:8" x14ac:dyDescent="0.25">
      <c r="A418" s="23">
        <v>43988</v>
      </c>
      <c r="B418" s="46" t="s">
        <v>24</v>
      </c>
      <c r="C418" s="19" t="str">
        <f t="shared" si="23"/>
        <v>43988 - 3S</v>
      </c>
      <c r="D418" s="45">
        <f>IFERROR((VLOOKUP(C418,'Daily Scrap by Shift'!$A:$D,2,0)),0)</f>
        <v>6027</v>
      </c>
      <c r="E418" s="45">
        <f>IFERROR((VLOOKUP(C418,'Daily Scrap by Shift'!$A:$D,3,0)),0)</f>
        <v>27</v>
      </c>
      <c r="F418" s="45">
        <f>IFERROR((VLOOKUP(C418,'Daily Scrap by Shift'!$A:$D,4,0)),0)</f>
        <v>52.672032000000002</v>
      </c>
      <c r="G418" s="33">
        <v>43</v>
      </c>
      <c r="H418" s="3">
        <f t="shared" si="24"/>
        <v>0.22493097674418608</v>
      </c>
    </row>
    <row r="419" spans="1:8" x14ac:dyDescent="0.25">
      <c r="A419" s="23">
        <v>43988</v>
      </c>
      <c r="B419" s="46" t="s">
        <v>25</v>
      </c>
      <c r="C419" s="19" t="str">
        <f t="shared" si="23"/>
        <v>43988 - 1S</v>
      </c>
      <c r="D419" s="45">
        <f>IFERROR((VLOOKUP(C419,'Daily Scrap by Shift'!$A:$D,2,0)),0)</f>
        <v>13096</v>
      </c>
      <c r="E419" s="45">
        <f>IFERROR((VLOOKUP(C419,'Daily Scrap by Shift'!$A:$D,3,0)),0)</f>
        <v>96</v>
      </c>
      <c r="F419" s="45">
        <f>IFERROR((VLOOKUP(C419,'Daily Scrap by Shift'!$A:$D,4,0)),0)</f>
        <v>167.77017600000002</v>
      </c>
      <c r="G419" s="33">
        <v>111</v>
      </c>
      <c r="H419" s="3">
        <f t="shared" si="24"/>
        <v>0.51144302702702726</v>
      </c>
    </row>
    <row r="420" spans="1:8" x14ac:dyDescent="0.25">
      <c r="A420" s="23">
        <v>43988</v>
      </c>
      <c r="B420" s="46" t="s">
        <v>26</v>
      </c>
      <c r="C420" s="19" t="str">
        <f t="shared" si="23"/>
        <v>43988 - 2S</v>
      </c>
      <c r="D420" s="45">
        <f>IFERROR((VLOOKUP(C420,'Daily Scrap by Shift'!$A:$D,2,0)),0)</f>
        <v>15081</v>
      </c>
      <c r="E420" s="45">
        <f>IFERROR((VLOOKUP(C420,'Daily Scrap by Shift'!$A:$D,3,0)),0)</f>
        <v>81</v>
      </c>
      <c r="F420" s="45">
        <f>IFERROR((VLOOKUP(C420,'Daily Scrap by Shift'!$A:$D,4,0)),0)</f>
        <v>118.99977600000001</v>
      </c>
      <c r="G420" s="33">
        <v>81</v>
      </c>
      <c r="H420" s="3">
        <f t="shared" si="24"/>
        <v>0.46913303703703718</v>
      </c>
    </row>
    <row r="421" spans="1:8" x14ac:dyDescent="0.25">
      <c r="A421" s="23">
        <v>43989</v>
      </c>
      <c r="B421" s="46" t="s">
        <v>25</v>
      </c>
      <c r="C421" s="19" t="str">
        <f t="shared" si="23"/>
        <v>43989 - 1S</v>
      </c>
      <c r="D421" s="45">
        <f>IFERROR((VLOOKUP(C421,'Daily Scrap by Shift'!$A:$D,2,0)),0)</f>
        <v>5067</v>
      </c>
      <c r="E421" s="45">
        <f>IFERROR((VLOOKUP(C421,'Daily Scrap by Shift'!$A:$D,3,0)),0)</f>
        <v>67</v>
      </c>
      <c r="F421" s="45">
        <f>IFERROR((VLOOKUP(C421,'Daily Scrap by Shift'!$A:$D,4,0)),0)</f>
        <v>130.70467200000002</v>
      </c>
      <c r="G421" s="33">
        <v>67</v>
      </c>
      <c r="H421" s="3">
        <f t="shared" si="24"/>
        <v>0.95081600000000022</v>
      </c>
    </row>
    <row r="422" spans="1:8" x14ac:dyDescent="0.25">
      <c r="A422" s="23">
        <v>43989</v>
      </c>
      <c r="B422" s="46" t="s">
        <v>26</v>
      </c>
      <c r="C422" s="19" t="str">
        <f t="shared" si="23"/>
        <v>43989 - 2S</v>
      </c>
      <c r="D422" s="45">
        <f>IFERROR((VLOOKUP(C422,'Daily Scrap by Shift'!$A:$D,2,0)),0)</f>
        <v>1007</v>
      </c>
      <c r="E422" s="45">
        <f>IFERROR((VLOOKUP(C422,'Daily Scrap by Shift'!$A:$D,3,0)),0)</f>
        <v>7</v>
      </c>
      <c r="F422" s="45">
        <f>IFERROR((VLOOKUP(C422,'Daily Scrap by Shift'!$A:$D,4,0)),0)</f>
        <v>13.655712000000001</v>
      </c>
      <c r="G422" s="33">
        <v>124</v>
      </c>
      <c r="H422" s="3">
        <f t="shared" si="24"/>
        <v>-0.88987329032258067</v>
      </c>
    </row>
    <row r="423" spans="1:8" x14ac:dyDescent="0.25">
      <c r="A423" s="23">
        <v>43990</v>
      </c>
      <c r="B423" s="46" t="s">
        <v>24</v>
      </c>
      <c r="C423" s="19" t="str">
        <f t="shared" si="23"/>
        <v>43990 - 3S</v>
      </c>
      <c r="D423" s="45">
        <f>IFERROR((VLOOKUP(C423,'Daily Scrap by Shift'!$A:$D,2,0)),0)</f>
        <v>6097.2</v>
      </c>
      <c r="E423" s="45">
        <f>IFERROR((VLOOKUP(C423,'Daily Scrap by Shift'!$A:$D,3,0)),0)</f>
        <v>446</v>
      </c>
      <c r="F423" s="45">
        <f>IFERROR((VLOOKUP(C423,'Daily Scrap by Shift'!$A:$D,4,0)),0)</f>
        <v>1130.59844</v>
      </c>
      <c r="G423" s="33">
        <v>456</v>
      </c>
      <c r="H423" s="3">
        <f t="shared" si="24"/>
        <v>1.4793825438596491</v>
      </c>
    </row>
    <row r="424" spans="1:8" x14ac:dyDescent="0.25">
      <c r="A424" s="23">
        <v>43990</v>
      </c>
      <c r="B424" s="46" t="s">
        <v>25</v>
      </c>
      <c r="C424" s="19" t="str">
        <f t="shared" si="23"/>
        <v>43990 - 1S</v>
      </c>
      <c r="D424" s="45">
        <f>IFERROR((VLOOKUP(C424,'Daily Scrap by Shift'!$A:$D,2,0)),0)</f>
        <v>17036</v>
      </c>
      <c r="E424" s="45">
        <f>IFERROR((VLOOKUP(C424,'Daily Scrap by Shift'!$A:$D,3,0)),0)</f>
        <v>864</v>
      </c>
      <c r="F424" s="45">
        <f>IFERROR((VLOOKUP(C424,'Daily Scrap by Shift'!$A:$D,4,0)),0)</f>
        <v>1733.0327560000003</v>
      </c>
      <c r="G424" s="33">
        <v>767</v>
      </c>
      <c r="H424" s="3">
        <f t="shared" si="24"/>
        <v>1.2594951186440682</v>
      </c>
    </row>
    <row r="425" spans="1:8" x14ac:dyDescent="0.25">
      <c r="A425" s="23">
        <v>43990</v>
      </c>
      <c r="B425" s="46" t="s">
        <v>26</v>
      </c>
      <c r="C425" s="19" t="str">
        <f t="shared" si="23"/>
        <v>43990 - 2S</v>
      </c>
      <c r="D425" s="45">
        <f>IFERROR((VLOOKUP(C425,'Daily Scrap by Shift'!$A:$D,2,0)),0)</f>
        <v>16277.8</v>
      </c>
      <c r="E425" s="45">
        <f>IFERROR((VLOOKUP(C425,'Daily Scrap by Shift'!$A:$D,3,0)),0)</f>
        <v>473</v>
      </c>
      <c r="F425" s="45">
        <f>IFERROR((VLOOKUP(C425,'Daily Scrap by Shift'!$A:$D,4,0)),0)</f>
        <v>1025.8572059999999</v>
      </c>
      <c r="G425" s="33">
        <v>406</v>
      </c>
      <c r="H425" s="3">
        <f t="shared" si="24"/>
        <v>1.5267418866995071</v>
      </c>
    </row>
    <row r="426" spans="1:8" x14ac:dyDescent="0.25">
      <c r="A426" s="23">
        <v>43991</v>
      </c>
      <c r="B426" s="46" t="s">
        <v>24</v>
      </c>
      <c r="C426" s="19" t="str">
        <f t="shared" si="23"/>
        <v>43991 - 3S</v>
      </c>
      <c r="D426" s="45">
        <f>IFERROR((VLOOKUP(C426,'Daily Scrap by Shift'!$A:$D,2,0)),0)</f>
        <v>9406.4</v>
      </c>
      <c r="E426" s="45">
        <f>IFERROR((VLOOKUP(C426,'Daily Scrap by Shift'!$A:$D,3,0)),0)</f>
        <v>572</v>
      </c>
      <c r="F426" s="45">
        <f>IFERROR((VLOOKUP(C426,'Daily Scrap by Shift'!$A:$D,4,0)),0)</f>
        <v>1094.2798439999999</v>
      </c>
      <c r="G426" s="33">
        <v>941</v>
      </c>
      <c r="H426" s="3">
        <f t="shared" si="24"/>
        <v>0.16289037619553656</v>
      </c>
    </row>
    <row r="427" spans="1:8" x14ac:dyDescent="0.25">
      <c r="A427" s="23">
        <v>43991</v>
      </c>
      <c r="B427" s="46" t="s">
        <v>25</v>
      </c>
      <c r="C427" s="19" t="str">
        <f t="shared" si="23"/>
        <v>43991 - 1S</v>
      </c>
      <c r="D427" s="45">
        <f>IFERROR((VLOOKUP(C427,'Daily Scrap by Shift'!$A:$D,2,0)),0)</f>
        <v>8073.8</v>
      </c>
      <c r="E427" s="45">
        <f>IFERROR((VLOOKUP(C427,'Daily Scrap by Shift'!$A:$D,3,0)),0)</f>
        <v>745</v>
      </c>
      <c r="F427" s="45">
        <f>IFERROR((VLOOKUP(C427,'Daily Scrap by Shift'!$A:$D,4,0)),0)</f>
        <v>1309.8035159999999</v>
      </c>
      <c r="G427" s="33">
        <v>752</v>
      </c>
      <c r="H427" s="3">
        <f t="shared" si="24"/>
        <v>0.74175999468085096</v>
      </c>
    </row>
    <row r="428" spans="1:8" x14ac:dyDescent="0.25">
      <c r="A428" s="23">
        <v>43991</v>
      </c>
      <c r="B428" s="46" t="s">
        <v>26</v>
      </c>
      <c r="C428" s="19" t="str">
        <f t="shared" si="23"/>
        <v>43991 - 2S</v>
      </c>
      <c r="D428" s="45">
        <f>IFERROR((VLOOKUP(C428,'Daily Scrap by Shift'!$A:$D,2,0)),0)</f>
        <v>6190.6</v>
      </c>
      <c r="E428" s="45">
        <f>IFERROR((VLOOKUP(C428,'Daily Scrap by Shift'!$A:$D,3,0)),0)</f>
        <v>633</v>
      </c>
      <c r="F428" s="45">
        <f>IFERROR((VLOOKUP(C428,'Daily Scrap by Shift'!$A:$D,4,0)),0)</f>
        <v>1215.4266</v>
      </c>
      <c r="G428" s="33">
        <v>727</v>
      </c>
      <c r="H428" s="3">
        <f t="shared" si="24"/>
        <v>0.67183851444291609</v>
      </c>
    </row>
    <row r="429" spans="1:8" x14ac:dyDescent="0.25">
      <c r="A429" s="23">
        <v>43992</v>
      </c>
      <c r="B429" s="46" t="s">
        <v>24</v>
      </c>
      <c r="C429" s="19" t="str">
        <f t="shared" si="23"/>
        <v>43992 - 3S</v>
      </c>
      <c r="D429" s="45">
        <f>IFERROR((VLOOKUP(C429,'Daily Scrap by Shift'!$A:$D,2,0)),0)</f>
        <v>10131.6</v>
      </c>
      <c r="E429" s="45">
        <f>IFERROR((VLOOKUP(C429,'Daily Scrap by Shift'!$A:$D,3,0)),0)</f>
        <v>298</v>
      </c>
      <c r="F429" s="45">
        <f>IFERROR((VLOOKUP(C429,'Daily Scrap by Shift'!$A:$D,4,0)),0)</f>
        <v>599.44839000000002</v>
      </c>
      <c r="G429" s="33">
        <v>473</v>
      </c>
      <c r="H429" s="3">
        <f t="shared" si="24"/>
        <v>0.26733274841437638</v>
      </c>
    </row>
    <row r="430" spans="1:8" x14ac:dyDescent="0.25">
      <c r="A430" s="23">
        <v>43992</v>
      </c>
      <c r="B430" s="46" t="s">
        <v>25</v>
      </c>
      <c r="C430" s="19" t="str">
        <f t="shared" si="23"/>
        <v>43992 - 1S</v>
      </c>
      <c r="D430" s="45">
        <f>IFERROR((VLOOKUP(C430,'Daily Scrap by Shift'!$A:$D,2,0)),0)</f>
        <v>21449.4</v>
      </c>
      <c r="E430" s="45">
        <f>IFERROR((VLOOKUP(C430,'Daily Scrap by Shift'!$A:$D,3,0)),0)</f>
        <v>695</v>
      </c>
      <c r="F430" s="45">
        <f>IFERROR((VLOOKUP(C430,'Daily Scrap by Shift'!$A:$D,4,0)),0)</f>
        <v>1565.5986699999999</v>
      </c>
      <c r="G430" s="33">
        <v>861</v>
      </c>
      <c r="H430" s="3">
        <f t="shared" si="24"/>
        <v>0.81834921022067342</v>
      </c>
    </row>
    <row r="431" spans="1:8" x14ac:dyDescent="0.25">
      <c r="A431" s="23">
        <v>43992</v>
      </c>
      <c r="B431" s="46" t="s">
        <v>26</v>
      </c>
      <c r="C431" s="19" t="str">
        <f t="shared" si="23"/>
        <v>43992 - 2S</v>
      </c>
      <c r="D431" s="45">
        <f>IFERROR((VLOOKUP(C431,'Daily Scrap by Shift'!$A:$D,2,0)),0)</f>
        <v>20796.400000000001</v>
      </c>
      <c r="E431" s="45">
        <f>IFERROR((VLOOKUP(C431,'Daily Scrap by Shift'!$A:$D,3,0)),0)</f>
        <v>850</v>
      </c>
      <c r="F431" s="45">
        <f>IFERROR((VLOOKUP(C431,'Daily Scrap by Shift'!$A:$D,4,0)),0)</f>
        <v>1715.5330039999999</v>
      </c>
      <c r="G431" s="33">
        <v>975</v>
      </c>
      <c r="H431" s="3">
        <f t="shared" si="24"/>
        <v>0.75952102974358959</v>
      </c>
    </row>
    <row r="432" spans="1:8" x14ac:dyDescent="0.25">
      <c r="A432" s="23">
        <v>43993</v>
      </c>
      <c r="B432" s="46" t="s">
        <v>24</v>
      </c>
      <c r="C432" s="19" t="str">
        <f t="shared" si="23"/>
        <v>43993 - 3S</v>
      </c>
      <c r="D432" s="45">
        <f>IFERROR((VLOOKUP(C432,'Daily Scrap by Shift'!$A:$D,2,0)),0)</f>
        <v>11548.6</v>
      </c>
      <c r="E432" s="45">
        <f>IFERROR((VLOOKUP(C432,'Daily Scrap by Shift'!$A:$D,3,0)),0)</f>
        <v>578</v>
      </c>
      <c r="F432" s="45">
        <f>IFERROR((VLOOKUP(C432,'Daily Scrap by Shift'!$A:$D,4,0)),0)</f>
        <v>1442.0389399999999</v>
      </c>
      <c r="G432" s="33">
        <v>719</v>
      </c>
      <c r="H432" s="3">
        <f t="shared" si="24"/>
        <v>1.0056174408901251</v>
      </c>
    </row>
    <row r="433" spans="1:8" x14ac:dyDescent="0.25">
      <c r="A433" s="23">
        <v>43994</v>
      </c>
      <c r="B433" s="46" t="s">
        <v>25</v>
      </c>
      <c r="C433" s="19" t="str">
        <f t="shared" si="23"/>
        <v>43994 - 1S</v>
      </c>
      <c r="D433" s="45">
        <f>IFERROR((VLOOKUP(C433,'Daily Scrap by Shift'!$A:$D,2,0)),0)</f>
        <v>21369.599999999999</v>
      </c>
      <c r="E433" s="45">
        <f>IFERROR((VLOOKUP(C433,'Daily Scrap by Shift'!$A:$D,3,0)),0)</f>
        <v>592</v>
      </c>
      <c r="F433" s="45">
        <f>IFERROR((VLOOKUP(C433,'Daily Scrap by Shift'!$A:$D,4,0)),0)</f>
        <v>1048.24098</v>
      </c>
      <c r="G433" s="33">
        <v>836</v>
      </c>
      <c r="H433" s="3">
        <f t="shared" si="24"/>
        <v>0.25387677033492828</v>
      </c>
    </row>
    <row r="434" spans="1:8" x14ac:dyDescent="0.25">
      <c r="A434" s="23">
        <v>43994</v>
      </c>
      <c r="B434" s="46" t="s">
        <v>26</v>
      </c>
      <c r="C434" s="19" t="str">
        <f t="shared" si="23"/>
        <v>43994 - 2S</v>
      </c>
      <c r="D434" s="45">
        <f>IFERROR((VLOOKUP(C434,'Daily Scrap by Shift'!$A:$D,2,0)),0)</f>
        <v>6532.4</v>
      </c>
      <c r="E434" s="45">
        <f>IFERROR((VLOOKUP(C434,'Daily Scrap by Shift'!$A:$D,3,0)),0)</f>
        <v>830</v>
      </c>
      <c r="F434" s="45">
        <f>IFERROR((VLOOKUP(C434,'Daily Scrap by Shift'!$A:$D,4,0)),0)</f>
        <v>1389.8640600000001</v>
      </c>
      <c r="G434" s="33">
        <v>1050</v>
      </c>
      <c r="H434" s="3">
        <f t="shared" si="24"/>
        <v>0.32368005714285725</v>
      </c>
    </row>
    <row r="435" spans="1:8" x14ac:dyDescent="0.25">
      <c r="A435" s="23">
        <v>43995</v>
      </c>
      <c r="B435" s="46" t="s">
        <v>24</v>
      </c>
      <c r="C435" s="19" t="str">
        <f t="shared" si="23"/>
        <v>43995 - 3S</v>
      </c>
      <c r="D435" s="45">
        <f>IFERROR((VLOOKUP(C435,'Daily Scrap by Shift'!$A:$D,2,0)),0)</f>
        <v>0</v>
      </c>
      <c r="E435" s="45">
        <f>IFERROR((VLOOKUP(C435,'Daily Scrap by Shift'!$A:$D,3,0)),0)</f>
        <v>0</v>
      </c>
      <c r="F435" s="45">
        <f>IFERROR((VLOOKUP(C435,'Daily Scrap by Shift'!$A:$D,4,0)),0)</f>
        <v>0</v>
      </c>
      <c r="G435" s="33">
        <v>221</v>
      </c>
      <c r="H435" s="3">
        <f t="shared" si="24"/>
        <v>-1</v>
      </c>
    </row>
    <row r="436" spans="1:8" x14ac:dyDescent="0.25">
      <c r="A436" s="23">
        <v>43995</v>
      </c>
      <c r="B436" s="46" t="s">
        <v>25</v>
      </c>
      <c r="C436" s="19" t="str">
        <f t="shared" si="23"/>
        <v>43995 - 1S</v>
      </c>
      <c r="D436" s="45">
        <f>IFERROR((VLOOKUP(C436,'Daily Scrap by Shift'!$A:$D,2,0)),0)</f>
        <v>20022</v>
      </c>
      <c r="E436" s="45">
        <f>IFERROR((VLOOKUP(C436,'Daily Scrap by Shift'!$A:$D,3,0)),0)</f>
        <v>222</v>
      </c>
      <c r="F436" s="45">
        <f>IFERROR((VLOOKUP(C436,'Daily Scrap by Shift'!$A:$D,4,0)),0)</f>
        <v>777.00636999999995</v>
      </c>
      <c r="G436" s="33">
        <v>118</v>
      </c>
      <c r="H436" s="3">
        <f t="shared" si="24"/>
        <v>5.5847997457627114</v>
      </c>
    </row>
    <row r="437" spans="1:8" x14ac:dyDescent="0.25">
      <c r="A437" s="23">
        <v>43995</v>
      </c>
      <c r="B437" s="46" t="s">
        <v>26</v>
      </c>
      <c r="C437" s="19" t="str">
        <f t="shared" si="23"/>
        <v>43995 - 2S</v>
      </c>
      <c r="D437" s="45">
        <f>IFERROR((VLOOKUP(C437,'Daily Scrap by Shift'!$A:$D,2,0)),0)</f>
        <v>19260</v>
      </c>
      <c r="E437" s="45">
        <f>IFERROR((VLOOKUP(C437,'Daily Scrap by Shift'!$A:$D,3,0)),0)</f>
        <v>220</v>
      </c>
      <c r="F437" s="45">
        <f>IFERROR((VLOOKUP(C437,'Daily Scrap by Shift'!$A:$D,4,0)),0)</f>
        <v>664.44512000000009</v>
      </c>
      <c r="G437" s="33">
        <v>592</v>
      </c>
      <c r="H437" s="3">
        <f t="shared" si="24"/>
        <v>0.12237351351351367</v>
      </c>
    </row>
    <row r="438" spans="1:8" x14ac:dyDescent="0.25">
      <c r="A438" s="23">
        <v>43996</v>
      </c>
      <c r="B438" s="46" t="s">
        <v>25</v>
      </c>
      <c r="C438" s="19" t="str">
        <f t="shared" si="23"/>
        <v>43996 - 1S</v>
      </c>
      <c r="D438" s="45">
        <f>IFERROR((VLOOKUP(C438,'Daily Scrap by Shift'!$A:$D,2,0)),0)</f>
        <v>29563</v>
      </c>
      <c r="E438" s="45">
        <f>IFERROR((VLOOKUP(C438,'Daily Scrap by Shift'!$A:$D,3,0)),0)</f>
        <v>723</v>
      </c>
      <c r="F438" s="45">
        <f>IFERROR((VLOOKUP(C438,'Daily Scrap by Shift'!$A:$D,4,0)),0)</f>
        <v>1716.9342900000001</v>
      </c>
      <c r="G438" s="33">
        <v>665</v>
      </c>
      <c r="H438" s="3">
        <f t="shared" si="24"/>
        <v>1.5818560751879702</v>
      </c>
    </row>
    <row r="439" spans="1:8" x14ac:dyDescent="0.25">
      <c r="A439" s="23">
        <v>43996</v>
      </c>
      <c r="B439" s="46" t="s">
        <v>26</v>
      </c>
      <c r="C439" s="19" t="str">
        <f t="shared" si="23"/>
        <v>43996 - 2S</v>
      </c>
      <c r="D439" s="45">
        <f>IFERROR((VLOOKUP(C439,'Daily Scrap by Shift'!$A:$D,2,0)),0)</f>
        <v>15346</v>
      </c>
      <c r="E439" s="45">
        <f>IFERROR((VLOOKUP(C439,'Daily Scrap by Shift'!$A:$D,3,0)),0)</f>
        <v>626</v>
      </c>
      <c r="F439" s="45">
        <f>IFERROR((VLOOKUP(C439,'Daily Scrap by Shift'!$A:$D,4,0)),0)</f>
        <v>1776.63122</v>
      </c>
      <c r="G439" s="33">
        <v>610</v>
      </c>
      <c r="H439" s="3">
        <f t="shared" si="24"/>
        <v>1.9125101967213114</v>
      </c>
    </row>
    <row r="440" spans="1:8" x14ac:dyDescent="0.25">
      <c r="A440" s="23">
        <v>43997</v>
      </c>
      <c r="B440" s="46" t="s">
        <v>555</v>
      </c>
      <c r="C440" s="19" t="str">
        <f t="shared" si="23"/>
        <v>43997 - 3T</v>
      </c>
      <c r="D440" s="45">
        <f>IFERROR((VLOOKUP(C440,'Daily Scrap by Shift'!$A:$D,2,0)),0)</f>
        <v>0</v>
      </c>
      <c r="E440" s="45">
        <f>IFERROR((VLOOKUP(C440,'Daily Scrap by Shift'!$A:$D,3,0)),0)</f>
        <v>0</v>
      </c>
      <c r="F440" s="45">
        <f>IFERROR((VLOOKUP(C440,'Daily Scrap by Shift'!$A:$D,4,0)),0)</f>
        <v>0</v>
      </c>
      <c r="G440" s="33">
        <v>306</v>
      </c>
      <c r="H440" s="3">
        <f t="shared" si="24"/>
        <v>-1</v>
      </c>
    </row>
    <row r="441" spans="1:8" x14ac:dyDescent="0.25">
      <c r="A441" s="23">
        <v>43997</v>
      </c>
      <c r="B441" s="46" t="s">
        <v>556</v>
      </c>
      <c r="C441" s="19" t="str">
        <f t="shared" si="23"/>
        <v>43997 - 4T</v>
      </c>
      <c r="D441" s="45">
        <f>IFERROR((VLOOKUP(C441,'Daily Scrap by Shift'!$A:$D,2,0)),0)</f>
        <v>0</v>
      </c>
      <c r="E441" s="45">
        <f>IFERROR((VLOOKUP(C441,'Daily Scrap by Shift'!$A:$D,3,0)),0)</f>
        <v>0</v>
      </c>
      <c r="F441" s="45">
        <f>IFERROR((VLOOKUP(C441,'Daily Scrap by Shift'!$A:$D,4,0)),0)</f>
        <v>0</v>
      </c>
      <c r="G441" s="33">
        <v>372</v>
      </c>
      <c r="H441" s="3">
        <f t="shared" si="24"/>
        <v>-1</v>
      </c>
    </row>
    <row r="442" spans="1:8" x14ac:dyDescent="0.25">
      <c r="A442" s="23">
        <v>43998</v>
      </c>
      <c r="B442" s="46" t="s">
        <v>555</v>
      </c>
      <c r="C442" s="19" t="str">
        <f t="shared" si="23"/>
        <v>43998 - 3T</v>
      </c>
      <c r="D442" s="45">
        <f>IFERROR((VLOOKUP(C442,'Daily Scrap by Shift'!$A:$D,2,0)),0)</f>
        <v>0</v>
      </c>
      <c r="E442" s="45">
        <f>IFERROR((VLOOKUP(C442,'Daily Scrap by Shift'!$A:$D,3,0)),0)</f>
        <v>0</v>
      </c>
      <c r="F442" s="45">
        <f>IFERROR((VLOOKUP(C442,'Daily Scrap by Shift'!$A:$D,4,0)),0)</f>
        <v>0</v>
      </c>
      <c r="G442" s="33">
        <v>597</v>
      </c>
      <c r="H442" s="3">
        <f t="shared" si="24"/>
        <v>-1</v>
      </c>
    </row>
    <row r="443" spans="1:8" x14ac:dyDescent="0.25">
      <c r="A443" s="23">
        <v>43998</v>
      </c>
      <c r="B443" s="46" t="s">
        <v>556</v>
      </c>
      <c r="C443" s="19" t="str">
        <f t="shared" si="23"/>
        <v>43998 - 4T</v>
      </c>
      <c r="D443" s="45">
        <f>IFERROR((VLOOKUP(C443,'Daily Scrap by Shift'!$A:$D,2,0)),0)</f>
        <v>0</v>
      </c>
      <c r="E443" s="45">
        <f>IFERROR((VLOOKUP(C443,'Daily Scrap by Shift'!$A:$D,3,0)),0)</f>
        <v>0</v>
      </c>
      <c r="F443" s="45">
        <f>IFERROR((VLOOKUP(C443,'Daily Scrap by Shift'!$A:$D,4,0)),0)</f>
        <v>0</v>
      </c>
      <c r="G443" s="33">
        <v>231</v>
      </c>
      <c r="H443" s="3">
        <f t="shared" si="24"/>
        <v>-1</v>
      </c>
    </row>
    <row r="444" spans="1:8" x14ac:dyDescent="0.25">
      <c r="A444" s="23">
        <v>43999</v>
      </c>
      <c r="B444" s="46" t="s">
        <v>561</v>
      </c>
      <c r="C444" s="19" t="str">
        <f t="shared" si="23"/>
        <v>43999 - 1T</v>
      </c>
      <c r="D444" s="45">
        <f>IFERROR((VLOOKUP(C444,'Daily Scrap by Shift'!$A:$D,2,0)),0)</f>
        <v>0</v>
      </c>
      <c r="E444" s="45">
        <f>IFERROR((VLOOKUP(C444,'Daily Scrap by Shift'!$A:$D,3,0)),0)</f>
        <v>0</v>
      </c>
      <c r="F444" s="45">
        <f>IFERROR((VLOOKUP(C444,'Daily Scrap by Shift'!$A:$D,4,0)),0)</f>
        <v>0</v>
      </c>
      <c r="G444" s="33">
        <v>214</v>
      </c>
      <c r="H444" s="3">
        <f t="shared" si="24"/>
        <v>-1</v>
      </c>
    </row>
    <row r="445" spans="1:8" x14ac:dyDescent="0.25">
      <c r="A445" s="23">
        <v>43999</v>
      </c>
      <c r="B445" s="46" t="s">
        <v>562</v>
      </c>
      <c r="C445" s="19" t="str">
        <f t="shared" si="23"/>
        <v>43999 - 2T</v>
      </c>
      <c r="D445" s="45">
        <f>IFERROR((VLOOKUP(C445,'Daily Scrap by Shift'!$A:$D,2,0)),0)</f>
        <v>0</v>
      </c>
      <c r="E445" s="45">
        <f>IFERROR((VLOOKUP(C445,'Daily Scrap by Shift'!$A:$D,3,0)),0)</f>
        <v>0</v>
      </c>
      <c r="F445" s="45">
        <f>IFERROR((VLOOKUP(C445,'Daily Scrap by Shift'!$A:$D,4,0)),0)</f>
        <v>0</v>
      </c>
      <c r="G445" s="33">
        <v>203</v>
      </c>
      <c r="H445" s="3">
        <f t="shared" si="24"/>
        <v>-1</v>
      </c>
    </row>
    <row r="446" spans="1:8" x14ac:dyDescent="0.25">
      <c r="A446" s="23">
        <v>44000</v>
      </c>
      <c r="B446" s="46" t="s">
        <v>561</v>
      </c>
      <c r="C446" s="19" t="str">
        <f t="shared" si="23"/>
        <v>44000 - 1T</v>
      </c>
      <c r="D446" s="45">
        <f>IFERROR((VLOOKUP(C446,'Daily Scrap by Shift'!$A:$D,2,0)),0)</f>
        <v>0</v>
      </c>
      <c r="E446" s="45">
        <f>IFERROR((VLOOKUP(C446,'Daily Scrap by Shift'!$A:$D,3,0)),0)</f>
        <v>0</v>
      </c>
      <c r="F446" s="45">
        <f>IFERROR((VLOOKUP(C446,'Daily Scrap by Shift'!$A:$D,4,0)),0)</f>
        <v>0</v>
      </c>
      <c r="G446" s="33">
        <v>754</v>
      </c>
      <c r="H446" s="3">
        <f t="shared" si="24"/>
        <v>-1</v>
      </c>
    </row>
    <row r="447" spans="1:8" x14ac:dyDescent="0.25">
      <c r="A447" s="23">
        <v>44000</v>
      </c>
      <c r="B447" s="46" t="s">
        <v>562</v>
      </c>
      <c r="C447" s="19" t="str">
        <f t="shared" si="23"/>
        <v>44000 - 2T</v>
      </c>
      <c r="D447" s="45">
        <f>IFERROR((VLOOKUP(C447,'Daily Scrap by Shift'!$A:$D,2,0)),0)</f>
        <v>0</v>
      </c>
      <c r="E447" s="45">
        <f>IFERROR((VLOOKUP(C447,'Daily Scrap by Shift'!$A:$D,3,0)),0)</f>
        <v>0</v>
      </c>
      <c r="F447" s="45">
        <f>IFERROR((VLOOKUP(C447,'Daily Scrap by Shift'!$A:$D,4,0)),0)</f>
        <v>0</v>
      </c>
      <c r="G447" s="33">
        <v>589</v>
      </c>
      <c r="H447" s="3">
        <f t="shared" si="24"/>
        <v>-1</v>
      </c>
    </row>
    <row r="448" spans="1:8" x14ac:dyDescent="0.25">
      <c r="A448" s="23">
        <v>44001</v>
      </c>
      <c r="B448" s="46" t="s">
        <v>555</v>
      </c>
      <c r="C448" s="19" t="str">
        <f t="shared" si="23"/>
        <v>44001 - 3T</v>
      </c>
      <c r="D448" s="45">
        <f>IFERROR((VLOOKUP(C448,'Daily Scrap by Shift'!$A:$D,2,0)),0)</f>
        <v>0</v>
      </c>
      <c r="E448" s="45">
        <f>IFERROR((VLOOKUP(C448,'Daily Scrap by Shift'!$A:$D,3,0)),0)</f>
        <v>0</v>
      </c>
      <c r="F448" s="45">
        <f>IFERROR((VLOOKUP(C448,'Daily Scrap by Shift'!$A:$D,4,0)),0)</f>
        <v>0</v>
      </c>
      <c r="G448" s="33">
        <v>1026</v>
      </c>
      <c r="H448" s="3">
        <f t="shared" si="24"/>
        <v>-1</v>
      </c>
    </row>
    <row r="449" spans="1:8" x14ac:dyDescent="0.25">
      <c r="A449" s="23">
        <v>44001</v>
      </c>
      <c r="B449" s="46" t="s">
        <v>556</v>
      </c>
      <c r="C449" s="19" t="str">
        <f t="shared" si="23"/>
        <v>44001 - 4T</v>
      </c>
      <c r="D449" s="45">
        <f>IFERROR((VLOOKUP(C449,'Daily Scrap by Shift'!$A:$D,2,0)),0)</f>
        <v>0</v>
      </c>
      <c r="E449" s="45">
        <f>IFERROR((VLOOKUP(C449,'Daily Scrap by Shift'!$A:$D,3,0)),0)</f>
        <v>0</v>
      </c>
      <c r="F449" s="45">
        <f>IFERROR((VLOOKUP(C449,'Daily Scrap by Shift'!$A:$D,4,0)),0)</f>
        <v>0</v>
      </c>
      <c r="G449" s="33">
        <v>654</v>
      </c>
      <c r="H449" s="3">
        <f t="shared" si="24"/>
        <v>-1</v>
      </c>
    </row>
    <row r="450" spans="1:8" x14ac:dyDescent="0.25">
      <c r="A450" s="23">
        <v>44002</v>
      </c>
      <c r="B450" s="46" t="s">
        <v>555</v>
      </c>
      <c r="C450" s="19" t="str">
        <f t="shared" si="23"/>
        <v>44002 - 3T</v>
      </c>
      <c r="D450" s="45">
        <f>IFERROR((VLOOKUP(C450,'Daily Scrap by Shift'!$A:$D,2,0)),0)</f>
        <v>0</v>
      </c>
      <c r="E450" s="45">
        <f>IFERROR((VLOOKUP(C450,'Daily Scrap by Shift'!$A:$D,3,0)),0)</f>
        <v>0</v>
      </c>
      <c r="F450" s="45">
        <f>IFERROR((VLOOKUP(C450,'Daily Scrap by Shift'!$A:$D,4,0)),0)</f>
        <v>0</v>
      </c>
      <c r="G450" s="33">
        <v>1120</v>
      </c>
      <c r="H450" s="3">
        <f t="shared" si="24"/>
        <v>-1</v>
      </c>
    </row>
    <row r="451" spans="1:8" x14ac:dyDescent="0.25">
      <c r="A451" s="23">
        <v>44002</v>
      </c>
      <c r="B451" s="46" t="s">
        <v>556</v>
      </c>
      <c r="C451" s="19" t="str">
        <f t="shared" si="23"/>
        <v>44002 - 4T</v>
      </c>
      <c r="D451" s="45">
        <f>IFERROR((VLOOKUP(C451,'Daily Scrap by Shift'!$A:$D,2,0)),0)</f>
        <v>0</v>
      </c>
      <c r="E451" s="45">
        <f>IFERROR((VLOOKUP(C451,'Daily Scrap by Shift'!$A:$D,3,0)),0)</f>
        <v>0</v>
      </c>
      <c r="F451" s="45">
        <f>IFERROR((VLOOKUP(C451,'Daily Scrap by Shift'!$A:$D,4,0)),0)</f>
        <v>0</v>
      </c>
      <c r="G451" s="33">
        <v>259</v>
      </c>
      <c r="H451" s="3">
        <f t="shared" si="24"/>
        <v>-1</v>
      </c>
    </row>
    <row r="452" spans="1:8" x14ac:dyDescent="0.25">
      <c r="A452" s="23">
        <v>44003</v>
      </c>
      <c r="B452" s="46" t="s">
        <v>555</v>
      </c>
      <c r="C452" s="19" t="str">
        <f t="shared" si="23"/>
        <v>44003 - 3T</v>
      </c>
      <c r="D452" s="45">
        <f>IFERROR((VLOOKUP(C452,'Daily Scrap by Shift'!$A:$D,2,0)),0)</f>
        <v>0</v>
      </c>
      <c r="E452" s="45">
        <f>IFERROR((VLOOKUP(C452,'Daily Scrap by Shift'!$A:$D,3,0)),0)</f>
        <v>0</v>
      </c>
      <c r="F452" s="45">
        <f>IFERROR((VLOOKUP(C452,'Daily Scrap by Shift'!$A:$D,4,0)),0)</f>
        <v>0</v>
      </c>
      <c r="G452" s="33">
        <v>1021</v>
      </c>
      <c r="H452" s="3">
        <f t="shared" si="24"/>
        <v>-1</v>
      </c>
    </row>
    <row r="453" spans="1:8" x14ac:dyDescent="0.25">
      <c r="A453" s="23">
        <v>44003</v>
      </c>
      <c r="B453" s="46" t="s">
        <v>556</v>
      </c>
      <c r="C453" s="19" t="str">
        <f t="shared" si="23"/>
        <v>44003 - 4T</v>
      </c>
      <c r="D453" s="45">
        <f>IFERROR((VLOOKUP(C453,'Daily Scrap by Shift'!$A:$D,2,0)),0)</f>
        <v>0</v>
      </c>
      <c r="E453" s="45">
        <f>IFERROR((VLOOKUP(C453,'Daily Scrap by Shift'!$A:$D,3,0)),0)</f>
        <v>0</v>
      </c>
      <c r="F453" s="45">
        <f>IFERROR((VLOOKUP(C453,'Daily Scrap by Shift'!$A:$D,4,0)),0)</f>
        <v>0</v>
      </c>
      <c r="G453" s="33">
        <v>193</v>
      </c>
      <c r="H453" s="3">
        <f t="shared" si="24"/>
        <v>-1</v>
      </c>
    </row>
    <row r="454" spans="1:8" x14ac:dyDescent="0.25">
      <c r="A454" s="23">
        <v>44004</v>
      </c>
      <c r="B454" s="46" t="s">
        <v>561</v>
      </c>
      <c r="C454" s="19" t="str">
        <f t="shared" ref="C454:C517" si="25">CONCATENATE(A454," - ",B454)</f>
        <v>44004 - 1T</v>
      </c>
      <c r="D454" s="45">
        <f>IFERROR((VLOOKUP(C454,'Daily Scrap by Shift'!$A:$D,2,0)),0)</f>
        <v>0</v>
      </c>
      <c r="E454" s="45">
        <f>IFERROR((VLOOKUP(C454,'Daily Scrap by Shift'!$A:$D,3,0)),0)</f>
        <v>0</v>
      </c>
      <c r="F454" s="45">
        <f>IFERROR((VLOOKUP(C454,'Daily Scrap by Shift'!$A:$D,4,0)),0)</f>
        <v>0</v>
      </c>
      <c r="G454" s="33">
        <v>782</v>
      </c>
      <c r="H454" s="3">
        <f t="shared" si="24"/>
        <v>-1</v>
      </c>
    </row>
    <row r="455" spans="1:8" x14ac:dyDescent="0.25">
      <c r="A455" s="23">
        <v>44004</v>
      </c>
      <c r="B455" s="46" t="s">
        <v>562</v>
      </c>
      <c r="C455" s="19" t="str">
        <f t="shared" si="25"/>
        <v>44004 - 2T</v>
      </c>
      <c r="D455" s="45">
        <f>IFERROR((VLOOKUP(C455,'Daily Scrap by Shift'!$A:$D,2,0)),0)</f>
        <v>0</v>
      </c>
      <c r="E455" s="45">
        <f>IFERROR((VLOOKUP(C455,'Daily Scrap by Shift'!$A:$D,3,0)),0)</f>
        <v>0</v>
      </c>
      <c r="F455" s="45">
        <f>IFERROR((VLOOKUP(C455,'Daily Scrap by Shift'!$A:$D,4,0)),0)</f>
        <v>0</v>
      </c>
      <c r="G455" s="33">
        <v>497</v>
      </c>
      <c r="H455" s="3">
        <f t="shared" si="24"/>
        <v>-1</v>
      </c>
    </row>
    <row r="456" spans="1:8" x14ac:dyDescent="0.25">
      <c r="A456" s="23">
        <v>44005</v>
      </c>
      <c r="B456" s="46" t="s">
        <v>561</v>
      </c>
      <c r="C456" s="19" t="str">
        <f t="shared" si="25"/>
        <v>44005 - 1T</v>
      </c>
      <c r="D456" s="45">
        <f>IFERROR((VLOOKUP(C456,'Daily Scrap by Shift'!$A:$D,2,0)),0)</f>
        <v>0</v>
      </c>
      <c r="E456" s="45">
        <f>IFERROR((VLOOKUP(C456,'Daily Scrap by Shift'!$A:$D,3,0)),0)</f>
        <v>0</v>
      </c>
      <c r="F456" s="45">
        <f>IFERROR((VLOOKUP(C456,'Daily Scrap by Shift'!$A:$D,4,0)),0)</f>
        <v>0</v>
      </c>
      <c r="G456" s="33">
        <v>433</v>
      </c>
      <c r="H456" s="3">
        <f t="shared" si="24"/>
        <v>-1</v>
      </c>
    </row>
    <row r="457" spans="1:8" x14ac:dyDescent="0.25">
      <c r="A457" s="23">
        <v>44005</v>
      </c>
      <c r="B457" s="46" t="s">
        <v>562</v>
      </c>
      <c r="C457" s="19" t="str">
        <f t="shared" si="25"/>
        <v>44005 - 2T</v>
      </c>
      <c r="D457" s="45">
        <f>IFERROR((VLOOKUP(C457,'Daily Scrap by Shift'!$A:$D,2,0)),0)</f>
        <v>0</v>
      </c>
      <c r="E457" s="45">
        <f>IFERROR((VLOOKUP(C457,'Daily Scrap by Shift'!$A:$D,3,0)),0)</f>
        <v>0</v>
      </c>
      <c r="F457" s="45">
        <f>IFERROR((VLOOKUP(C457,'Daily Scrap by Shift'!$A:$D,4,0)),0)</f>
        <v>0</v>
      </c>
      <c r="G457" s="33">
        <v>907</v>
      </c>
      <c r="H457" s="3">
        <f t="shared" si="24"/>
        <v>-1</v>
      </c>
    </row>
    <row r="458" spans="1:8" x14ac:dyDescent="0.25">
      <c r="A458" s="23">
        <v>44006</v>
      </c>
      <c r="B458" s="46" t="s">
        <v>555</v>
      </c>
      <c r="C458" s="19" t="str">
        <f t="shared" si="25"/>
        <v>44006 - 3T</v>
      </c>
      <c r="D458" s="45">
        <f>IFERROR((VLOOKUP(C458,'Daily Scrap by Shift'!$A:$D,2,0)),0)</f>
        <v>0</v>
      </c>
      <c r="E458" s="45">
        <f>IFERROR((VLOOKUP(C458,'Daily Scrap by Shift'!$A:$D,3,0)),0)</f>
        <v>0</v>
      </c>
      <c r="F458" s="45">
        <f>IFERROR((VLOOKUP(C458,'Daily Scrap by Shift'!$A:$D,4,0)),0)</f>
        <v>0</v>
      </c>
      <c r="G458" s="33">
        <v>623</v>
      </c>
      <c r="H458" s="3">
        <f t="shared" si="24"/>
        <v>-1</v>
      </c>
    </row>
    <row r="459" spans="1:8" x14ac:dyDescent="0.25">
      <c r="A459" s="23">
        <v>44006</v>
      </c>
      <c r="B459" s="46" t="s">
        <v>556</v>
      </c>
      <c r="C459" s="19" t="str">
        <f t="shared" si="25"/>
        <v>44006 - 4T</v>
      </c>
      <c r="D459" s="45">
        <f>IFERROR((VLOOKUP(C459,'Daily Scrap by Shift'!$A:$D,2,0)),0)</f>
        <v>0</v>
      </c>
      <c r="E459" s="45">
        <f>IFERROR((VLOOKUP(C459,'Daily Scrap by Shift'!$A:$D,3,0)),0)</f>
        <v>0</v>
      </c>
      <c r="F459" s="45">
        <f>IFERROR((VLOOKUP(C459,'Daily Scrap by Shift'!$A:$D,4,0)),0)</f>
        <v>0</v>
      </c>
      <c r="G459" s="33">
        <v>612</v>
      </c>
      <c r="H459" s="3">
        <f t="shared" si="24"/>
        <v>-1</v>
      </c>
    </row>
    <row r="460" spans="1:8" x14ac:dyDescent="0.25">
      <c r="A460" s="23">
        <v>44007</v>
      </c>
      <c r="B460" s="46" t="s">
        <v>555</v>
      </c>
      <c r="C460" s="19" t="str">
        <f t="shared" si="25"/>
        <v>44007 - 3T</v>
      </c>
      <c r="D460" s="45">
        <f>IFERROR((VLOOKUP(C460,'Daily Scrap by Shift'!$A:$D,2,0)),0)</f>
        <v>0</v>
      </c>
      <c r="E460" s="45">
        <f>IFERROR((VLOOKUP(C460,'Daily Scrap by Shift'!$A:$D,3,0)),0)</f>
        <v>0</v>
      </c>
      <c r="F460" s="45">
        <f>IFERROR((VLOOKUP(C460,'Daily Scrap by Shift'!$A:$D,4,0)),0)</f>
        <v>0</v>
      </c>
      <c r="G460" s="33">
        <v>1032</v>
      </c>
      <c r="H460" s="3">
        <f t="shared" si="24"/>
        <v>-1</v>
      </c>
    </row>
    <row r="461" spans="1:8" x14ac:dyDescent="0.25">
      <c r="A461" s="23">
        <v>44007</v>
      </c>
      <c r="B461" s="46" t="s">
        <v>556</v>
      </c>
      <c r="C461" s="19" t="str">
        <f t="shared" si="25"/>
        <v>44007 - 4T</v>
      </c>
      <c r="D461" s="45">
        <f>IFERROR((VLOOKUP(C461,'Daily Scrap by Shift'!$A:$D,2,0)),0)</f>
        <v>0</v>
      </c>
      <c r="E461" s="45">
        <f>IFERROR((VLOOKUP(C461,'Daily Scrap by Shift'!$A:$D,3,0)),0)</f>
        <v>0</v>
      </c>
      <c r="F461" s="45">
        <f>IFERROR((VLOOKUP(C461,'Daily Scrap by Shift'!$A:$D,4,0)),0)</f>
        <v>0</v>
      </c>
      <c r="G461" s="33">
        <v>428</v>
      </c>
      <c r="H461" s="3">
        <f t="shared" si="24"/>
        <v>-1</v>
      </c>
    </row>
    <row r="462" spans="1:8" x14ac:dyDescent="0.25">
      <c r="A462" s="23">
        <v>44008</v>
      </c>
      <c r="B462" s="46" t="s">
        <v>561</v>
      </c>
      <c r="C462" s="19" t="str">
        <f t="shared" si="25"/>
        <v>44008 - 1T</v>
      </c>
      <c r="D462" s="45">
        <f>IFERROR((VLOOKUP(C462,'Daily Scrap by Shift'!$A:$D,2,0)),0)</f>
        <v>0</v>
      </c>
      <c r="E462" s="45">
        <f>IFERROR((VLOOKUP(C462,'Daily Scrap by Shift'!$A:$D,3,0)),0)</f>
        <v>0</v>
      </c>
      <c r="F462" s="45">
        <f>IFERROR((VLOOKUP(C462,'Daily Scrap by Shift'!$A:$D,4,0)),0)</f>
        <v>0</v>
      </c>
      <c r="G462" s="33">
        <v>996</v>
      </c>
      <c r="H462" s="3">
        <f t="shared" si="24"/>
        <v>-1</v>
      </c>
    </row>
    <row r="463" spans="1:8" x14ac:dyDescent="0.25">
      <c r="A463" s="23">
        <v>44008</v>
      </c>
      <c r="B463" s="46" t="s">
        <v>562</v>
      </c>
      <c r="C463" s="19" t="str">
        <f t="shared" si="25"/>
        <v>44008 - 2T</v>
      </c>
      <c r="D463" s="45">
        <f>IFERROR((VLOOKUP(C463,'Daily Scrap by Shift'!$A:$D,2,0)),0)</f>
        <v>0</v>
      </c>
      <c r="E463" s="45">
        <f>IFERROR((VLOOKUP(C463,'Daily Scrap by Shift'!$A:$D,3,0)),0)</f>
        <v>0</v>
      </c>
      <c r="F463" s="45">
        <f>IFERROR((VLOOKUP(C463,'Daily Scrap by Shift'!$A:$D,4,0)),0)</f>
        <v>0</v>
      </c>
      <c r="G463" s="33">
        <v>1137</v>
      </c>
      <c r="H463" s="3">
        <f t="shared" si="24"/>
        <v>-1</v>
      </c>
    </row>
    <row r="464" spans="1:8" x14ac:dyDescent="0.25">
      <c r="A464" s="23">
        <v>44009</v>
      </c>
      <c r="B464" s="46" t="s">
        <v>561</v>
      </c>
      <c r="C464" s="19" t="str">
        <f t="shared" si="25"/>
        <v>44009 - 1T</v>
      </c>
      <c r="D464" s="45">
        <f>IFERROR((VLOOKUP(C464,'Daily Scrap by Shift'!$A:$D,2,0)),0)</f>
        <v>0</v>
      </c>
      <c r="E464" s="45">
        <f>IFERROR((VLOOKUP(C464,'Daily Scrap by Shift'!$A:$D,3,0)),0)</f>
        <v>0</v>
      </c>
      <c r="F464" s="45">
        <f>IFERROR((VLOOKUP(C464,'Daily Scrap by Shift'!$A:$D,4,0)),0)</f>
        <v>0</v>
      </c>
      <c r="G464" s="33">
        <v>1327</v>
      </c>
      <c r="H464" s="3">
        <f t="shared" si="24"/>
        <v>-1</v>
      </c>
    </row>
    <row r="465" spans="1:8" x14ac:dyDescent="0.25">
      <c r="A465" s="23">
        <v>44009</v>
      </c>
      <c r="B465" s="46" t="s">
        <v>562</v>
      </c>
      <c r="C465" s="19" t="str">
        <f t="shared" si="25"/>
        <v>44009 - 2T</v>
      </c>
      <c r="D465" s="45">
        <f>IFERROR((VLOOKUP(C465,'Daily Scrap by Shift'!$A:$D,2,0)),0)</f>
        <v>0</v>
      </c>
      <c r="E465" s="45">
        <f>IFERROR((VLOOKUP(C465,'Daily Scrap by Shift'!$A:$D,3,0)),0)</f>
        <v>0</v>
      </c>
      <c r="F465" s="45">
        <f>IFERROR((VLOOKUP(C465,'Daily Scrap by Shift'!$A:$D,4,0)),0)</f>
        <v>0</v>
      </c>
      <c r="G465" s="33">
        <v>924</v>
      </c>
      <c r="H465" s="3">
        <f t="shared" si="24"/>
        <v>-1</v>
      </c>
    </row>
    <row r="466" spans="1:8" x14ac:dyDescent="0.25">
      <c r="A466" s="23">
        <v>44010</v>
      </c>
      <c r="B466" s="46" t="s">
        <v>561</v>
      </c>
      <c r="C466" s="19" t="str">
        <f t="shared" si="25"/>
        <v>44010 - 1T</v>
      </c>
      <c r="D466" s="45">
        <f>IFERROR((VLOOKUP(C466,'Daily Scrap by Shift'!$A:$D,2,0)),0)</f>
        <v>0</v>
      </c>
      <c r="E466" s="45">
        <f>IFERROR((VLOOKUP(C466,'Daily Scrap by Shift'!$A:$D,3,0)),0)</f>
        <v>0</v>
      </c>
      <c r="F466" s="45">
        <f>IFERROR((VLOOKUP(C466,'Daily Scrap by Shift'!$A:$D,4,0)),0)</f>
        <v>0</v>
      </c>
      <c r="G466" s="33">
        <v>1652</v>
      </c>
      <c r="H466" s="3">
        <f t="shared" si="24"/>
        <v>-1</v>
      </c>
    </row>
    <row r="467" spans="1:8" x14ac:dyDescent="0.25">
      <c r="A467" s="23">
        <v>44010</v>
      </c>
      <c r="B467" s="46" t="s">
        <v>562</v>
      </c>
      <c r="C467" s="19" t="str">
        <f t="shared" si="25"/>
        <v>44010 - 2T</v>
      </c>
      <c r="D467" s="45">
        <f>IFERROR((VLOOKUP(C467,'Daily Scrap by Shift'!$A:$D,2,0)),0)</f>
        <v>0</v>
      </c>
      <c r="E467" s="45">
        <f>IFERROR((VLOOKUP(C467,'Daily Scrap by Shift'!$A:$D,3,0)),0)</f>
        <v>0</v>
      </c>
      <c r="F467" s="45">
        <f>IFERROR((VLOOKUP(C467,'Daily Scrap by Shift'!$A:$D,4,0)),0)</f>
        <v>0</v>
      </c>
      <c r="G467" s="33">
        <v>948</v>
      </c>
      <c r="H467" s="3">
        <f t="shared" si="24"/>
        <v>-1</v>
      </c>
    </row>
    <row r="468" spans="1:8" x14ac:dyDescent="0.25">
      <c r="A468" s="23">
        <v>44011</v>
      </c>
      <c r="B468" s="46" t="s">
        <v>555</v>
      </c>
      <c r="C468" s="19" t="str">
        <f t="shared" si="25"/>
        <v>44011 - 3T</v>
      </c>
      <c r="D468" s="45">
        <f>IFERROR((VLOOKUP(C468,'Daily Scrap by Shift'!$A:$D,2,0)),0)</f>
        <v>0</v>
      </c>
      <c r="E468" s="45">
        <f>IFERROR((VLOOKUP(C468,'Daily Scrap by Shift'!$A:$D,3,0)),0)</f>
        <v>0</v>
      </c>
      <c r="F468" s="45">
        <f>IFERROR((VLOOKUP(C468,'Daily Scrap by Shift'!$A:$D,4,0)),0)</f>
        <v>0</v>
      </c>
      <c r="G468" s="33">
        <v>1086</v>
      </c>
      <c r="H468" s="3">
        <f t="shared" si="24"/>
        <v>-1</v>
      </c>
    </row>
    <row r="469" spans="1:8" x14ac:dyDescent="0.25">
      <c r="A469" s="23">
        <v>44011</v>
      </c>
      <c r="B469" s="46" t="s">
        <v>556</v>
      </c>
      <c r="C469" s="19" t="str">
        <f t="shared" si="25"/>
        <v>44011 - 4T</v>
      </c>
      <c r="D469" s="45">
        <f>IFERROR((VLOOKUP(C469,'Daily Scrap by Shift'!$A:$D,2,0)),0)</f>
        <v>0</v>
      </c>
      <c r="E469" s="45">
        <f>IFERROR((VLOOKUP(C469,'Daily Scrap by Shift'!$A:$D,3,0)),0)</f>
        <v>0</v>
      </c>
      <c r="F469" s="45">
        <f>IFERROR((VLOOKUP(C469,'Daily Scrap by Shift'!$A:$D,4,0)),0)</f>
        <v>0</v>
      </c>
      <c r="G469" s="33">
        <v>514</v>
      </c>
      <c r="H469" s="3">
        <f t="shared" si="24"/>
        <v>-1</v>
      </c>
    </row>
    <row r="470" spans="1:8" x14ac:dyDescent="0.25">
      <c r="A470" s="23">
        <v>44012</v>
      </c>
      <c r="B470" s="46" t="s">
        <v>555</v>
      </c>
      <c r="C470" s="19" t="str">
        <f t="shared" si="25"/>
        <v>44012 - 3T</v>
      </c>
      <c r="D470" s="45">
        <f>IFERROR((VLOOKUP(C470,'Daily Scrap by Shift'!$A:$D,2,0)),0)</f>
        <v>0</v>
      </c>
      <c r="E470" s="45">
        <f>IFERROR((VLOOKUP(C470,'Daily Scrap by Shift'!$A:$D,3,0)),0)</f>
        <v>0</v>
      </c>
      <c r="F470" s="45">
        <f>IFERROR((VLOOKUP(C470,'Daily Scrap by Shift'!$A:$D,4,0)),0)</f>
        <v>0</v>
      </c>
      <c r="G470" s="33">
        <v>478</v>
      </c>
      <c r="H470" s="3">
        <f t="shared" ref="H470:H533" si="26">(F470-G470)/G470</f>
        <v>-1</v>
      </c>
    </row>
    <row r="471" spans="1:8" x14ac:dyDescent="0.25">
      <c r="A471" s="23">
        <v>44012</v>
      </c>
      <c r="B471" s="46" t="s">
        <v>556</v>
      </c>
      <c r="C471" s="19" t="str">
        <f t="shared" si="25"/>
        <v>44012 - 4T</v>
      </c>
      <c r="D471" s="45">
        <f>IFERROR((VLOOKUP(C471,'Daily Scrap by Shift'!$A:$D,2,0)),0)</f>
        <v>0</v>
      </c>
      <c r="E471" s="45">
        <f>IFERROR((VLOOKUP(C471,'Daily Scrap by Shift'!$A:$D,3,0)),0)</f>
        <v>0</v>
      </c>
      <c r="F471" s="45">
        <f>IFERROR((VLOOKUP(C471,'Daily Scrap by Shift'!$A:$D,4,0)),0)</f>
        <v>0</v>
      </c>
      <c r="G471" s="33">
        <v>68</v>
      </c>
      <c r="H471" s="3">
        <f t="shared" si="26"/>
        <v>-1</v>
      </c>
    </row>
    <row r="472" spans="1:8" x14ac:dyDescent="0.25">
      <c r="A472" s="23">
        <v>44013</v>
      </c>
      <c r="B472" s="46" t="s">
        <v>561</v>
      </c>
      <c r="C472" s="19" t="str">
        <f t="shared" si="25"/>
        <v>44013 - 1T</v>
      </c>
      <c r="D472" s="45">
        <f>IFERROR((VLOOKUP(C472,'Daily Scrap by Shift'!$A:$D,2,0)),0)</f>
        <v>0</v>
      </c>
      <c r="E472" s="45">
        <f>IFERROR((VLOOKUP(C472,'Daily Scrap by Shift'!$A:$D,3,0)),0)</f>
        <v>0</v>
      </c>
      <c r="F472" s="45">
        <f>IFERROR((VLOOKUP(C472,'Daily Scrap by Shift'!$A:$D,4,0)),0)</f>
        <v>0</v>
      </c>
      <c r="G472" s="33">
        <v>1001</v>
      </c>
      <c r="H472" s="3">
        <f t="shared" si="26"/>
        <v>-1</v>
      </c>
    </row>
    <row r="473" spans="1:8" x14ac:dyDescent="0.25">
      <c r="A473" s="23">
        <v>44013</v>
      </c>
      <c r="B473" s="46" t="s">
        <v>562</v>
      </c>
      <c r="C473" s="19" t="str">
        <f t="shared" si="25"/>
        <v>44013 - 2T</v>
      </c>
      <c r="D473" s="45">
        <f>IFERROR((VLOOKUP(C473,'Daily Scrap by Shift'!$A:$D,2,0)),0)</f>
        <v>0</v>
      </c>
      <c r="E473" s="45">
        <f>IFERROR((VLOOKUP(C473,'Daily Scrap by Shift'!$A:$D,3,0)),0)</f>
        <v>0</v>
      </c>
      <c r="F473" s="45">
        <f>IFERROR((VLOOKUP(C473,'Daily Scrap by Shift'!$A:$D,4,0)),0)</f>
        <v>0</v>
      </c>
      <c r="G473" s="33">
        <v>853</v>
      </c>
      <c r="H473" s="3">
        <f t="shared" si="26"/>
        <v>-1</v>
      </c>
    </row>
    <row r="474" spans="1:8" x14ac:dyDescent="0.25">
      <c r="A474" s="23">
        <v>44014</v>
      </c>
      <c r="B474" s="46" t="s">
        <v>561</v>
      </c>
      <c r="C474" s="19" t="str">
        <f t="shared" si="25"/>
        <v>44014 - 1T</v>
      </c>
      <c r="D474" s="45">
        <f>IFERROR((VLOOKUP(C474,'Daily Scrap by Shift'!$A:$D,2,0)),0)</f>
        <v>0</v>
      </c>
      <c r="E474" s="45">
        <f>IFERROR((VLOOKUP(C474,'Daily Scrap by Shift'!$A:$D,3,0)),0)</f>
        <v>0</v>
      </c>
      <c r="F474" s="45">
        <f>IFERROR((VLOOKUP(C474,'Daily Scrap by Shift'!$A:$D,4,0)),0)</f>
        <v>0</v>
      </c>
      <c r="G474" s="33">
        <v>1350</v>
      </c>
      <c r="H474" s="3">
        <f t="shared" si="26"/>
        <v>-1</v>
      </c>
    </row>
    <row r="475" spans="1:8" x14ac:dyDescent="0.25">
      <c r="A475" s="23">
        <v>44014</v>
      </c>
      <c r="B475" s="46" t="s">
        <v>562</v>
      </c>
      <c r="C475" s="19" t="str">
        <f t="shared" si="25"/>
        <v>44014 - 2T</v>
      </c>
      <c r="D475" s="45">
        <f>IFERROR((VLOOKUP(C475,'Daily Scrap by Shift'!$A:$D,2,0)),0)</f>
        <v>0</v>
      </c>
      <c r="E475" s="45">
        <f>IFERROR((VLOOKUP(C475,'Daily Scrap by Shift'!$A:$D,3,0)),0)</f>
        <v>0</v>
      </c>
      <c r="F475" s="45">
        <f>IFERROR((VLOOKUP(C475,'Daily Scrap by Shift'!$A:$D,4,0)),0)</f>
        <v>0</v>
      </c>
      <c r="G475" s="33">
        <v>1338</v>
      </c>
      <c r="H475" s="3">
        <f t="shared" si="26"/>
        <v>-1</v>
      </c>
    </row>
    <row r="476" spans="1:8" x14ac:dyDescent="0.25">
      <c r="A476" s="23">
        <v>44017</v>
      </c>
      <c r="B476" s="46" t="s">
        <v>561</v>
      </c>
      <c r="C476" s="19" t="str">
        <f t="shared" si="25"/>
        <v>44017 - 1T</v>
      </c>
      <c r="D476" s="45">
        <f>IFERROR((VLOOKUP(C476,'Daily Scrap by Shift'!$A:$D,2,0)),0)</f>
        <v>0</v>
      </c>
      <c r="E476" s="45">
        <f>IFERROR((VLOOKUP(C476,'Daily Scrap by Shift'!$A:$D,3,0)),0)</f>
        <v>0</v>
      </c>
      <c r="F476" s="45">
        <f>IFERROR((VLOOKUP(C476,'Daily Scrap by Shift'!$A:$D,4,0)),0)</f>
        <v>0</v>
      </c>
      <c r="G476" s="33">
        <v>0</v>
      </c>
      <c r="H476" s="3" t="e">
        <f t="shared" si="26"/>
        <v>#DIV/0!</v>
      </c>
    </row>
    <row r="477" spans="1:8" x14ac:dyDescent="0.25">
      <c r="A477" s="23">
        <v>44017</v>
      </c>
      <c r="B477" s="46" t="s">
        <v>562</v>
      </c>
      <c r="C477" s="19" t="str">
        <f t="shared" si="25"/>
        <v>44017 - 2T</v>
      </c>
      <c r="D477" s="45">
        <f>IFERROR((VLOOKUP(C477,'Daily Scrap by Shift'!$A:$D,2,0)),0)</f>
        <v>0</v>
      </c>
      <c r="E477" s="45">
        <f>IFERROR((VLOOKUP(C477,'Daily Scrap by Shift'!$A:$D,3,0)),0)</f>
        <v>0</v>
      </c>
      <c r="F477" s="45">
        <f>IFERROR((VLOOKUP(C477,'Daily Scrap by Shift'!$A:$D,4,0)),0)</f>
        <v>0</v>
      </c>
      <c r="G477" s="33">
        <v>68</v>
      </c>
      <c r="H477" s="3">
        <f t="shared" si="26"/>
        <v>-1</v>
      </c>
    </row>
    <row r="478" spans="1:8" x14ac:dyDescent="0.25">
      <c r="A478" s="23">
        <v>44019</v>
      </c>
      <c r="B478" s="46" t="s">
        <v>561</v>
      </c>
      <c r="C478" s="19" t="str">
        <f t="shared" si="25"/>
        <v>44019 - 1T</v>
      </c>
      <c r="D478" s="45">
        <f>IFERROR((VLOOKUP(C478,'Daily Scrap by Shift'!$A:$D,2,0)),0)</f>
        <v>0</v>
      </c>
      <c r="E478" s="45">
        <f>IFERROR((VLOOKUP(C478,'Daily Scrap by Shift'!$A:$D,3,0)),0)</f>
        <v>0</v>
      </c>
      <c r="F478" s="45">
        <f>IFERROR((VLOOKUP(C478,'Daily Scrap by Shift'!$A:$D,4,0)),0)</f>
        <v>0</v>
      </c>
      <c r="G478" s="33">
        <v>1160</v>
      </c>
      <c r="H478" s="3">
        <f t="shared" si="26"/>
        <v>-1</v>
      </c>
    </row>
    <row r="479" spans="1:8" x14ac:dyDescent="0.25">
      <c r="A479" s="23">
        <v>44019</v>
      </c>
      <c r="B479" s="46" t="s">
        <v>562</v>
      </c>
      <c r="C479" s="19" t="str">
        <f t="shared" si="25"/>
        <v>44019 - 2T</v>
      </c>
      <c r="D479" s="45">
        <f>IFERROR((VLOOKUP(C479,'Daily Scrap by Shift'!$A:$D,2,0)),0)</f>
        <v>0</v>
      </c>
      <c r="E479" s="45">
        <f>IFERROR((VLOOKUP(C479,'Daily Scrap by Shift'!$A:$D,3,0)),0)</f>
        <v>0</v>
      </c>
      <c r="F479" s="45">
        <f>IFERROR((VLOOKUP(C479,'Daily Scrap by Shift'!$A:$D,4,0)),0)</f>
        <v>0</v>
      </c>
      <c r="G479" s="33">
        <v>1132</v>
      </c>
      <c r="H479" s="3">
        <f t="shared" si="26"/>
        <v>-1</v>
      </c>
    </row>
    <row r="480" spans="1:8" x14ac:dyDescent="0.25">
      <c r="A480" s="23">
        <v>44020</v>
      </c>
      <c r="B480" s="46" t="s">
        <v>555</v>
      </c>
      <c r="C480" s="19" t="str">
        <f t="shared" si="25"/>
        <v>44020 - 3T</v>
      </c>
      <c r="D480" s="45">
        <f>IFERROR((VLOOKUP(C480,'Daily Scrap by Shift'!$A:$D,2,0)),0)</f>
        <v>0</v>
      </c>
      <c r="E480" s="45">
        <f>IFERROR((VLOOKUP(C480,'Daily Scrap by Shift'!$A:$D,3,0)),0)</f>
        <v>0</v>
      </c>
      <c r="F480" s="45">
        <f>IFERROR((VLOOKUP(C480,'Daily Scrap by Shift'!$A:$D,4,0)),0)</f>
        <v>0</v>
      </c>
      <c r="G480" s="33">
        <v>1119</v>
      </c>
      <c r="H480" s="3">
        <f t="shared" si="26"/>
        <v>-1</v>
      </c>
    </row>
    <row r="481" spans="1:8" x14ac:dyDescent="0.25">
      <c r="A481" s="23">
        <v>44020</v>
      </c>
      <c r="B481" s="46" t="s">
        <v>556</v>
      </c>
      <c r="C481" s="19" t="str">
        <f t="shared" si="25"/>
        <v>44020 - 4T</v>
      </c>
      <c r="D481" s="45">
        <f>IFERROR((VLOOKUP(C481,'Daily Scrap by Shift'!$A:$D,2,0)),0)</f>
        <v>0</v>
      </c>
      <c r="E481" s="45">
        <f>IFERROR((VLOOKUP(C481,'Daily Scrap by Shift'!$A:$D,3,0)),0)</f>
        <v>0</v>
      </c>
      <c r="F481" s="45">
        <f>IFERROR((VLOOKUP(C481,'Daily Scrap by Shift'!$A:$D,4,0)),0)</f>
        <v>0</v>
      </c>
      <c r="G481" s="33">
        <v>972</v>
      </c>
      <c r="H481" s="3">
        <f t="shared" si="26"/>
        <v>-1</v>
      </c>
    </row>
    <row r="482" spans="1:8" x14ac:dyDescent="0.25">
      <c r="A482" s="23">
        <v>44021</v>
      </c>
      <c r="B482" s="46" t="s">
        <v>555</v>
      </c>
      <c r="C482" s="19" t="str">
        <f t="shared" si="25"/>
        <v>44021 - 3T</v>
      </c>
      <c r="D482" s="45">
        <f>IFERROR((VLOOKUP(C482,'Daily Scrap by Shift'!$A:$D,2,0)),0)</f>
        <v>0</v>
      </c>
      <c r="E482" s="45">
        <f>IFERROR((VLOOKUP(C482,'Daily Scrap by Shift'!$A:$D,3,0)),0)</f>
        <v>0</v>
      </c>
      <c r="F482" s="45">
        <f>IFERROR((VLOOKUP(C482,'Daily Scrap by Shift'!$A:$D,4,0)),0)</f>
        <v>0</v>
      </c>
      <c r="G482" s="33">
        <v>1333</v>
      </c>
      <c r="H482" s="3">
        <f t="shared" si="26"/>
        <v>-1</v>
      </c>
    </row>
    <row r="483" spans="1:8" x14ac:dyDescent="0.25">
      <c r="A483" s="23">
        <v>44021</v>
      </c>
      <c r="B483" s="46" t="s">
        <v>556</v>
      </c>
      <c r="C483" s="19" t="str">
        <f t="shared" si="25"/>
        <v>44021 - 4T</v>
      </c>
      <c r="D483" s="45">
        <f>IFERROR((VLOOKUP(C483,'Daily Scrap by Shift'!$A:$D,2,0)),0)</f>
        <v>0</v>
      </c>
      <c r="E483" s="45">
        <f>IFERROR((VLOOKUP(C483,'Daily Scrap by Shift'!$A:$D,3,0)),0)</f>
        <v>0</v>
      </c>
      <c r="F483" s="45">
        <f>IFERROR((VLOOKUP(C483,'Daily Scrap by Shift'!$A:$D,4,0)),0)</f>
        <v>0</v>
      </c>
      <c r="G483" s="33">
        <v>779</v>
      </c>
      <c r="H483" s="3">
        <f t="shared" si="26"/>
        <v>-1</v>
      </c>
    </row>
    <row r="484" spans="1:8" x14ac:dyDescent="0.25">
      <c r="A484" s="23">
        <v>44022</v>
      </c>
      <c r="B484" s="46" t="s">
        <v>561</v>
      </c>
      <c r="C484" s="19" t="str">
        <f t="shared" si="25"/>
        <v>44022 - 1T</v>
      </c>
      <c r="D484" s="45">
        <f>IFERROR((VLOOKUP(C484,'Daily Scrap by Shift'!$A:$D,2,0)),0)</f>
        <v>0</v>
      </c>
      <c r="E484" s="45">
        <f>IFERROR((VLOOKUP(C484,'Daily Scrap by Shift'!$A:$D,3,0)),0)</f>
        <v>0</v>
      </c>
      <c r="F484" s="45">
        <f>IFERROR((VLOOKUP(C484,'Daily Scrap by Shift'!$A:$D,4,0)),0)</f>
        <v>0</v>
      </c>
      <c r="G484" s="33">
        <v>1683</v>
      </c>
      <c r="H484" s="3">
        <f t="shared" si="26"/>
        <v>-1</v>
      </c>
    </row>
    <row r="485" spans="1:8" x14ac:dyDescent="0.25">
      <c r="A485" s="23">
        <v>44022</v>
      </c>
      <c r="B485" s="46" t="s">
        <v>562</v>
      </c>
      <c r="C485" s="19" t="str">
        <f t="shared" si="25"/>
        <v>44022 - 2T</v>
      </c>
      <c r="D485" s="45">
        <f>IFERROR((VLOOKUP(C485,'Daily Scrap by Shift'!$A:$D,2,0)),0)</f>
        <v>0</v>
      </c>
      <c r="E485" s="45">
        <f>IFERROR((VLOOKUP(C485,'Daily Scrap by Shift'!$A:$D,3,0)),0)</f>
        <v>0</v>
      </c>
      <c r="F485" s="45">
        <f>IFERROR((VLOOKUP(C485,'Daily Scrap by Shift'!$A:$D,4,0)),0)</f>
        <v>0</v>
      </c>
      <c r="G485" s="33">
        <v>632</v>
      </c>
      <c r="H485" s="3">
        <f t="shared" si="26"/>
        <v>-1</v>
      </c>
    </row>
    <row r="486" spans="1:8" x14ac:dyDescent="0.25">
      <c r="A486" s="23">
        <v>44023</v>
      </c>
      <c r="B486" s="46" t="s">
        <v>561</v>
      </c>
      <c r="C486" s="19" t="str">
        <f t="shared" si="25"/>
        <v>44023 - 1T</v>
      </c>
      <c r="D486" s="45">
        <f>IFERROR((VLOOKUP(C486,'Daily Scrap by Shift'!$A:$D,2,0)),0)</f>
        <v>0</v>
      </c>
      <c r="E486" s="45">
        <f>IFERROR((VLOOKUP(C486,'Daily Scrap by Shift'!$A:$D,3,0)),0)</f>
        <v>0</v>
      </c>
      <c r="F486" s="45">
        <f>IFERROR((VLOOKUP(C486,'Daily Scrap by Shift'!$A:$D,4,0)),0)</f>
        <v>0</v>
      </c>
      <c r="G486" s="33">
        <v>1461</v>
      </c>
      <c r="H486" s="3">
        <f t="shared" si="26"/>
        <v>-1</v>
      </c>
    </row>
    <row r="487" spans="1:8" x14ac:dyDescent="0.25">
      <c r="A487" s="23">
        <v>44023</v>
      </c>
      <c r="B487" s="46" t="s">
        <v>562</v>
      </c>
      <c r="C487" s="19" t="str">
        <f t="shared" si="25"/>
        <v>44023 - 2T</v>
      </c>
      <c r="D487" s="45">
        <f>IFERROR((VLOOKUP(C487,'Daily Scrap by Shift'!$A:$D,2,0)),0)</f>
        <v>0</v>
      </c>
      <c r="E487" s="45">
        <f>IFERROR((VLOOKUP(C487,'Daily Scrap by Shift'!$A:$D,3,0)),0)</f>
        <v>0</v>
      </c>
      <c r="F487" s="45">
        <f>IFERROR((VLOOKUP(C487,'Daily Scrap by Shift'!$A:$D,4,0)),0)</f>
        <v>0</v>
      </c>
      <c r="G487" s="33">
        <v>796</v>
      </c>
      <c r="H487" s="3">
        <f t="shared" si="26"/>
        <v>-1</v>
      </c>
    </row>
    <row r="488" spans="1:8" x14ac:dyDescent="0.25">
      <c r="A488" s="23">
        <v>44024</v>
      </c>
      <c r="B488" s="46" t="s">
        <v>561</v>
      </c>
      <c r="C488" s="19" t="str">
        <f t="shared" si="25"/>
        <v>44024 - 1T</v>
      </c>
      <c r="D488" s="45">
        <f>IFERROR((VLOOKUP(C488,'Daily Scrap by Shift'!$A:$D,2,0)),0)</f>
        <v>0</v>
      </c>
      <c r="E488" s="45">
        <f>IFERROR((VLOOKUP(C488,'Daily Scrap by Shift'!$A:$D,3,0)),0)</f>
        <v>0</v>
      </c>
      <c r="F488" s="45">
        <f>IFERROR((VLOOKUP(C488,'Daily Scrap by Shift'!$A:$D,4,0)),0)</f>
        <v>0</v>
      </c>
      <c r="G488" s="33">
        <v>873</v>
      </c>
      <c r="H488" s="3">
        <f t="shared" si="26"/>
        <v>-1</v>
      </c>
    </row>
    <row r="489" spans="1:8" x14ac:dyDescent="0.25">
      <c r="A489" s="23">
        <v>44024</v>
      </c>
      <c r="B489" s="46" t="s">
        <v>562</v>
      </c>
      <c r="C489" s="19" t="str">
        <f t="shared" si="25"/>
        <v>44024 - 2T</v>
      </c>
      <c r="D489" s="45">
        <f>IFERROR((VLOOKUP(C489,'Daily Scrap by Shift'!$A:$D,2,0)),0)</f>
        <v>0</v>
      </c>
      <c r="E489" s="45">
        <f>IFERROR((VLOOKUP(C489,'Daily Scrap by Shift'!$A:$D,3,0)),0)</f>
        <v>0</v>
      </c>
      <c r="F489" s="45">
        <f>IFERROR((VLOOKUP(C489,'Daily Scrap by Shift'!$A:$D,4,0)),0)</f>
        <v>0</v>
      </c>
      <c r="G489" s="33">
        <v>935</v>
      </c>
      <c r="H489" s="3">
        <f t="shared" si="26"/>
        <v>-1</v>
      </c>
    </row>
    <row r="490" spans="1:8" x14ac:dyDescent="0.25">
      <c r="A490" s="23">
        <v>44025</v>
      </c>
      <c r="B490" s="46" t="s">
        <v>555</v>
      </c>
      <c r="C490" s="19" t="str">
        <f t="shared" si="25"/>
        <v>44025 - 3T</v>
      </c>
      <c r="D490" s="45">
        <f>IFERROR((VLOOKUP(C490,'Daily Scrap by Shift'!$A:$D,2,0)),0)</f>
        <v>0</v>
      </c>
      <c r="E490" s="45">
        <f>IFERROR((VLOOKUP(C490,'Daily Scrap by Shift'!$A:$D,3,0)),0)</f>
        <v>0</v>
      </c>
      <c r="F490" s="45">
        <f>IFERROR((VLOOKUP(C490,'Daily Scrap by Shift'!$A:$D,4,0)),0)</f>
        <v>0</v>
      </c>
      <c r="G490" s="33">
        <v>1057</v>
      </c>
      <c r="H490" s="3">
        <f t="shared" si="26"/>
        <v>-1</v>
      </c>
    </row>
    <row r="491" spans="1:8" x14ac:dyDescent="0.25">
      <c r="A491" s="23">
        <v>44025</v>
      </c>
      <c r="B491" s="46" t="s">
        <v>556</v>
      </c>
      <c r="C491" s="19" t="str">
        <f t="shared" si="25"/>
        <v>44025 - 4T</v>
      </c>
      <c r="D491" s="45">
        <f>IFERROR((VLOOKUP(C491,'Daily Scrap by Shift'!$A:$D,2,0)),0)</f>
        <v>0</v>
      </c>
      <c r="E491" s="45">
        <f>IFERROR((VLOOKUP(C491,'Daily Scrap by Shift'!$A:$D,3,0)),0)</f>
        <v>0</v>
      </c>
      <c r="F491" s="45">
        <f>IFERROR((VLOOKUP(C491,'Daily Scrap by Shift'!$A:$D,4,0)),0)</f>
        <v>0</v>
      </c>
      <c r="G491" s="33">
        <v>774</v>
      </c>
      <c r="H491" s="3">
        <f t="shared" si="26"/>
        <v>-1</v>
      </c>
    </row>
    <row r="492" spans="1:8" x14ac:dyDescent="0.25">
      <c r="A492" s="23">
        <v>44026</v>
      </c>
      <c r="B492" s="46" t="s">
        <v>555</v>
      </c>
      <c r="C492" s="19" t="str">
        <f t="shared" si="25"/>
        <v>44026 - 3T</v>
      </c>
      <c r="D492" s="45">
        <f>IFERROR((VLOOKUP(C492,'Daily Scrap by Shift'!$A:$D,2,0)),0)</f>
        <v>0</v>
      </c>
      <c r="E492" s="45">
        <f>IFERROR((VLOOKUP(C492,'Daily Scrap by Shift'!$A:$D,3,0)),0)</f>
        <v>0</v>
      </c>
      <c r="F492" s="45">
        <f>IFERROR((VLOOKUP(C492,'Daily Scrap by Shift'!$A:$D,4,0)),0)</f>
        <v>0</v>
      </c>
      <c r="G492" s="33">
        <v>963</v>
      </c>
      <c r="H492" s="3">
        <f t="shared" si="26"/>
        <v>-1</v>
      </c>
    </row>
    <row r="493" spans="1:8" x14ac:dyDescent="0.25">
      <c r="A493" s="23">
        <v>44026</v>
      </c>
      <c r="B493" s="46" t="s">
        <v>556</v>
      </c>
      <c r="C493" s="19" t="str">
        <f t="shared" si="25"/>
        <v>44026 - 4T</v>
      </c>
      <c r="D493" s="45">
        <f>IFERROR((VLOOKUP(C493,'Daily Scrap by Shift'!$A:$D,2,0)),0)</f>
        <v>0</v>
      </c>
      <c r="E493" s="45">
        <f>IFERROR((VLOOKUP(C493,'Daily Scrap by Shift'!$A:$D,3,0)),0)</f>
        <v>0</v>
      </c>
      <c r="F493" s="45">
        <f>IFERROR((VLOOKUP(C493,'Daily Scrap by Shift'!$A:$D,4,0)),0)</f>
        <v>0</v>
      </c>
      <c r="G493" s="33">
        <v>629</v>
      </c>
      <c r="H493" s="3">
        <f t="shared" si="26"/>
        <v>-1</v>
      </c>
    </row>
    <row r="494" spans="1:8" x14ac:dyDescent="0.25">
      <c r="A494" s="23">
        <v>44027</v>
      </c>
      <c r="B494" s="46" t="s">
        <v>561</v>
      </c>
      <c r="C494" s="19" t="str">
        <f t="shared" si="25"/>
        <v>44027 - 1T</v>
      </c>
      <c r="D494" s="45">
        <f>IFERROR((VLOOKUP(C494,'Daily Scrap by Shift'!$A:$D,2,0)),0)</f>
        <v>0</v>
      </c>
      <c r="E494" s="45">
        <f>IFERROR((VLOOKUP(C494,'Daily Scrap by Shift'!$A:$D,3,0)),0)</f>
        <v>0</v>
      </c>
      <c r="F494" s="45">
        <f>IFERROR((VLOOKUP(C494,'Daily Scrap by Shift'!$A:$D,4,0)),0)</f>
        <v>0</v>
      </c>
      <c r="G494" s="33">
        <v>1416</v>
      </c>
      <c r="H494" s="3">
        <f t="shared" si="26"/>
        <v>-1</v>
      </c>
    </row>
    <row r="495" spans="1:8" x14ac:dyDescent="0.25">
      <c r="A495" s="23">
        <v>44027</v>
      </c>
      <c r="B495" s="46" t="s">
        <v>562</v>
      </c>
      <c r="C495" s="19" t="str">
        <f t="shared" si="25"/>
        <v>44027 - 2T</v>
      </c>
      <c r="D495" s="45">
        <f>IFERROR((VLOOKUP(C495,'Daily Scrap by Shift'!$A:$D,2,0)),0)</f>
        <v>0</v>
      </c>
      <c r="E495" s="45">
        <f>IFERROR((VLOOKUP(C495,'Daily Scrap by Shift'!$A:$D,3,0)),0)</f>
        <v>0</v>
      </c>
      <c r="F495" s="45">
        <f>IFERROR((VLOOKUP(C495,'Daily Scrap by Shift'!$A:$D,4,0)),0)</f>
        <v>0</v>
      </c>
      <c r="G495" s="33">
        <v>1091</v>
      </c>
      <c r="H495" s="3">
        <f t="shared" si="26"/>
        <v>-1</v>
      </c>
    </row>
    <row r="496" spans="1:8" x14ac:dyDescent="0.25">
      <c r="A496" s="23">
        <v>44028</v>
      </c>
      <c r="B496" s="46" t="s">
        <v>561</v>
      </c>
      <c r="C496" s="19" t="str">
        <f t="shared" si="25"/>
        <v>44028 - 1T</v>
      </c>
      <c r="D496" s="45">
        <f>IFERROR((VLOOKUP(C496,'Daily Scrap by Shift'!$A:$D,2,0)),0)</f>
        <v>0</v>
      </c>
      <c r="E496" s="45">
        <f>IFERROR((VLOOKUP(C496,'Daily Scrap by Shift'!$A:$D,3,0)),0)</f>
        <v>0</v>
      </c>
      <c r="F496" s="45">
        <f>IFERROR((VLOOKUP(C496,'Daily Scrap by Shift'!$A:$D,4,0)),0)</f>
        <v>0</v>
      </c>
      <c r="G496" s="33">
        <v>1611</v>
      </c>
      <c r="H496" s="3">
        <f t="shared" si="26"/>
        <v>-1</v>
      </c>
    </row>
    <row r="497" spans="1:8" x14ac:dyDescent="0.25">
      <c r="A497" s="23">
        <v>44028</v>
      </c>
      <c r="B497" s="46" t="s">
        <v>562</v>
      </c>
      <c r="C497" s="19" t="str">
        <f t="shared" si="25"/>
        <v>44028 - 2T</v>
      </c>
      <c r="D497" s="45">
        <f>IFERROR((VLOOKUP(C497,'Daily Scrap by Shift'!$A:$D,2,0)),0)</f>
        <v>0</v>
      </c>
      <c r="E497" s="45">
        <f>IFERROR((VLOOKUP(C497,'Daily Scrap by Shift'!$A:$D,3,0)),0)</f>
        <v>0</v>
      </c>
      <c r="F497" s="45">
        <f>IFERROR((VLOOKUP(C497,'Daily Scrap by Shift'!$A:$D,4,0)),0)</f>
        <v>0</v>
      </c>
      <c r="G497" s="33">
        <v>770</v>
      </c>
      <c r="H497" s="3">
        <f t="shared" si="26"/>
        <v>-1</v>
      </c>
    </row>
    <row r="498" spans="1:8" x14ac:dyDescent="0.25">
      <c r="A498" s="23">
        <v>44029</v>
      </c>
      <c r="B498" s="46" t="s">
        <v>555</v>
      </c>
      <c r="C498" s="19" t="str">
        <f t="shared" si="25"/>
        <v>44029 - 3T</v>
      </c>
      <c r="D498" s="45">
        <f>IFERROR((VLOOKUP(C498,'Daily Scrap by Shift'!$A:$D,2,0)),0)</f>
        <v>0</v>
      </c>
      <c r="E498" s="45">
        <f>IFERROR((VLOOKUP(C498,'Daily Scrap by Shift'!$A:$D,3,0)),0)</f>
        <v>0</v>
      </c>
      <c r="F498" s="45">
        <f>IFERROR((VLOOKUP(C498,'Daily Scrap by Shift'!$A:$D,4,0)),0)</f>
        <v>0</v>
      </c>
      <c r="G498" s="33">
        <v>1044</v>
      </c>
      <c r="H498" s="3">
        <f t="shared" si="26"/>
        <v>-1</v>
      </c>
    </row>
    <row r="499" spans="1:8" x14ac:dyDescent="0.25">
      <c r="A499" s="23">
        <v>44029</v>
      </c>
      <c r="B499" s="46" t="s">
        <v>556</v>
      </c>
      <c r="C499" s="19" t="str">
        <f t="shared" si="25"/>
        <v>44029 - 4T</v>
      </c>
      <c r="D499" s="45">
        <f>IFERROR((VLOOKUP(C499,'Daily Scrap by Shift'!$A:$D,2,0)),0)</f>
        <v>0</v>
      </c>
      <c r="E499" s="45">
        <f>IFERROR((VLOOKUP(C499,'Daily Scrap by Shift'!$A:$D,3,0)),0)</f>
        <v>0</v>
      </c>
      <c r="F499" s="45">
        <f>IFERROR((VLOOKUP(C499,'Daily Scrap by Shift'!$A:$D,4,0)),0)</f>
        <v>0</v>
      </c>
      <c r="G499" s="33">
        <v>1285</v>
      </c>
      <c r="H499" s="3">
        <f t="shared" si="26"/>
        <v>-1</v>
      </c>
    </row>
    <row r="500" spans="1:8" x14ac:dyDescent="0.25">
      <c r="A500" s="23">
        <v>44030</v>
      </c>
      <c r="B500" s="46" t="s">
        <v>555</v>
      </c>
      <c r="C500" s="19" t="str">
        <f t="shared" si="25"/>
        <v>44030 - 3T</v>
      </c>
      <c r="D500" s="45">
        <f>IFERROR((VLOOKUP(C500,'Daily Scrap by Shift'!$A:$D,2,0)),0)</f>
        <v>0</v>
      </c>
      <c r="E500" s="45">
        <f>IFERROR((VLOOKUP(C500,'Daily Scrap by Shift'!$A:$D,3,0)),0)</f>
        <v>0</v>
      </c>
      <c r="F500" s="45">
        <f>IFERROR((VLOOKUP(C500,'Daily Scrap by Shift'!$A:$D,4,0)),0)</f>
        <v>0</v>
      </c>
      <c r="G500" s="33">
        <v>614</v>
      </c>
      <c r="H500" s="3">
        <f t="shared" si="26"/>
        <v>-1</v>
      </c>
    </row>
    <row r="501" spans="1:8" x14ac:dyDescent="0.25">
      <c r="A501" s="23">
        <v>44030</v>
      </c>
      <c r="B501" s="46" t="s">
        <v>556</v>
      </c>
      <c r="C501" s="19" t="str">
        <f t="shared" si="25"/>
        <v>44030 - 4T</v>
      </c>
      <c r="D501" s="45">
        <f>IFERROR((VLOOKUP(C501,'Daily Scrap by Shift'!$A:$D,2,0)),0)</f>
        <v>0</v>
      </c>
      <c r="E501" s="45">
        <f>IFERROR((VLOOKUP(C501,'Daily Scrap by Shift'!$A:$D,3,0)),0)</f>
        <v>0</v>
      </c>
      <c r="F501" s="45">
        <f>IFERROR((VLOOKUP(C501,'Daily Scrap by Shift'!$A:$D,4,0)),0)</f>
        <v>0</v>
      </c>
      <c r="G501" s="33">
        <v>1261</v>
      </c>
      <c r="H501" s="3">
        <f t="shared" si="26"/>
        <v>-1</v>
      </c>
    </row>
    <row r="502" spans="1:8" x14ac:dyDescent="0.25">
      <c r="A502" s="23">
        <v>44031</v>
      </c>
      <c r="B502" s="46" t="s">
        <v>555</v>
      </c>
      <c r="C502" s="19" t="str">
        <f t="shared" si="25"/>
        <v>44031 - 3T</v>
      </c>
      <c r="D502" s="45">
        <f>IFERROR((VLOOKUP(C502,'Daily Scrap by Shift'!$A:$D,2,0)),0)</f>
        <v>0</v>
      </c>
      <c r="E502" s="45">
        <f>IFERROR((VLOOKUP(C502,'Daily Scrap by Shift'!$A:$D,3,0)),0)</f>
        <v>0</v>
      </c>
      <c r="F502" s="45">
        <f>IFERROR((VLOOKUP(C502,'Daily Scrap by Shift'!$A:$D,4,0)),0)</f>
        <v>0</v>
      </c>
      <c r="G502" s="33">
        <v>1569</v>
      </c>
      <c r="H502" s="3">
        <f t="shared" si="26"/>
        <v>-1</v>
      </c>
    </row>
    <row r="503" spans="1:8" x14ac:dyDescent="0.25">
      <c r="A503" s="23">
        <v>44031</v>
      </c>
      <c r="B503" s="46" t="s">
        <v>556</v>
      </c>
      <c r="C503" s="19" t="str">
        <f t="shared" si="25"/>
        <v>44031 - 4T</v>
      </c>
      <c r="D503" s="45">
        <f>IFERROR((VLOOKUP(C503,'Daily Scrap by Shift'!$A:$D,2,0)),0)</f>
        <v>0</v>
      </c>
      <c r="E503" s="45">
        <f>IFERROR((VLOOKUP(C503,'Daily Scrap by Shift'!$A:$D,3,0)),0)</f>
        <v>0</v>
      </c>
      <c r="F503" s="45">
        <f>IFERROR((VLOOKUP(C503,'Daily Scrap by Shift'!$A:$D,4,0)),0)</f>
        <v>0</v>
      </c>
      <c r="G503" s="33">
        <v>985</v>
      </c>
      <c r="H503" s="3">
        <f t="shared" si="26"/>
        <v>-1</v>
      </c>
    </row>
    <row r="504" spans="1:8" x14ac:dyDescent="0.25">
      <c r="A504" s="23">
        <v>44032</v>
      </c>
      <c r="B504" s="46" t="s">
        <v>561</v>
      </c>
      <c r="C504" s="19" t="str">
        <f t="shared" si="25"/>
        <v>44032 - 1T</v>
      </c>
      <c r="D504" s="45">
        <f>IFERROR((VLOOKUP(C504,'Daily Scrap by Shift'!$A:$D,2,0)),0)</f>
        <v>0</v>
      </c>
      <c r="E504" s="45">
        <f>IFERROR((VLOOKUP(C504,'Daily Scrap by Shift'!$A:$D,3,0)),0)</f>
        <v>0</v>
      </c>
      <c r="F504" s="45">
        <f>IFERROR((VLOOKUP(C504,'Daily Scrap by Shift'!$A:$D,4,0)),0)</f>
        <v>0</v>
      </c>
      <c r="G504" s="33">
        <v>707</v>
      </c>
      <c r="H504" s="3">
        <f t="shared" si="26"/>
        <v>-1</v>
      </c>
    </row>
    <row r="505" spans="1:8" x14ac:dyDescent="0.25">
      <c r="A505" s="23">
        <v>44032</v>
      </c>
      <c r="B505" s="46" t="s">
        <v>562</v>
      </c>
      <c r="C505" s="19" t="str">
        <f t="shared" si="25"/>
        <v>44032 - 2T</v>
      </c>
      <c r="D505" s="45">
        <f>IFERROR((VLOOKUP(C505,'Daily Scrap by Shift'!$A:$D,2,0)),0)</f>
        <v>0</v>
      </c>
      <c r="E505" s="45">
        <f>IFERROR((VLOOKUP(C505,'Daily Scrap by Shift'!$A:$D,3,0)),0)</f>
        <v>0</v>
      </c>
      <c r="F505" s="45">
        <f>IFERROR((VLOOKUP(C505,'Daily Scrap by Shift'!$A:$D,4,0)),0)</f>
        <v>0</v>
      </c>
      <c r="G505" s="33">
        <v>845</v>
      </c>
      <c r="H505" s="3">
        <f t="shared" si="26"/>
        <v>-1</v>
      </c>
    </row>
    <row r="506" spans="1:8" x14ac:dyDescent="0.25">
      <c r="A506" s="23">
        <v>44033</v>
      </c>
      <c r="B506" s="46" t="s">
        <v>561</v>
      </c>
      <c r="C506" s="19" t="str">
        <f t="shared" si="25"/>
        <v>44033 - 1T</v>
      </c>
      <c r="D506" s="45">
        <f>IFERROR((VLOOKUP(C506,'Daily Scrap by Shift'!$A:$D,2,0)),0)</f>
        <v>0</v>
      </c>
      <c r="E506" s="45">
        <f>IFERROR((VLOOKUP(C506,'Daily Scrap by Shift'!$A:$D,3,0)),0)</f>
        <v>0</v>
      </c>
      <c r="F506" s="45">
        <f>IFERROR((VLOOKUP(C506,'Daily Scrap by Shift'!$A:$D,4,0)),0)</f>
        <v>0</v>
      </c>
      <c r="G506" s="33">
        <v>1393</v>
      </c>
      <c r="H506" s="3">
        <f t="shared" si="26"/>
        <v>-1</v>
      </c>
    </row>
    <row r="507" spans="1:8" x14ac:dyDescent="0.25">
      <c r="A507" s="23">
        <v>44033</v>
      </c>
      <c r="B507" s="46" t="s">
        <v>562</v>
      </c>
      <c r="C507" s="19" t="str">
        <f t="shared" si="25"/>
        <v>44033 - 2T</v>
      </c>
      <c r="D507" s="45">
        <f>IFERROR((VLOOKUP(C507,'Daily Scrap by Shift'!$A:$D,2,0)),0)</f>
        <v>0</v>
      </c>
      <c r="E507" s="45">
        <f>IFERROR((VLOOKUP(C507,'Daily Scrap by Shift'!$A:$D,3,0)),0)</f>
        <v>0</v>
      </c>
      <c r="F507" s="45">
        <f>IFERROR((VLOOKUP(C507,'Daily Scrap by Shift'!$A:$D,4,0)),0)</f>
        <v>0</v>
      </c>
      <c r="G507" s="33">
        <v>793</v>
      </c>
      <c r="H507" s="3">
        <f t="shared" si="26"/>
        <v>-1</v>
      </c>
    </row>
    <row r="508" spans="1:8" x14ac:dyDescent="0.25">
      <c r="A508" s="23">
        <v>44034</v>
      </c>
      <c r="B508" s="46" t="s">
        <v>555</v>
      </c>
      <c r="C508" s="19" t="str">
        <f t="shared" si="25"/>
        <v>44034 - 3T</v>
      </c>
      <c r="D508" s="45">
        <f>IFERROR((VLOOKUP(C508,'Daily Scrap by Shift'!$A:$D,2,0)),0)</f>
        <v>0</v>
      </c>
      <c r="E508" s="45">
        <f>IFERROR((VLOOKUP(C508,'Daily Scrap by Shift'!$A:$D,3,0)),0)</f>
        <v>0</v>
      </c>
      <c r="F508" s="45">
        <f>IFERROR((VLOOKUP(C508,'Daily Scrap by Shift'!$A:$D,4,0)),0)</f>
        <v>0</v>
      </c>
      <c r="G508" s="33">
        <v>261</v>
      </c>
      <c r="H508" s="3">
        <f t="shared" si="26"/>
        <v>-1</v>
      </c>
    </row>
    <row r="509" spans="1:8" x14ac:dyDescent="0.25">
      <c r="A509" s="23">
        <v>44034</v>
      </c>
      <c r="B509" s="46" t="s">
        <v>556</v>
      </c>
      <c r="C509" s="19" t="str">
        <f t="shared" si="25"/>
        <v>44034 - 4T</v>
      </c>
      <c r="D509" s="45">
        <f>IFERROR((VLOOKUP(C509,'Daily Scrap by Shift'!$A:$D,2,0)),0)</f>
        <v>0</v>
      </c>
      <c r="E509" s="45">
        <f>IFERROR((VLOOKUP(C509,'Daily Scrap by Shift'!$A:$D,3,0)),0)</f>
        <v>0</v>
      </c>
      <c r="F509" s="45">
        <f>IFERROR((VLOOKUP(C509,'Daily Scrap by Shift'!$A:$D,4,0)),0)</f>
        <v>0</v>
      </c>
      <c r="G509" s="33">
        <v>506</v>
      </c>
      <c r="H509" s="3">
        <f t="shared" si="26"/>
        <v>-1</v>
      </c>
    </row>
    <row r="510" spans="1:8" x14ac:dyDescent="0.25">
      <c r="A510" s="23">
        <v>44035</v>
      </c>
      <c r="B510" s="46" t="s">
        <v>555</v>
      </c>
      <c r="C510" s="19" t="str">
        <f t="shared" si="25"/>
        <v>44035 - 3T</v>
      </c>
      <c r="D510" s="45">
        <f>IFERROR((VLOOKUP(C510,'Daily Scrap by Shift'!$A:$D,2,0)),0)</f>
        <v>0</v>
      </c>
      <c r="E510" s="45">
        <f>IFERROR((VLOOKUP(C510,'Daily Scrap by Shift'!$A:$D,3,0)),0)</f>
        <v>0</v>
      </c>
      <c r="F510" s="45">
        <f>IFERROR((VLOOKUP(C510,'Daily Scrap by Shift'!$A:$D,4,0)),0)</f>
        <v>0</v>
      </c>
      <c r="G510" s="33">
        <v>750</v>
      </c>
      <c r="H510" s="3">
        <f t="shared" si="26"/>
        <v>-1</v>
      </c>
    </row>
    <row r="511" spans="1:8" x14ac:dyDescent="0.25">
      <c r="A511" s="23">
        <v>44035</v>
      </c>
      <c r="B511" s="46" t="s">
        <v>556</v>
      </c>
      <c r="C511" s="19" t="str">
        <f t="shared" si="25"/>
        <v>44035 - 4T</v>
      </c>
      <c r="D511" s="45">
        <f>IFERROR((VLOOKUP(C511,'Daily Scrap by Shift'!$A:$D,2,0)),0)</f>
        <v>0</v>
      </c>
      <c r="E511" s="45">
        <f>IFERROR((VLOOKUP(C511,'Daily Scrap by Shift'!$A:$D,3,0)),0)</f>
        <v>0</v>
      </c>
      <c r="F511" s="45">
        <f>IFERROR((VLOOKUP(C511,'Daily Scrap by Shift'!$A:$D,4,0)),0)</f>
        <v>0</v>
      </c>
      <c r="G511" s="33">
        <v>524</v>
      </c>
      <c r="H511" s="3">
        <f t="shared" si="26"/>
        <v>-1</v>
      </c>
    </row>
    <row r="512" spans="1:8" x14ac:dyDescent="0.25">
      <c r="A512" s="23">
        <v>44036</v>
      </c>
      <c r="B512" s="46" t="s">
        <v>561</v>
      </c>
      <c r="C512" s="19" t="str">
        <f t="shared" si="25"/>
        <v>44036 - 1T</v>
      </c>
      <c r="D512" s="45">
        <f>IFERROR((VLOOKUP(C512,'Daily Scrap by Shift'!$A:$D,2,0)),0)</f>
        <v>0</v>
      </c>
      <c r="E512" s="45">
        <f>IFERROR((VLOOKUP(C512,'Daily Scrap by Shift'!$A:$D,3,0)),0)</f>
        <v>0</v>
      </c>
      <c r="F512" s="45">
        <f>IFERROR((VLOOKUP(C512,'Daily Scrap by Shift'!$A:$D,4,0)),0)</f>
        <v>0</v>
      </c>
      <c r="G512" s="33">
        <v>404</v>
      </c>
      <c r="H512" s="3">
        <f t="shared" si="26"/>
        <v>-1</v>
      </c>
    </row>
    <row r="513" spans="1:8" x14ac:dyDescent="0.25">
      <c r="A513" s="23">
        <v>44036</v>
      </c>
      <c r="B513" s="46" t="s">
        <v>562</v>
      </c>
      <c r="C513" s="19" t="str">
        <f t="shared" si="25"/>
        <v>44036 - 2T</v>
      </c>
      <c r="D513" s="45">
        <f>IFERROR((VLOOKUP(C513,'Daily Scrap by Shift'!$A:$D,2,0)),0)</f>
        <v>0</v>
      </c>
      <c r="E513" s="45">
        <f>IFERROR((VLOOKUP(C513,'Daily Scrap by Shift'!$A:$D,3,0)),0)</f>
        <v>0</v>
      </c>
      <c r="F513" s="45">
        <f>IFERROR((VLOOKUP(C513,'Daily Scrap by Shift'!$A:$D,4,0)),0)</f>
        <v>0</v>
      </c>
      <c r="G513" s="33">
        <v>434</v>
      </c>
      <c r="H513" s="3">
        <f t="shared" si="26"/>
        <v>-1</v>
      </c>
    </row>
    <row r="514" spans="1:8" x14ac:dyDescent="0.25">
      <c r="A514" s="23">
        <v>44037</v>
      </c>
      <c r="B514" s="46" t="s">
        <v>561</v>
      </c>
      <c r="C514" s="19" t="str">
        <f t="shared" si="25"/>
        <v>44037 - 1T</v>
      </c>
      <c r="D514" s="45">
        <f>IFERROR((VLOOKUP(C514,'Daily Scrap by Shift'!$A:$D,2,0)),0)</f>
        <v>0</v>
      </c>
      <c r="E514" s="45">
        <f>IFERROR((VLOOKUP(C514,'Daily Scrap by Shift'!$A:$D,3,0)),0)</f>
        <v>0</v>
      </c>
      <c r="F514" s="45">
        <f>IFERROR((VLOOKUP(C514,'Daily Scrap by Shift'!$A:$D,4,0)),0)</f>
        <v>0</v>
      </c>
      <c r="G514" s="33">
        <v>218</v>
      </c>
      <c r="H514" s="3">
        <f t="shared" si="26"/>
        <v>-1</v>
      </c>
    </row>
    <row r="515" spans="1:8" x14ac:dyDescent="0.25">
      <c r="A515" s="23">
        <v>44037</v>
      </c>
      <c r="B515" s="46" t="s">
        <v>562</v>
      </c>
      <c r="C515" s="19" t="str">
        <f t="shared" si="25"/>
        <v>44037 - 2T</v>
      </c>
      <c r="D515" s="45">
        <f>IFERROR((VLOOKUP(C515,'Daily Scrap by Shift'!$A:$D,2,0)),0)</f>
        <v>0</v>
      </c>
      <c r="E515" s="45">
        <f>IFERROR((VLOOKUP(C515,'Daily Scrap by Shift'!$A:$D,3,0)),0)</f>
        <v>0</v>
      </c>
      <c r="F515" s="45">
        <f>IFERROR((VLOOKUP(C515,'Daily Scrap by Shift'!$A:$D,4,0)),0)</f>
        <v>0</v>
      </c>
      <c r="G515" s="33">
        <v>217</v>
      </c>
      <c r="H515" s="3">
        <f t="shared" si="26"/>
        <v>-1</v>
      </c>
    </row>
    <row r="516" spans="1:8" x14ac:dyDescent="0.25">
      <c r="A516" s="23">
        <v>44038</v>
      </c>
      <c r="B516" s="46" t="s">
        <v>561</v>
      </c>
      <c r="C516" s="19" t="str">
        <f t="shared" si="25"/>
        <v>44038 - 1T</v>
      </c>
      <c r="D516" s="45">
        <f>IFERROR((VLOOKUP(C516,'Daily Scrap by Shift'!$A:$D,2,0)),0)</f>
        <v>0</v>
      </c>
      <c r="E516" s="45">
        <f>IFERROR((VLOOKUP(C516,'Daily Scrap by Shift'!$A:$D,3,0)),0)</f>
        <v>0</v>
      </c>
      <c r="F516" s="45">
        <f>IFERROR((VLOOKUP(C516,'Daily Scrap by Shift'!$A:$D,4,0)),0)</f>
        <v>0</v>
      </c>
      <c r="G516" s="33">
        <v>266</v>
      </c>
      <c r="H516" s="3">
        <f t="shared" si="26"/>
        <v>-1</v>
      </c>
    </row>
    <row r="517" spans="1:8" x14ac:dyDescent="0.25">
      <c r="A517" s="23">
        <v>44038</v>
      </c>
      <c r="B517" s="46" t="s">
        <v>562</v>
      </c>
      <c r="C517" s="19" t="str">
        <f t="shared" si="25"/>
        <v>44038 - 2T</v>
      </c>
      <c r="D517" s="45">
        <f>IFERROR((VLOOKUP(C517,'Daily Scrap by Shift'!$A:$D,2,0)),0)</f>
        <v>0</v>
      </c>
      <c r="E517" s="45">
        <f>IFERROR((VLOOKUP(C517,'Daily Scrap by Shift'!$A:$D,3,0)),0)</f>
        <v>0</v>
      </c>
      <c r="F517" s="45">
        <f>IFERROR((VLOOKUP(C517,'Daily Scrap by Shift'!$A:$D,4,0)),0)</f>
        <v>0</v>
      </c>
      <c r="G517" s="33">
        <v>525</v>
      </c>
      <c r="H517" s="3">
        <f t="shared" si="26"/>
        <v>-1</v>
      </c>
    </row>
    <row r="518" spans="1:8" x14ac:dyDescent="0.25">
      <c r="A518" s="23">
        <v>44039</v>
      </c>
      <c r="B518" s="46" t="s">
        <v>555</v>
      </c>
      <c r="C518" s="19" t="str">
        <f t="shared" ref="C518:C581" si="27">CONCATENATE(A518," - ",B518)</f>
        <v>44039 - 3T</v>
      </c>
      <c r="D518" s="45">
        <f>IFERROR((VLOOKUP(C518,'Daily Scrap by Shift'!$A:$D,2,0)),0)</f>
        <v>0</v>
      </c>
      <c r="E518" s="45">
        <f>IFERROR((VLOOKUP(C518,'Daily Scrap by Shift'!$A:$D,3,0)),0)</f>
        <v>0</v>
      </c>
      <c r="F518" s="45">
        <f>IFERROR((VLOOKUP(C518,'Daily Scrap by Shift'!$A:$D,4,0)),0)</f>
        <v>0</v>
      </c>
      <c r="G518" s="33">
        <v>1417</v>
      </c>
      <c r="H518" s="3">
        <f t="shared" si="26"/>
        <v>-1</v>
      </c>
    </row>
    <row r="519" spans="1:8" x14ac:dyDescent="0.25">
      <c r="A519" s="23">
        <v>44039</v>
      </c>
      <c r="B519" s="46" t="s">
        <v>556</v>
      </c>
      <c r="C519" s="19" t="str">
        <f t="shared" si="27"/>
        <v>44039 - 4T</v>
      </c>
      <c r="D519" s="45">
        <f>IFERROR((VLOOKUP(C519,'Daily Scrap by Shift'!$A:$D,2,0)),0)</f>
        <v>0</v>
      </c>
      <c r="E519" s="45">
        <f>IFERROR((VLOOKUP(C519,'Daily Scrap by Shift'!$A:$D,3,0)),0)</f>
        <v>0</v>
      </c>
      <c r="F519" s="45">
        <f>IFERROR((VLOOKUP(C519,'Daily Scrap by Shift'!$A:$D,4,0)),0)</f>
        <v>0</v>
      </c>
      <c r="G519" s="33">
        <v>842</v>
      </c>
      <c r="H519" s="3">
        <f t="shared" si="26"/>
        <v>-1</v>
      </c>
    </row>
    <row r="520" spans="1:8" x14ac:dyDescent="0.25">
      <c r="A520" s="23">
        <v>44040</v>
      </c>
      <c r="B520" s="46" t="s">
        <v>555</v>
      </c>
      <c r="C520" s="19" t="str">
        <f t="shared" si="27"/>
        <v>44040 - 3T</v>
      </c>
      <c r="D520" s="45">
        <f>IFERROR((VLOOKUP(C520,'Daily Scrap by Shift'!$A:$D,2,0)),0)</f>
        <v>0</v>
      </c>
      <c r="E520" s="45">
        <f>IFERROR((VLOOKUP(C520,'Daily Scrap by Shift'!$A:$D,3,0)),0)</f>
        <v>0</v>
      </c>
      <c r="F520" s="45">
        <f>IFERROR((VLOOKUP(C520,'Daily Scrap by Shift'!$A:$D,4,0)),0)</f>
        <v>0</v>
      </c>
      <c r="G520" s="33">
        <v>1652</v>
      </c>
      <c r="H520" s="3">
        <f t="shared" si="26"/>
        <v>-1</v>
      </c>
    </row>
    <row r="521" spans="1:8" x14ac:dyDescent="0.25">
      <c r="A521" s="23">
        <v>44040</v>
      </c>
      <c r="B521" s="46" t="s">
        <v>556</v>
      </c>
      <c r="C521" s="19" t="str">
        <f t="shared" si="27"/>
        <v>44040 - 4T</v>
      </c>
      <c r="D521" s="45">
        <f>IFERROR((VLOOKUP(C521,'Daily Scrap by Shift'!$A:$D,2,0)),0)</f>
        <v>0</v>
      </c>
      <c r="E521" s="45">
        <f>IFERROR((VLOOKUP(C521,'Daily Scrap by Shift'!$A:$D,3,0)),0)</f>
        <v>0</v>
      </c>
      <c r="F521" s="45">
        <f>IFERROR((VLOOKUP(C521,'Daily Scrap by Shift'!$A:$D,4,0)),0)</f>
        <v>0</v>
      </c>
      <c r="G521" s="33">
        <v>1209</v>
      </c>
      <c r="H521" s="3">
        <f t="shared" si="26"/>
        <v>-1</v>
      </c>
    </row>
    <row r="522" spans="1:8" x14ac:dyDescent="0.25">
      <c r="C522" s="19" t="str">
        <f t="shared" si="27"/>
        <v xml:space="preserve"> - </v>
      </c>
      <c r="D522" s="45">
        <f>IFERROR((VLOOKUP(C522,'Daily Scrap by Shift'!$A:$D,2,0)),0)</f>
        <v>0</v>
      </c>
      <c r="E522" s="45">
        <f>IFERROR((VLOOKUP(C522,'Daily Scrap by Shift'!$A:$D,3,0)),0)</f>
        <v>0</v>
      </c>
      <c r="F522" s="45">
        <f>IFERROR((VLOOKUP(C522,'Daily Scrap by Shift'!$A:$D,4,0)),0)</f>
        <v>0</v>
      </c>
      <c r="H522" s="3" t="e">
        <f t="shared" si="26"/>
        <v>#DIV/0!</v>
      </c>
    </row>
    <row r="523" spans="1:8" x14ac:dyDescent="0.25">
      <c r="C523" s="19" t="str">
        <f t="shared" si="27"/>
        <v xml:space="preserve"> - </v>
      </c>
      <c r="D523" s="45">
        <f>IFERROR((VLOOKUP(C523,'Daily Scrap by Shift'!$A:$D,2,0)),0)</f>
        <v>0</v>
      </c>
      <c r="E523" s="45">
        <f>IFERROR((VLOOKUP(C523,'Daily Scrap by Shift'!$A:$D,3,0)),0)</f>
        <v>0</v>
      </c>
      <c r="F523" s="45">
        <f>IFERROR((VLOOKUP(C523,'Daily Scrap by Shift'!$A:$D,4,0)),0)</f>
        <v>0</v>
      </c>
      <c r="H523" s="3" t="e">
        <f t="shared" si="26"/>
        <v>#DIV/0!</v>
      </c>
    </row>
    <row r="524" spans="1:8" x14ac:dyDescent="0.25">
      <c r="C524" s="19" t="str">
        <f t="shared" si="27"/>
        <v xml:space="preserve"> - </v>
      </c>
      <c r="D524" s="45">
        <f>IFERROR((VLOOKUP(C524,'Daily Scrap by Shift'!$A:$D,2,0)),0)</f>
        <v>0</v>
      </c>
      <c r="E524" s="45">
        <f>IFERROR((VLOOKUP(C524,'Daily Scrap by Shift'!$A:$D,3,0)),0)</f>
        <v>0</v>
      </c>
      <c r="F524" s="45">
        <f>IFERROR((VLOOKUP(C524,'Daily Scrap by Shift'!$A:$D,4,0)),0)</f>
        <v>0</v>
      </c>
      <c r="H524" s="3" t="e">
        <f t="shared" si="26"/>
        <v>#DIV/0!</v>
      </c>
    </row>
    <row r="525" spans="1:8" x14ac:dyDescent="0.25">
      <c r="C525" s="19" t="str">
        <f t="shared" si="27"/>
        <v xml:space="preserve"> - </v>
      </c>
      <c r="D525" s="45">
        <f>IFERROR((VLOOKUP(C525,'Daily Scrap by Shift'!$A:$D,2,0)),0)</f>
        <v>0</v>
      </c>
      <c r="E525" s="45">
        <f>IFERROR((VLOOKUP(C525,'Daily Scrap by Shift'!$A:$D,3,0)),0)</f>
        <v>0</v>
      </c>
      <c r="F525" s="45">
        <f>IFERROR((VLOOKUP(C525,'Daily Scrap by Shift'!$A:$D,4,0)),0)</f>
        <v>0</v>
      </c>
      <c r="H525" s="3" t="e">
        <f t="shared" si="26"/>
        <v>#DIV/0!</v>
      </c>
    </row>
    <row r="526" spans="1:8" x14ac:dyDescent="0.25">
      <c r="C526" s="19" t="str">
        <f t="shared" si="27"/>
        <v xml:space="preserve"> - </v>
      </c>
      <c r="D526" s="45">
        <f>IFERROR((VLOOKUP(C526,'Daily Scrap by Shift'!$A:$D,2,0)),0)</f>
        <v>0</v>
      </c>
      <c r="E526" s="45">
        <f>IFERROR((VLOOKUP(C526,'Daily Scrap by Shift'!$A:$D,3,0)),0)</f>
        <v>0</v>
      </c>
      <c r="F526" s="45">
        <f>IFERROR((VLOOKUP(C526,'Daily Scrap by Shift'!$A:$D,4,0)),0)</f>
        <v>0</v>
      </c>
      <c r="H526" s="3" t="e">
        <f t="shared" si="26"/>
        <v>#DIV/0!</v>
      </c>
    </row>
    <row r="527" spans="1:8" x14ac:dyDescent="0.25">
      <c r="C527" s="19" t="str">
        <f t="shared" si="27"/>
        <v xml:space="preserve"> - </v>
      </c>
      <c r="D527" s="45">
        <f>IFERROR((VLOOKUP(C527,'Daily Scrap by Shift'!$A:$D,2,0)),0)</f>
        <v>0</v>
      </c>
      <c r="E527" s="45">
        <f>IFERROR((VLOOKUP(C527,'Daily Scrap by Shift'!$A:$D,3,0)),0)</f>
        <v>0</v>
      </c>
      <c r="F527" s="45">
        <f>IFERROR((VLOOKUP(C527,'Daily Scrap by Shift'!$A:$D,4,0)),0)</f>
        <v>0</v>
      </c>
      <c r="H527" s="3" t="e">
        <f t="shared" si="26"/>
        <v>#DIV/0!</v>
      </c>
    </row>
    <row r="528" spans="1:8" x14ac:dyDescent="0.25">
      <c r="C528" s="19" t="str">
        <f t="shared" si="27"/>
        <v xml:space="preserve"> - </v>
      </c>
      <c r="D528" s="45">
        <f>IFERROR((VLOOKUP(C528,'Daily Scrap by Shift'!$A:$D,2,0)),0)</f>
        <v>0</v>
      </c>
      <c r="E528" s="45">
        <f>IFERROR((VLOOKUP(C528,'Daily Scrap by Shift'!$A:$D,3,0)),0)</f>
        <v>0</v>
      </c>
      <c r="F528" s="45">
        <f>IFERROR((VLOOKUP(C528,'Daily Scrap by Shift'!$A:$D,4,0)),0)</f>
        <v>0</v>
      </c>
      <c r="H528" s="3" t="e">
        <f t="shared" si="26"/>
        <v>#DIV/0!</v>
      </c>
    </row>
    <row r="529" spans="3:8" x14ac:dyDescent="0.25">
      <c r="C529" s="19" t="str">
        <f t="shared" si="27"/>
        <v xml:space="preserve"> - </v>
      </c>
      <c r="D529" s="45">
        <f>IFERROR((VLOOKUP(C529,'Daily Scrap by Shift'!$A:$D,2,0)),0)</f>
        <v>0</v>
      </c>
      <c r="E529" s="45">
        <f>IFERROR((VLOOKUP(C529,'Daily Scrap by Shift'!$A:$D,3,0)),0)</f>
        <v>0</v>
      </c>
      <c r="F529" s="45">
        <f>IFERROR((VLOOKUP(C529,'Daily Scrap by Shift'!$A:$D,4,0)),0)</f>
        <v>0</v>
      </c>
      <c r="H529" s="3" t="e">
        <f t="shared" si="26"/>
        <v>#DIV/0!</v>
      </c>
    </row>
    <row r="530" spans="3:8" x14ac:dyDescent="0.25">
      <c r="C530" s="19" t="str">
        <f t="shared" si="27"/>
        <v xml:space="preserve"> - </v>
      </c>
      <c r="D530" s="45">
        <f>IFERROR((VLOOKUP(C530,'Daily Scrap by Shift'!$A:$D,2,0)),0)</f>
        <v>0</v>
      </c>
      <c r="E530" s="45">
        <f>IFERROR((VLOOKUP(C530,'Daily Scrap by Shift'!$A:$D,3,0)),0)</f>
        <v>0</v>
      </c>
      <c r="F530" s="45">
        <f>IFERROR((VLOOKUP(C530,'Daily Scrap by Shift'!$A:$D,4,0)),0)</f>
        <v>0</v>
      </c>
      <c r="H530" s="3" t="e">
        <f t="shared" si="26"/>
        <v>#DIV/0!</v>
      </c>
    </row>
    <row r="531" spans="3:8" x14ac:dyDescent="0.25">
      <c r="C531" s="19" t="str">
        <f t="shared" si="27"/>
        <v xml:space="preserve"> - </v>
      </c>
      <c r="D531" s="45">
        <f>IFERROR((VLOOKUP(C531,'Daily Scrap by Shift'!$A:$D,2,0)),0)</f>
        <v>0</v>
      </c>
      <c r="E531" s="45">
        <f>IFERROR((VLOOKUP(C531,'Daily Scrap by Shift'!$A:$D,3,0)),0)</f>
        <v>0</v>
      </c>
      <c r="F531" s="45">
        <f>IFERROR((VLOOKUP(C531,'Daily Scrap by Shift'!$A:$D,4,0)),0)</f>
        <v>0</v>
      </c>
      <c r="H531" s="3" t="e">
        <f t="shared" si="26"/>
        <v>#DIV/0!</v>
      </c>
    </row>
    <row r="532" spans="3:8" x14ac:dyDescent="0.25">
      <c r="C532" s="19" t="str">
        <f t="shared" si="27"/>
        <v xml:space="preserve"> - </v>
      </c>
      <c r="D532" s="45">
        <f>IFERROR((VLOOKUP(C532,'Daily Scrap by Shift'!$A:$D,2,0)),0)</f>
        <v>0</v>
      </c>
      <c r="E532" s="45">
        <f>IFERROR((VLOOKUP(C532,'Daily Scrap by Shift'!$A:$D,3,0)),0)</f>
        <v>0</v>
      </c>
      <c r="F532" s="45">
        <f>IFERROR((VLOOKUP(C532,'Daily Scrap by Shift'!$A:$D,4,0)),0)</f>
        <v>0</v>
      </c>
      <c r="H532" s="3" t="e">
        <f t="shared" si="26"/>
        <v>#DIV/0!</v>
      </c>
    </row>
    <row r="533" spans="3:8" x14ac:dyDescent="0.25">
      <c r="C533" s="19" t="str">
        <f t="shared" si="27"/>
        <v xml:space="preserve"> - </v>
      </c>
      <c r="D533" s="45">
        <f>IFERROR((VLOOKUP(C533,'Daily Scrap by Shift'!$A:$D,2,0)),0)</f>
        <v>0</v>
      </c>
      <c r="E533" s="45">
        <f>IFERROR((VLOOKUP(C533,'Daily Scrap by Shift'!$A:$D,3,0)),0)</f>
        <v>0</v>
      </c>
      <c r="F533" s="45">
        <f>IFERROR((VLOOKUP(C533,'Daily Scrap by Shift'!$A:$D,4,0)),0)</f>
        <v>0</v>
      </c>
      <c r="H533" s="3" t="e">
        <f t="shared" si="26"/>
        <v>#DIV/0!</v>
      </c>
    </row>
    <row r="534" spans="3:8" x14ac:dyDescent="0.25">
      <c r="C534" s="19" t="str">
        <f t="shared" si="27"/>
        <v xml:space="preserve"> - </v>
      </c>
      <c r="D534" s="45">
        <f>IFERROR((VLOOKUP(C534,'Daily Scrap by Shift'!$A:$D,2,0)),0)</f>
        <v>0</v>
      </c>
      <c r="E534" s="45">
        <f>IFERROR((VLOOKUP(C534,'Daily Scrap by Shift'!$A:$D,3,0)),0)</f>
        <v>0</v>
      </c>
      <c r="F534" s="45">
        <f>IFERROR((VLOOKUP(C534,'Daily Scrap by Shift'!$A:$D,4,0)),0)</f>
        <v>0</v>
      </c>
      <c r="H534" s="3" t="e">
        <f t="shared" ref="H534:H597" si="28">(F534-G534)/G534</f>
        <v>#DIV/0!</v>
      </c>
    </row>
    <row r="535" spans="3:8" x14ac:dyDescent="0.25">
      <c r="C535" s="19" t="str">
        <f t="shared" si="27"/>
        <v xml:space="preserve"> - </v>
      </c>
      <c r="D535" s="45">
        <f>IFERROR((VLOOKUP(C535,'Daily Scrap by Shift'!$A:$D,2,0)),0)</f>
        <v>0</v>
      </c>
      <c r="E535" s="45">
        <f>IFERROR((VLOOKUP(C535,'Daily Scrap by Shift'!$A:$D,3,0)),0)</f>
        <v>0</v>
      </c>
      <c r="F535" s="45">
        <f>IFERROR((VLOOKUP(C535,'Daily Scrap by Shift'!$A:$D,4,0)),0)</f>
        <v>0</v>
      </c>
      <c r="H535" s="3" t="e">
        <f t="shared" si="28"/>
        <v>#DIV/0!</v>
      </c>
    </row>
    <row r="536" spans="3:8" x14ac:dyDescent="0.25">
      <c r="C536" s="19" t="str">
        <f t="shared" si="27"/>
        <v xml:space="preserve"> - </v>
      </c>
      <c r="D536" s="45">
        <f>IFERROR((VLOOKUP(C536,'Daily Scrap by Shift'!$A:$D,2,0)),0)</f>
        <v>0</v>
      </c>
      <c r="E536" s="45">
        <f>IFERROR((VLOOKUP(C536,'Daily Scrap by Shift'!$A:$D,3,0)),0)</f>
        <v>0</v>
      </c>
      <c r="F536" s="45">
        <f>IFERROR((VLOOKUP(C536,'Daily Scrap by Shift'!$A:$D,4,0)),0)</f>
        <v>0</v>
      </c>
      <c r="H536" s="3" t="e">
        <f t="shared" si="28"/>
        <v>#DIV/0!</v>
      </c>
    </row>
    <row r="537" spans="3:8" x14ac:dyDescent="0.25">
      <c r="C537" s="19" t="str">
        <f t="shared" si="27"/>
        <v xml:space="preserve"> - </v>
      </c>
      <c r="D537" s="45">
        <f>IFERROR((VLOOKUP(C537,'Daily Scrap by Shift'!$A:$D,2,0)),0)</f>
        <v>0</v>
      </c>
      <c r="E537" s="45">
        <f>IFERROR((VLOOKUP(C537,'Daily Scrap by Shift'!$A:$D,3,0)),0)</f>
        <v>0</v>
      </c>
      <c r="F537" s="45">
        <f>IFERROR((VLOOKUP(C537,'Daily Scrap by Shift'!$A:$D,4,0)),0)</f>
        <v>0</v>
      </c>
      <c r="H537" s="3" t="e">
        <f t="shared" si="28"/>
        <v>#DIV/0!</v>
      </c>
    </row>
    <row r="538" spans="3:8" x14ac:dyDescent="0.25">
      <c r="C538" s="19" t="str">
        <f t="shared" si="27"/>
        <v xml:space="preserve"> - </v>
      </c>
      <c r="D538" s="45">
        <f>IFERROR((VLOOKUP(C538,'Daily Scrap by Shift'!$A:$D,2,0)),0)</f>
        <v>0</v>
      </c>
      <c r="E538" s="45">
        <f>IFERROR((VLOOKUP(C538,'Daily Scrap by Shift'!$A:$D,3,0)),0)</f>
        <v>0</v>
      </c>
      <c r="F538" s="45">
        <f>IFERROR((VLOOKUP(C538,'Daily Scrap by Shift'!$A:$D,4,0)),0)</f>
        <v>0</v>
      </c>
      <c r="H538" s="3" t="e">
        <f t="shared" si="28"/>
        <v>#DIV/0!</v>
      </c>
    </row>
    <row r="539" spans="3:8" x14ac:dyDescent="0.25">
      <c r="C539" s="19" t="str">
        <f t="shared" si="27"/>
        <v xml:space="preserve"> - </v>
      </c>
      <c r="D539" s="45">
        <f>IFERROR((VLOOKUP(C539,'Daily Scrap by Shift'!$A:$D,2,0)),0)</f>
        <v>0</v>
      </c>
      <c r="E539" s="45">
        <f>IFERROR((VLOOKUP(C539,'Daily Scrap by Shift'!$A:$D,3,0)),0)</f>
        <v>0</v>
      </c>
      <c r="F539" s="45">
        <f>IFERROR((VLOOKUP(C539,'Daily Scrap by Shift'!$A:$D,4,0)),0)</f>
        <v>0</v>
      </c>
      <c r="H539" s="3" t="e">
        <f t="shared" si="28"/>
        <v>#DIV/0!</v>
      </c>
    </row>
    <row r="540" spans="3:8" x14ac:dyDescent="0.25">
      <c r="C540" s="19" t="str">
        <f t="shared" si="27"/>
        <v xml:space="preserve"> - </v>
      </c>
      <c r="D540" s="45">
        <f>IFERROR((VLOOKUP(C540,'Daily Scrap by Shift'!$A:$D,2,0)),0)</f>
        <v>0</v>
      </c>
      <c r="E540" s="45">
        <f>IFERROR((VLOOKUP(C540,'Daily Scrap by Shift'!$A:$D,3,0)),0)</f>
        <v>0</v>
      </c>
      <c r="F540" s="45">
        <f>IFERROR((VLOOKUP(C540,'Daily Scrap by Shift'!$A:$D,4,0)),0)</f>
        <v>0</v>
      </c>
      <c r="H540" s="3" t="e">
        <f t="shared" si="28"/>
        <v>#DIV/0!</v>
      </c>
    </row>
    <row r="541" spans="3:8" x14ac:dyDescent="0.25">
      <c r="C541" s="19" t="str">
        <f t="shared" si="27"/>
        <v xml:space="preserve"> - </v>
      </c>
      <c r="D541" s="45">
        <f>IFERROR((VLOOKUP(C541,'Daily Scrap by Shift'!$A:$D,2,0)),0)</f>
        <v>0</v>
      </c>
      <c r="E541" s="45">
        <f>IFERROR((VLOOKUP(C541,'Daily Scrap by Shift'!$A:$D,3,0)),0)</f>
        <v>0</v>
      </c>
      <c r="F541" s="45">
        <f>IFERROR((VLOOKUP(C541,'Daily Scrap by Shift'!$A:$D,4,0)),0)</f>
        <v>0</v>
      </c>
      <c r="H541" s="3" t="e">
        <f t="shared" si="28"/>
        <v>#DIV/0!</v>
      </c>
    </row>
    <row r="542" spans="3:8" x14ac:dyDescent="0.25">
      <c r="C542" s="19" t="str">
        <f t="shared" si="27"/>
        <v xml:space="preserve"> - </v>
      </c>
      <c r="D542" s="45">
        <f>IFERROR((VLOOKUP(C542,'Daily Scrap by Shift'!$A:$D,2,0)),0)</f>
        <v>0</v>
      </c>
      <c r="E542" s="45">
        <f>IFERROR((VLOOKUP(C542,'Daily Scrap by Shift'!$A:$D,3,0)),0)</f>
        <v>0</v>
      </c>
      <c r="F542" s="45">
        <f>IFERROR((VLOOKUP(C542,'Daily Scrap by Shift'!$A:$D,4,0)),0)</f>
        <v>0</v>
      </c>
      <c r="H542" s="3" t="e">
        <f t="shared" si="28"/>
        <v>#DIV/0!</v>
      </c>
    </row>
    <row r="543" spans="3:8" x14ac:dyDescent="0.25">
      <c r="C543" s="19" t="str">
        <f t="shared" si="27"/>
        <v xml:space="preserve"> - </v>
      </c>
      <c r="D543" s="45">
        <f>IFERROR((VLOOKUP(C543,'Daily Scrap by Shift'!$A:$D,2,0)),0)</f>
        <v>0</v>
      </c>
      <c r="E543" s="45">
        <f>IFERROR((VLOOKUP(C543,'Daily Scrap by Shift'!$A:$D,3,0)),0)</f>
        <v>0</v>
      </c>
      <c r="F543" s="45">
        <f>IFERROR((VLOOKUP(C543,'Daily Scrap by Shift'!$A:$D,4,0)),0)</f>
        <v>0</v>
      </c>
      <c r="H543" s="3" t="e">
        <f t="shared" si="28"/>
        <v>#DIV/0!</v>
      </c>
    </row>
    <row r="544" spans="3:8" x14ac:dyDescent="0.25">
      <c r="C544" s="19" t="str">
        <f t="shared" si="27"/>
        <v xml:space="preserve"> - </v>
      </c>
      <c r="D544" s="45">
        <f>IFERROR((VLOOKUP(C544,'Daily Scrap by Shift'!$A:$D,2,0)),0)</f>
        <v>0</v>
      </c>
      <c r="E544" s="45">
        <f>IFERROR((VLOOKUP(C544,'Daily Scrap by Shift'!$A:$D,3,0)),0)</f>
        <v>0</v>
      </c>
      <c r="F544" s="45">
        <f>IFERROR((VLOOKUP(C544,'Daily Scrap by Shift'!$A:$D,4,0)),0)</f>
        <v>0</v>
      </c>
      <c r="H544" s="3" t="e">
        <f t="shared" si="28"/>
        <v>#DIV/0!</v>
      </c>
    </row>
    <row r="545" spans="3:8" x14ac:dyDescent="0.25">
      <c r="C545" s="19" t="str">
        <f t="shared" si="27"/>
        <v xml:space="preserve"> - </v>
      </c>
      <c r="D545" s="45">
        <f>IFERROR((VLOOKUP(C545,'Daily Scrap by Shift'!$A:$D,2,0)),0)</f>
        <v>0</v>
      </c>
      <c r="E545" s="45">
        <f>IFERROR((VLOOKUP(C545,'Daily Scrap by Shift'!$A:$D,3,0)),0)</f>
        <v>0</v>
      </c>
      <c r="F545" s="45">
        <f>IFERROR((VLOOKUP(C545,'Daily Scrap by Shift'!$A:$D,4,0)),0)</f>
        <v>0</v>
      </c>
      <c r="H545" s="3" t="e">
        <f t="shared" si="28"/>
        <v>#DIV/0!</v>
      </c>
    </row>
    <row r="546" spans="3:8" x14ac:dyDescent="0.25">
      <c r="C546" s="19" t="str">
        <f t="shared" si="27"/>
        <v xml:space="preserve"> - </v>
      </c>
      <c r="D546" s="45">
        <f>IFERROR((VLOOKUP(C546,'Daily Scrap by Shift'!$A:$D,2,0)),0)</f>
        <v>0</v>
      </c>
      <c r="E546" s="45">
        <f>IFERROR((VLOOKUP(C546,'Daily Scrap by Shift'!$A:$D,3,0)),0)</f>
        <v>0</v>
      </c>
      <c r="F546" s="45">
        <f>IFERROR((VLOOKUP(C546,'Daily Scrap by Shift'!$A:$D,4,0)),0)</f>
        <v>0</v>
      </c>
      <c r="H546" s="3" t="e">
        <f t="shared" si="28"/>
        <v>#DIV/0!</v>
      </c>
    </row>
    <row r="547" spans="3:8" x14ac:dyDescent="0.25">
      <c r="C547" s="19" t="str">
        <f t="shared" si="27"/>
        <v xml:space="preserve"> - </v>
      </c>
      <c r="D547" s="45">
        <f>IFERROR((VLOOKUP(C547,'Daily Scrap by Shift'!$A:$D,2,0)),0)</f>
        <v>0</v>
      </c>
      <c r="E547" s="45">
        <f>IFERROR((VLOOKUP(C547,'Daily Scrap by Shift'!$A:$D,3,0)),0)</f>
        <v>0</v>
      </c>
      <c r="F547" s="45">
        <f>IFERROR((VLOOKUP(C547,'Daily Scrap by Shift'!$A:$D,4,0)),0)</f>
        <v>0</v>
      </c>
      <c r="H547" s="3" t="e">
        <f t="shared" si="28"/>
        <v>#DIV/0!</v>
      </c>
    </row>
    <row r="548" spans="3:8" x14ac:dyDescent="0.25">
      <c r="C548" s="19" t="str">
        <f t="shared" si="27"/>
        <v xml:space="preserve"> - </v>
      </c>
      <c r="D548" s="45">
        <f>IFERROR((VLOOKUP(C548,'Daily Scrap by Shift'!$A:$D,2,0)),0)</f>
        <v>0</v>
      </c>
      <c r="E548" s="45">
        <f>IFERROR((VLOOKUP(C548,'Daily Scrap by Shift'!$A:$D,3,0)),0)</f>
        <v>0</v>
      </c>
      <c r="F548" s="45">
        <f>IFERROR((VLOOKUP(C548,'Daily Scrap by Shift'!$A:$D,4,0)),0)</f>
        <v>0</v>
      </c>
      <c r="H548" s="3" t="e">
        <f t="shared" si="28"/>
        <v>#DIV/0!</v>
      </c>
    </row>
    <row r="549" spans="3:8" x14ac:dyDescent="0.25">
      <c r="C549" s="19" t="str">
        <f t="shared" si="27"/>
        <v xml:space="preserve"> - </v>
      </c>
      <c r="D549" s="45">
        <f>IFERROR((VLOOKUP(C549,'Daily Scrap by Shift'!$A:$D,2,0)),0)</f>
        <v>0</v>
      </c>
      <c r="E549" s="45">
        <f>IFERROR((VLOOKUP(C549,'Daily Scrap by Shift'!$A:$D,3,0)),0)</f>
        <v>0</v>
      </c>
      <c r="F549" s="45">
        <f>IFERROR((VLOOKUP(C549,'Daily Scrap by Shift'!$A:$D,4,0)),0)</f>
        <v>0</v>
      </c>
      <c r="H549" s="3" t="e">
        <f t="shared" si="28"/>
        <v>#DIV/0!</v>
      </c>
    </row>
    <row r="550" spans="3:8" x14ac:dyDescent="0.25">
      <c r="C550" s="19" t="str">
        <f t="shared" si="27"/>
        <v xml:space="preserve"> - </v>
      </c>
      <c r="D550" s="45">
        <f>IFERROR((VLOOKUP(C550,'Daily Scrap by Shift'!$A:$D,2,0)),0)</f>
        <v>0</v>
      </c>
      <c r="E550" s="45">
        <f>IFERROR((VLOOKUP(C550,'Daily Scrap by Shift'!$A:$D,3,0)),0)</f>
        <v>0</v>
      </c>
      <c r="F550" s="45">
        <f>IFERROR((VLOOKUP(C550,'Daily Scrap by Shift'!$A:$D,4,0)),0)</f>
        <v>0</v>
      </c>
      <c r="H550" s="3" t="e">
        <f t="shared" si="28"/>
        <v>#DIV/0!</v>
      </c>
    </row>
    <row r="551" spans="3:8" x14ac:dyDescent="0.25">
      <c r="C551" s="19" t="str">
        <f t="shared" si="27"/>
        <v xml:space="preserve"> - </v>
      </c>
      <c r="D551" s="45">
        <f>IFERROR((VLOOKUP(C551,'Daily Scrap by Shift'!$A:$D,2,0)),0)</f>
        <v>0</v>
      </c>
      <c r="E551" s="45">
        <f>IFERROR((VLOOKUP(C551,'Daily Scrap by Shift'!$A:$D,3,0)),0)</f>
        <v>0</v>
      </c>
      <c r="F551" s="45">
        <f>IFERROR((VLOOKUP(C551,'Daily Scrap by Shift'!$A:$D,4,0)),0)</f>
        <v>0</v>
      </c>
      <c r="H551" s="3" t="e">
        <f t="shared" si="28"/>
        <v>#DIV/0!</v>
      </c>
    </row>
    <row r="552" spans="3:8" x14ac:dyDescent="0.25">
      <c r="C552" s="19" t="str">
        <f t="shared" si="27"/>
        <v xml:space="preserve"> - </v>
      </c>
      <c r="D552" s="45">
        <f>IFERROR((VLOOKUP(C552,'Daily Scrap by Shift'!$A:$D,2,0)),0)</f>
        <v>0</v>
      </c>
      <c r="E552" s="45">
        <f>IFERROR((VLOOKUP(C552,'Daily Scrap by Shift'!$A:$D,3,0)),0)</f>
        <v>0</v>
      </c>
      <c r="F552" s="45">
        <f>IFERROR((VLOOKUP(C552,'Daily Scrap by Shift'!$A:$D,4,0)),0)</f>
        <v>0</v>
      </c>
      <c r="H552" s="3" t="e">
        <f t="shared" si="28"/>
        <v>#DIV/0!</v>
      </c>
    </row>
    <row r="553" spans="3:8" x14ac:dyDescent="0.25">
      <c r="C553" s="19" t="str">
        <f t="shared" si="27"/>
        <v xml:space="preserve"> - </v>
      </c>
      <c r="D553" s="45">
        <f>IFERROR((VLOOKUP(C553,'Daily Scrap by Shift'!$A:$D,2,0)),0)</f>
        <v>0</v>
      </c>
      <c r="E553" s="45">
        <f>IFERROR((VLOOKUP(C553,'Daily Scrap by Shift'!$A:$D,3,0)),0)</f>
        <v>0</v>
      </c>
      <c r="F553" s="45">
        <f>IFERROR((VLOOKUP(C553,'Daily Scrap by Shift'!$A:$D,4,0)),0)</f>
        <v>0</v>
      </c>
      <c r="H553" s="3" t="e">
        <f t="shared" si="28"/>
        <v>#DIV/0!</v>
      </c>
    </row>
    <row r="554" spans="3:8" x14ac:dyDescent="0.25">
      <c r="C554" s="19" t="str">
        <f t="shared" si="27"/>
        <v xml:space="preserve"> - </v>
      </c>
      <c r="D554" s="45">
        <f>IFERROR((VLOOKUP(C554,'Daily Scrap by Shift'!$A:$D,2,0)),0)</f>
        <v>0</v>
      </c>
      <c r="E554" s="45">
        <f>IFERROR((VLOOKUP(C554,'Daily Scrap by Shift'!$A:$D,3,0)),0)</f>
        <v>0</v>
      </c>
      <c r="F554" s="45">
        <f>IFERROR((VLOOKUP(C554,'Daily Scrap by Shift'!$A:$D,4,0)),0)</f>
        <v>0</v>
      </c>
      <c r="H554" s="3" t="e">
        <f t="shared" si="28"/>
        <v>#DIV/0!</v>
      </c>
    </row>
    <row r="555" spans="3:8" x14ac:dyDescent="0.25">
      <c r="C555" s="19" t="str">
        <f t="shared" si="27"/>
        <v xml:space="preserve"> - </v>
      </c>
      <c r="D555" s="45">
        <f>IFERROR((VLOOKUP(C555,'Daily Scrap by Shift'!$A:$D,2,0)),0)</f>
        <v>0</v>
      </c>
      <c r="E555" s="45">
        <f>IFERROR((VLOOKUP(C555,'Daily Scrap by Shift'!$A:$D,3,0)),0)</f>
        <v>0</v>
      </c>
      <c r="F555" s="45">
        <f>IFERROR((VLOOKUP(C555,'Daily Scrap by Shift'!$A:$D,4,0)),0)</f>
        <v>0</v>
      </c>
      <c r="H555" s="3" t="e">
        <f t="shared" si="28"/>
        <v>#DIV/0!</v>
      </c>
    </row>
    <row r="556" spans="3:8" x14ac:dyDescent="0.25">
      <c r="C556" s="19" t="str">
        <f t="shared" si="27"/>
        <v xml:space="preserve"> - </v>
      </c>
      <c r="D556" s="45">
        <f>IFERROR((VLOOKUP(C556,'Daily Scrap by Shift'!$A:$D,2,0)),0)</f>
        <v>0</v>
      </c>
      <c r="E556" s="45">
        <f>IFERROR((VLOOKUP(C556,'Daily Scrap by Shift'!$A:$D,3,0)),0)</f>
        <v>0</v>
      </c>
      <c r="F556" s="45">
        <f>IFERROR((VLOOKUP(C556,'Daily Scrap by Shift'!$A:$D,4,0)),0)</f>
        <v>0</v>
      </c>
      <c r="H556" s="3" t="e">
        <f t="shared" si="28"/>
        <v>#DIV/0!</v>
      </c>
    </row>
    <row r="557" spans="3:8" x14ac:dyDescent="0.25">
      <c r="C557" s="19" t="str">
        <f t="shared" si="27"/>
        <v xml:space="preserve"> - </v>
      </c>
      <c r="D557" s="45">
        <f>IFERROR((VLOOKUP(C557,'Daily Scrap by Shift'!$A:$D,2,0)),0)</f>
        <v>0</v>
      </c>
      <c r="E557" s="45">
        <f>IFERROR((VLOOKUP(C557,'Daily Scrap by Shift'!$A:$D,3,0)),0)</f>
        <v>0</v>
      </c>
      <c r="F557" s="45">
        <f>IFERROR((VLOOKUP(C557,'Daily Scrap by Shift'!$A:$D,4,0)),0)</f>
        <v>0</v>
      </c>
      <c r="H557" s="3" t="e">
        <f t="shared" si="28"/>
        <v>#DIV/0!</v>
      </c>
    </row>
    <row r="558" spans="3:8" x14ac:dyDescent="0.25">
      <c r="C558" s="19" t="str">
        <f t="shared" si="27"/>
        <v xml:space="preserve"> - </v>
      </c>
      <c r="D558" s="45">
        <f>IFERROR((VLOOKUP(C558,'Daily Scrap by Shift'!$A:$D,2,0)),0)</f>
        <v>0</v>
      </c>
      <c r="E558" s="45">
        <f>IFERROR((VLOOKUP(C558,'Daily Scrap by Shift'!$A:$D,3,0)),0)</f>
        <v>0</v>
      </c>
      <c r="F558" s="45">
        <f>IFERROR((VLOOKUP(C558,'Daily Scrap by Shift'!$A:$D,4,0)),0)</f>
        <v>0</v>
      </c>
      <c r="H558" s="3" t="e">
        <f t="shared" si="28"/>
        <v>#DIV/0!</v>
      </c>
    </row>
    <row r="559" spans="3:8" x14ac:dyDescent="0.25">
      <c r="C559" s="19" t="str">
        <f t="shared" si="27"/>
        <v xml:space="preserve"> - </v>
      </c>
      <c r="D559" s="45">
        <f>IFERROR((VLOOKUP(C559,'Daily Scrap by Shift'!$A:$D,2,0)),0)</f>
        <v>0</v>
      </c>
      <c r="E559" s="45">
        <f>IFERROR((VLOOKUP(C559,'Daily Scrap by Shift'!$A:$D,3,0)),0)</f>
        <v>0</v>
      </c>
      <c r="F559" s="45">
        <f>IFERROR((VLOOKUP(C559,'Daily Scrap by Shift'!$A:$D,4,0)),0)</f>
        <v>0</v>
      </c>
      <c r="H559" s="3" t="e">
        <f t="shared" si="28"/>
        <v>#DIV/0!</v>
      </c>
    </row>
    <row r="560" spans="3:8" x14ac:dyDescent="0.25">
      <c r="C560" s="19" t="str">
        <f t="shared" si="27"/>
        <v xml:space="preserve"> - </v>
      </c>
      <c r="D560" s="45">
        <f>IFERROR((VLOOKUP(C560,'Daily Scrap by Shift'!$A:$D,2,0)),0)</f>
        <v>0</v>
      </c>
      <c r="E560" s="45">
        <f>IFERROR((VLOOKUP(C560,'Daily Scrap by Shift'!$A:$D,3,0)),0)</f>
        <v>0</v>
      </c>
      <c r="F560" s="45">
        <f>IFERROR((VLOOKUP(C560,'Daily Scrap by Shift'!$A:$D,4,0)),0)</f>
        <v>0</v>
      </c>
      <c r="H560" s="3" t="e">
        <f t="shared" si="28"/>
        <v>#DIV/0!</v>
      </c>
    </row>
    <row r="561" spans="3:8" x14ac:dyDescent="0.25">
      <c r="C561" s="19" t="str">
        <f t="shared" si="27"/>
        <v xml:space="preserve"> - </v>
      </c>
      <c r="D561" s="45">
        <f>IFERROR((VLOOKUP(C561,'Daily Scrap by Shift'!$A:$D,2,0)),0)</f>
        <v>0</v>
      </c>
      <c r="E561" s="45">
        <f>IFERROR((VLOOKUP(C561,'Daily Scrap by Shift'!$A:$D,3,0)),0)</f>
        <v>0</v>
      </c>
      <c r="F561" s="45">
        <f>IFERROR((VLOOKUP(C561,'Daily Scrap by Shift'!$A:$D,4,0)),0)</f>
        <v>0</v>
      </c>
      <c r="H561" s="3" t="e">
        <f t="shared" si="28"/>
        <v>#DIV/0!</v>
      </c>
    </row>
    <row r="562" spans="3:8" x14ac:dyDescent="0.25">
      <c r="C562" s="19" t="str">
        <f t="shared" si="27"/>
        <v xml:space="preserve"> - </v>
      </c>
      <c r="D562" s="45">
        <f>IFERROR((VLOOKUP(C562,'Daily Scrap by Shift'!$A:$D,2,0)),0)</f>
        <v>0</v>
      </c>
      <c r="E562" s="45">
        <f>IFERROR((VLOOKUP(C562,'Daily Scrap by Shift'!$A:$D,3,0)),0)</f>
        <v>0</v>
      </c>
      <c r="F562" s="45">
        <f>IFERROR((VLOOKUP(C562,'Daily Scrap by Shift'!$A:$D,4,0)),0)</f>
        <v>0</v>
      </c>
      <c r="H562" s="3" t="e">
        <f t="shared" si="28"/>
        <v>#DIV/0!</v>
      </c>
    </row>
    <row r="563" spans="3:8" x14ac:dyDescent="0.25">
      <c r="C563" s="19" t="str">
        <f t="shared" si="27"/>
        <v xml:space="preserve"> - </v>
      </c>
      <c r="D563" s="45">
        <f>IFERROR((VLOOKUP(C563,'Daily Scrap by Shift'!$A:$D,2,0)),0)</f>
        <v>0</v>
      </c>
      <c r="E563" s="45">
        <f>IFERROR((VLOOKUP(C563,'Daily Scrap by Shift'!$A:$D,3,0)),0)</f>
        <v>0</v>
      </c>
      <c r="F563" s="45">
        <f>IFERROR((VLOOKUP(C563,'Daily Scrap by Shift'!$A:$D,4,0)),0)</f>
        <v>0</v>
      </c>
      <c r="H563" s="3" t="e">
        <f t="shared" si="28"/>
        <v>#DIV/0!</v>
      </c>
    </row>
    <row r="564" spans="3:8" x14ac:dyDescent="0.25">
      <c r="C564" s="19" t="str">
        <f t="shared" si="27"/>
        <v xml:space="preserve"> - </v>
      </c>
      <c r="D564" s="45">
        <f>IFERROR((VLOOKUP(C564,'Daily Scrap by Shift'!$A:$D,2,0)),0)</f>
        <v>0</v>
      </c>
      <c r="E564" s="45">
        <f>IFERROR((VLOOKUP(C564,'Daily Scrap by Shift'!$A:$D,3,0)),0)</f>
        <v>0</v>
      </c>
      <c r="F564" s="45">
        <f>IFERROR((VLOOKUP(C564,'Daily Scrap by Shift'!$A:$D,4,0)),0)</f>
        <v>0</v>
      </c>
      <c r="H564" s="3" t="e">
        <f t="shared" si="28"/>
        <v>#DIV/0!</v>
      </c>
    </row>
    <row r="565" spans="3:8" x14ac:dyDescent="0.25">
      <c r="C565" s="19" t="str">
        <f t="shared" si="27"/>
        <v xml:space="preserve"> - </v>
      </c>
      <c r="D565" s="45">
        <f>IFERROR((VLOOKUP(C565,'Daily Scrap by Shift'!$A:$D,2,0)),0)</f>
        <v>0</v>
      </c>
      <c r="E565" s="45">
        <f>IFERROR((VLOOKUP(C565,'Daily Scrap by Shift'!$A:$D,3,0)),0)</f>
        <v>0</v>
      </c>
      <c r="F565" s="45">
        <f>IFERROR((VLOOKUP(C565,'Daily Scrap by Shift'!$A:$D,4,0)),0)</f>
        <v>0</v>
      </c>
      <c r="H565" s="3" t="e">
        <f t="shared" si="28"/>
        <v>#DIV/0!</v>
      </c>
    </row>
    <row r="566" spans="3:8" x14ac:dyDescent="0.25">
      <c r="C566" s="19" t="str">
        <f t="shared" si="27"/>
        <v xml:space="preserve"> - </v>
      </c>
      <c r="D566" s="45">
        <f>IFERROR((VLOOKUP(C566,'Daily Scrap by Shift'!$A:$D,2,0)),0)</f>
        <v>0</v>
      </c>
      <c r="E566" s="45">
        <f>IFERROR((VLOOKUP(C566,'Daily Scrap by Shift'!$A:$D,3,0)),0)</f>
        <v>0</v>
      </c>
      <c r="F566" s="45">
        <f>IFERROR((VLOOKUP(C566,'Daily Scrap by Shift'!$A:$D,4,0)),0)</f>
        <v>0</v>
      </c>
      <c r="H566" s="3" t="e">
        <f t="shared" si="28"/>
        <v>#DIV/0!</v>
      </c>
    </row>
    <row r="567" spans="3:8" x14ac:dyDescent="0.25">
      <c r="C567" s="19" t="str">
        <f t="shared" si="27"/>
        <v xml:space="preserve"> - </v>
      </c>
      <c r="D567" s="45">
        <f>IFERROR((VLOOKUP(C567,'Daily Scrap by Shift'!$A:$D,2,0)),0)</f>
        <v>0</v>
      </c>
      <c r="E567" s="45">
        <f>IFERROR((VLOOKUP(C567,'Daily Scrap by Shift'!$A:$D,3,0)),0)</f>
        <v>0</v>
      </c>
      <c r="F567" s="45">
        <f>IFERROR((VLOOKUP(C567,'Daily Scrap by Shift'!$A:$D,4,0)),0)</f>
        <v>0</v>
      </c>
      <c r="H567" s="3" t="e">
        <f t="shared" si="28"/>
        <v>#DIV/0!</v>
      </c>
    </row>
    <row r="568" spans="3:8" x14ac:dyDescent="0.25">
      <c r="C568" s="19" t="str">
        <f t="shared" si="27"/>
        <v xml:space="preserve"> - </v>
      </c>
      <c r="D568" s="45">
        <f>IFERROR((VLOOKUP(C568,'Daily Scrap by Shift'!$A:$D,2,0)),0)</f>
        <v>0</v>
      </c>
      <c r="E568" s="45">
        <f>IFERROR((VLOOKUP(C568,'Daily Scrap by Shift'!$A:$D,3,0)),0)</f>
        <v>0</v>
      </c>
      <c r="F568" s="45">
        <f>IFERROR((VLOOKUP(C568,'Daily Scrap by Shift'!$A:$D,4,0)),0)</f>
        <v>0</v>
      </c>
      <c r="H568" s="3" t="e">
        <f t="shared" si="28"/>
        <v>#DIV/0!</v>
      </c>
    </row>
    <row r="569" spans="3:8" x14ac:dyDescent="0.25">
      <c r="C569" s="19" t="str">
        <f t="shared" si="27"/>
        <v xml:space="preserve"> - </v>
      </c>
      <c r="D569" s="45">
        <f>IFERROR((VLOOKUP(C569,'Daily Scrap by Shift'!$A:$D,2,0)),0)</f>
        <v>0</v>
      </c>
      <c r="E569" s="45">
        <f>IFERROR((VLOOKUP(C569,'Daily Scrap by Shift'!$A:$D,3,0)),0)</f>
        <v>0</v>
      </c>
      <c r="F569" s="45">
        <f>IFERROR((VLOOKUP(C569,'Daily Scrap by Shift'!$A:$D,4,0)),0)</f>
        <v>0</v>
      </c>
      <c r="H569" s="3" t="e">
        <f t="shared" si="28"/>
        <v>#DIV/0!</v>
      </c>
    </row>
    <row r="570" spans="3:8" x14ac:dyDescent="0.25">
      <c r="C570" s="19" t="str">
        <f t="shared" si="27"/>
        <v xml:space="preserve"> - </v>
      </c>
      <c r="D570" s="45">
        <f>IFERROR((VLOOKUP(C570,'Daily Scrap by Shift'!$A:$D,2,0)),0)</f>
        <v>0</v>
      </c>
      <c r="E570" s="45">
        <f>IFERROR((VLOOKUP(C570,'Daily Scrap by Shift'!$A:$D,3,0)),0)</f>
        <v>0</v>
      </c>
      <c r="F570" s="45">
        <f>IFERROR((VLOOKUP(C570,'Daily Scrap by Shift'!$A:$D,4,0)),0)</f>
        <v>0</v>
      </c>
      <c r="H570" s="3" t="e">
        <f t="shared" si="28"/>
        <v>#DIV/0!</v>
      </c>
    </row>
    <row r="571" spans="3:8" x14ac:dyDescent="0.25">
      <c r="C571" s="19" t="str">
        <f t="shared" si="27"/>
        <v xml:space="preserve"> - </v>
      </c>
      <c r="D571" s="45">
        <f>IFERROR((VLOOKUP(C571,'Daily Scrap by Shift'!$A:$D,2,0)),0)</f>
        <v>0</v>
      </c>
      <c r="E571" s="45">
        <f>IFERROR((VLOOKUP(C571,'Daily Scrap by Shift'!$A:$D,3,0)),0)</f>
        <v>0</v>
      </c>
      <c r="F571" s="45">
        <f>IFERROR((VLOOKUP(C571,'Daily Scrap by Shift'!$A:$D,4,0)),0)</f>
        <v>0</v>
      </c>
      <c r="H571" s="3" t="e">
        <f t="shared" si="28"/>
        <v>#DIV/0!</v>
      </c>
    </row>
    <row r="572" spans="3:8" x14ac:dyDescent="0.25">
      <c r="C572" s="19" t="str">
        <f t="shared" si="27"/>
        <v xml:space="preserve"> - </v>
      </c>
      <c r="D572" s="45">
        <f>IFERROR((VLOOKUP(C572,'Daily Scrap by Shift'!$A:$D,2,0)),0)</f>
        <v>0</v>
      </c>
      <c r="E572" s="45">
        <f>IFERROR((VLOOKUP(C572,'Daily Scrap by Shift'!$A:$D,3,0)),0)</f>
        <v>0</v>
      </c>
      <c r="F572" s="45">
        <f>IFERROR((VLOOKUP(C572,'Daily Scrap by Shift'!$A:$D,4,0)),0)</f>
        <v>0</v>
      </c>
      <c r="H572" s="3" t="e">
        <f t="shared" si="28"/>
        <v>#DIV/0!</v>
      </c>
    </row>
    <row r="573" spans="3:8" x14ac:dyDescent="0.25">
      <c r="C573" s="19" t="str">
        <f t="shared" si="27"/>
        <v xml:space="preserve"> - </v>
      </c>
      <c r="D573" s="45">
        <f>IFERROR((VLOOKUP(C573,'Daily Scrap by Shift'!$A:$D,2,0)),0)</f>
        <v>0</v>
      </c>
      <c r="E573" s="45">
        <f>IFERROR((VLOOKUP(C573,'Daily Scrap by Shift'!$A:$D,3,0)),0)</f>
        <v>0</v>
      </c>
      <c r="F573" s="45">
        <f>IFERROR((VLOOKUP(C573,'Daily Scrap by Shift'!$A:$D,4,0)),0)</f>
        <v>0</v>
      </c>
      <c r="H573" s="3" t="e">
        <f t="shared" si="28"/>
        <v>#DIV/0!</v>
      </c>
    </row>
    <row r="574" spans="3:8" x14ac:dyDescent="0.25">
      <c r="C574" s="19" t="str">
        <f t="shared" si="27"/>
        <v xml:space="preserve"> - </v>
      </c>
      <c r="D574" s="45">
        <f>IFERROR((VLOOKUP(C574,'Daily Scrap by Shift'!$A:$D,2,0)),0)</f>
        <v>0</v>
      </c>
      <c r="E574" s="45">
        <f>IFERROR((VLOOKUP(C574,'Daily Scrap by Shift'!$A:$D,3,0)),0)</f>
        <v>0</v>
      </c>
      <c r="F574" s="45">
        <f>IFERROR((VLOOKUP(C574,'Daily Scrap by Shift'!$A:$D,4,0)),0)</f>
        <v>0</v>
      </c>
      <c r="H574" s="3" t="e">
        <f t="shared" si="28"/>
        <v>#DIV/0!</v>
      </c>
    </row>
    <row r="575" spans="3:8" x14ac:dyDescent="0.25">
      <c r="C575" s="19" t="str">
        <f t="shared" si="27"/>
        <v xml:space="preserve"> - </v>
      </c>
      <c r="D575" s="45">
        <f>IFERROR((VLOOKUP(C575,'Daily Scrap by Shift'!$A:$D,2,0)),0)</f>
        <v>0</v>
      </c>
      <c r="E575" s="45">
        <f>IFERROR((VLOOKUP(C575,'Daily Scrap by Shift'!$A:$D,3,0)),0)</f>
        <v>0</v>
      </c>
      <c r="F575" s="45">
        <f>IFERROR((VLOOKUP(C575,'Daily Scrap by Shift'!$A:$D,4,0)),0)</f>
        <v>0</v>
      </c>
      <c r="H575" s="3" t="e">
        <f t="shared" si="28"/>
        <v>#DIV/0!</v>
      </c>
    </row>
    <row r="576" spans="3:8" x14ac:dyDescent="0.25">
      <c r="C576" s="19" t="str">
        <f t="shared" si="27"/>
        <v xml:space="preserve"> - </v>
      </c>
      <c r="D576" s="45">
        <f>IFERROR((VLOOKUP(C576,'Daily Scrap by Shift'!$A:$D,2,0)),0)</f>
        <v>0</v>
      </c>
      <c r="E576" s="45">
        <f>IFERROR((VLOOKUP(C576,'Daily Scrap by Shift'!$A:$D,3,0)),0)</f>
        <v>0</v>
      </c>
      <c r="F576" s="45">
        <f>IFERROR((VLOOKUP(C576,'Daily Scrap by Shift'!$A:$D,4,0)),0)</f>
        <v>0</v>
      </c>
      <c r="H576" s="3" t="e">
        <f t="shared" si="28"/>
        <v>#DIV/0!</v>
      </c>
    </row>
    <row r="577" spans="3:8" x14ac:dyDescent="0.25">
      <c r="C577" s="19" t="str">
        <f t="shared" si="27"/>
        <v xml:space="preserve"> - </v>
      </c>
      <c r="D577" s="45">
        <f>IFERROR((VLOOKUP(C577,'Daily Scrap by Shift'!$A:$D,2,0)),0)</f>
        <v>0</v>
      </c>
      <c r="E577" s="45">
        <f>IFERROR((VLOOKUP(C577,'Daily Scrap by Shift'!$A:$D,3,0)),0)</f>
        <v>0</v>
      </c>
      <c r="F577" s="45">
        <f>IFERROR((VLOOKUP(C577,'Daily Scrap by Shift'!$A:$D,4,0)),0)</f>
        <v>0</v>
      </c>
      <c r="H577" s="3" t="e">
        <f t="shared" si="28"/>
        <v>#DIV/0!</v>
      </c>
    </row>
    <row r="578" spans="3:8" x14ac:dyDescent="0.25">
      <c r="C578" s="19" t="str">
        <f t="shared" si="27"/>
        <v xml:space="preserve"> - </v>
      </c>
      <c r="D578" s="45">
        <f>IFERROR((VLOOKUP(C578,'Daily Scrap by Shift'!$A:$D,2,0)),0)</f>
        <v>0</v>
      </c>
      <c r="E578" s="45">
        <f>IFERROR((VLOOKUP(C578,'Daily Scrap by Shift'!$A:$D,3,0)),0)</f>
        <v>0</v>
      </c>
      <c r="F578" s="45">
        <f>IFERROR((VLOOKUP(C578,'Daily Scrap by Shift'!$A:$D,4,0)),0)</f>
        <v>0</v>
      </c>
      <c r="H578" s="3" t="e">
        <f t="shared" si="28"/>
        <v>#DIV/0!</v>
      </c>
    </row>
    <row r="579" spans="3:8" x14ac:dyDescent="0.25">
      <c r="C579" s="19" t="str">
        <f t="shared" si="27"/>
        <v xml:space="preserve"> - </v>
      </c>
      <c r="D579" s="45">
        <f>IFERROR((VLOOKUP(C579,'Daily Scrap by Shift'!$A:$D,2,0)),0)</f>
        <v>0</v>
      </c>
      <c r="E579" s="45">
        <f>IFERROR((VLOOKUP(C579,'Daily Scrap by Shift'!$A:$D,3,0)),0)</f>
        <v>0</v>
      </c>
      <c r="F579" s="45">
        <f>IFERROR((VLOOKUP(C579,'Daily Scrap by Shift'!$A:$D,4,0)),0)</f>
        <v>0</v>
      </c>
      <c r="H579" s="3" t="e">
        <f t="shared" si="28"/>
        <v>#DIV/0!</v>
      </c>
    </row>
    <row r="580" spans="3:8" x14ac:dyDescent="0.25">
      <c r="C580" s="19" t="str">
        <f t="shared" si="27"/>
        <v xml:space="preserve"> - </v>
      </c>
      <c r="D580" s="45">
        <f>IFERROR((VLOOKUP(C580,'Daily Scrap by Shift'!$A:$D,2,0)),0)</f>
        <v>0</v>
      </c>
      <c r="E580" s="45">
        <f>IFERROR((VLOOKUP(C580,'Daily Scrap by Shift'!$A:$D,3,0)),0)</f>
        <v>0</v>
      </c>
      <c r="F580" s="45">
        <f>IFERROR((VLOOKUP(C580,'Daily Scrap by Shift'!$A:$D,4,0)),0)</f>
        <v>0</v>
      </c>
      <c r="H580" s="3" t="e">
        <f t="shared" si="28"/>
        <v>#DIV/0!</v>
      </c>
    </row>
    <row r="581" spans="3:8" x14ac:dyDescent="0.25">
      <c r="C581" s="19" t="str">
        <f t="shared" si="27"/>
        <v xml:space="preserve"> - </v>
      </c>
      <c r="D581" s="45">
        <f>IFERROR((VLOOKUP(C581,'Daily Scrap by Shift'!$A:$D,2,0)),0)</f>
        <v>0</v>
      </c>
      <c r="E581" s="45">
        <f>IFERROR((VLOOKUP(C581,'Daily Scrap by Shift'!$A:$D,3,0)),0)</f>
        <v>0</v>
      </c>
      <c r="F581" s="45">
        <f>IFERROR((VLOOKUP(C581,'Daily Scrap by Shift'!$A:$D,4,0)),0)</f>
        <v>0</v>
      </c>
      <c r="H581" s="3" t="e">
        <f t="shared" si="28"/>
        <v>#DIV/0!</v>
      </c>
    </row>
    <row r="582" spans="3:8" x14ac:dyDescent="0.25">
      <c r="C582" s="19" t="str">
        <f t="shared" ref="C582:C645" si="29">CONCATENATE(A582," - ",B582)</f>
        <v xml:space="preserve"> - </v>
      </c>
      <c r="D582" s="45">
        <f>IFERROR((VLOOKUP(C582,'Daily Scrap by Shift'!$A:$D,2,0)),0)</f>
        <v>0</v>
      </c>
      <c r="E582" s="45">
        <f>IFERROR((VLOOKUP(C582,'Daily Scrap by Shift'!$A:$D,3,0)),0)</f>
        <v>0</v>
      </c>
      <c r="F582" s="45">
        <f>IFERROR((VLOOKUP(C582,'Daily Scrap by Shift'!$A:$D,4,0)),0)</f>
        <v>0</v>
      </c>
      <c r="H582" s="3" t="e">
        <f t="shared" si="28"/>
        <v>#DIV/0!</v>
      </c>
    </row>
    <row r="583" spans="3:8" x14ac:dyDescent="0.25">
      <c r="C583" s="19" t="str">
        <f t="shared" si="29"/>
        <v xml:space="preserve"> - </v>
      </c>
      <c r="D583" s="45">
        <f>IFERROR((VLOOKUP(C583,'Daily Scrap by Shift'!$A:$D,2,0)),0)</f>
        <v>0</v>
      </c>
      <c r="E583" s="45">
        <f>IFERROR((VLOOKUP(C583,'Daily Scrap by Shift'!$A:$D,3,0)),0)</f>
        <v>0</v>
      </c>
      <c r="F583" s="45">
        <f>IFERROR((VLOOKUP(C583,'Daily Scrap by Shift'!$A:$D,4,0)),0)</f>
        <v>0</v>
      </c>
      <c r="H583" s="3" t="e">
        <f t="shared" si="28"/>
        <v>#DIV/0!</v>
      </c>
    </row>
    <row r="584" spans="3:8" x14ac:dyDescent="0.25">
      <c r="C584" s="19" t="str">
        <f t="shared" si="29"/>
        <v xml:space="preserve"> - </v>
      </c>
      <c r="D584" s="45">
        <f>IFERROR((VLOOKUP(C584,'Daily Scrap by Shift'!$A:$D,2,0)),0)</f>
        <v>0</v>
      </c>
      <c r="E584" s="45">
        <f>IFERROR((VLOOKUP(C584,'Daily Scrap by Shift'!$A:$D,3,0)),0)</f>
        <v>0</v>
      </c>
      <c r="F584" s="45">
        <f>IFERROR((VLOOKUP(C584,'Daily Scrap by Shift'!$A:$D,4,0)),0)</f>
        <v>0</v>
      </c>
      <c r="H584" s="3" t="e">
        <f t="shared" si="28"/>
        <v>#DIV/0!</v>
      </c>
    </row>
    <row r="585" spans="3:8" x14ac:dyDescent="0.25">
      <c r="C585" s="19" t="str">
        <f t="shared" si="29"/>
        <v xml:space="preserve"> - </v>
      </c>
      <c r="D585" s="45">
        <f>IFERROR((VLOOKUP(C585,'Daily Scrap by Shift'!$A:$D,2,0)),0)</f>
        <v>0</v>
      </c>
      <c r="E585" s="45">
        <f>IFERROR((VLOOKUP(C585,'Daily Scrap by Shift'!$A:$D,3,0)),0)</f>
        <v>0</v>
      </c>
      <c r="F585" s="45">
        <f>IFERROR((VLOOKUP(C585,'Daily Scrap by Shift'!$A:$D,4,0)),0)</f>
        <v>0</v>
      </c>
      <c r="H585" s="3" t="e">
        <f t="shared" si="28"/>
        <v>#DIV/0!</v>
      </c>
    </row>
    <row r="586" spans="3:8" x14ac:dyDescent="0.25">
      <c r="C586" s="19" t="str">
        <f t="shared" si="29"/>
        <v xml:space="preserve"> - </v>
      </c>
      <c r="D586" s="45">
        <f>IFERROR((VLOOKUP(C586,'Daily Scrap by Shift'!$A:$D,2,0)),0)</f>
        <v>0</v>
      </c>
      <c r="E586" s="45">
        <f>IFERROR((VLOOKUP(C586,'Daily Scrap by Shift'!$A:$D,3,0)),0)</f>
        <v>0</v>
      </c>
      <c r="F586" s="45">
        <f>IFERROR((VLOOKUP(C586,'Daily Scrap by Shift'!$A:$D,4,0)),0)</f>
        <v>0</v>
      </c>
      <c r="H586" s="3" t="e">
        <f t="shared" si="28"/>
        <v>#DIV/0!</v>
      </c>
    </row>
    <row r="587" spans="3:8" x14ac:dyDescent="0.25">
      <c r="C587" s="19" t="str">
        <f t="shared" si="29"/>
        <v xml:space="preserve"> - </v>
      </c>
      <c r="D587" s="45">
        <f>IFERROR((VLOOKUP(C587,'Daily Scrap by Shift'!$A:$D,2,0)),0)</f>
        <v>0</v>
      </c>
      <c r="E587" s="45">
        <f>IFERROR((VLOOKUP(C587,'Daily Scrap by Shift'!$A:$D,3,0)),0)</f>
        <v>0</v>
      </c>
      <c r="F587" s="45">
        <f>IFERROR((VLOOKUP(C587,'Daily Scrap by Shift'!$A:$D,4,0)),0)</f>
        <v>0</v>
      </c>
      <c r="H587" s="3" t="e">
        <f t="shared" si="28"/>
        <v>#DIV/0!</v>
      </c>
    </row>
    <row r="588" spans="3:8" x14ac:dyDescent="0.25">
      <c r="C588" s="19" t="str">
        <f t="shared" si="29"/>
        <v xml:space="preserve"> - </v>
      </c>
      <c r="D588" s="45">
        <f>IFERROR((VLOOKUP(C588,'Daily Scrap by Shift'!$A:$D,2,0)),0)</f>
        <v>0</v>
      </c>
      <c r="E588" s="45">
        <f>IFERROR((VLOOKUP(C588,'Daily Scrap by Shift'!$A:$D,3,0)),0)</f>
        <v>0</v>
      </c>
      <c r="F588" s="45">
        <f>IFERROR((VLOOKUP(C588,'Daily Scrap by Shift'!$A:$D,4,0)),0)</f>
        <v>0</v>
      </c>
      <c r="H588" s="3" t="e">
        <f t="shared" si="28"/>
        <v>#DIV/0!</v>
      </c>
    </row>
    <row r="589" spans="3:8" x14ac:dyDescent="0.25">
      <c r="C589" s="19" t="str">
        <f t="shared" si="29"/>
        <v xml:space="preserve"> - </v>
      </c>
      <c r="D589" s="45">
        <f>IFERROR((VLOOKUP(C589,'Daily Scrap by Shift'!$A:$D,2,0)),0)</f>
        <v>0</v>
      </c>
      <c r="E589" s="45">
        <f>IFERROR((VLOOKUP(C589,'Daily Scrap by Shift'!$A:$D,3,0)),0)</f>
        <v>0</v>
      </c>
      <c r="F589" s="45">
        <f>IFERROR((VLOOKUP(C589,'Daily Scrap by Shift'!$A:$D,4,0)),0)</f>
        <v>0</v>
      </c>
      <c r="H589" s="3" t="e">
        <f t="shared" si="28"/>
        <v>#DIV/0!</v>
      </c>
    </row>
    <row r="590" spans="3:8" x14ac:dyDescent="0.25">
      <c r="C590" s="19" t="str">
        <f t="shared" si="29"/>
        <v xml:space="preserve"> - </v>
      </c>
      <c r="D590" s="45">
        <f>IFERROR((VLOOKUP(C590,'Daily Scrap by Shift'!$A:$D,2,0)),0)</f>
        <v>0</v>
      </c>
      <c r="E590" s="45">
        <f>IFERROR((VLOOKUP(C590,'Daily Scrap by Shift'!$A:$D,3,0)),0)</f>
        <v>0</v>
      </c>
      <c r="F590" s="45">
        <f>IFERROR((VLOOKUP(C590,'Daily Scrap by Shift'!$A:$D,4,0)),0)</f>
        <v>0</v>
      </c>
      <c r="H590" s="3" t="e">
        <f t="shared" si="28"/>
        <v>#DIV/0!</v>
      </c>
    </row>
    <row r="591" spans="3:8" x14ac:dyDescent="0.25">
      <c r="C591" s="19" t="str">
        <f t="shared" si="29"/>
        <v xml:space="preserve"> - </v>
      </c>
      <c r="D591" s="45">
        <f>IFERROR((VLOOKUP(C591,'Daily Scrap by Shift'!$A:$D,2,0)),0)</f>
        <v>0</v>
      </c>
      <c r="E591" s="45">
        <f>IFERROR((VLOOKUP(C591,'Daily Scrap by Shift'!$A:$D,3,0)),0)</f>
        <v>0</v>
      </c>
      <c r="F591" s="45">
        <f>IFERROR((VLOOKUP(C591,'Daily Scrap by Shift'!$A:$D,4,0)),0)</f>
        <v>0</v>
      </c>
      <c r="H591" s="3" t="e">
        <f t="shared" si="28"/>
        <v>#DIV/0!</v>
      </c>
    </row>
    <row r="592" spans="3:8" x14ac:dyDescent="0.25">
      <c r="C592" s="19" t="str">
        <f t="shared" si="29"/>
        <v xml:space="preserve"> - </v>
      </c>
      <c r="D592" s="45">
        <f>IFERROR((VLOOKUP(C592,'Daily Scrap by Shift'!$A:$D,2,0)),0)</f>
        <v>0</v>
      </c>
      <c r="E592" s="45">
        <f>IFERROR((VLOOKUP(C592,'Daily Scrap by Shift'!$A:$D,3,0)),0)</f>
        <v>0</v>
      </c>
      <c r="F592" s="45">
        <f>IFERROR((VLOOKUP(C592,'Daily Scrap by Shift'!$A:$D,4,0)),0)</f>
        <v>0</v>
      </c>
      <c r="H592" s="3" t="e">
        <f t="shared" si="28"/>
        <v>#DIV/0!</v>
      </c>
    </row>
    <row r="593" spans="3:8" x14ac:dyDescent="0.25">
      <c r="C593" s="19" t="str">
        <f t="shared" si="29"/>
        <v xml:space="preserve"> - </v>
      </c>
      <c r="D593" s="45">
        <f>IFERROR((VLOOKUP(C593,'Daily Scrap by Shift'!$A:$D,2,0)),0)</f>
        <v>0</v>
      </c>
      <c r="E593" s="45">
        <f>IFERROR((VLOOKUP(C593,'Daily Scrap by Shift'!$A:$D,3,0)),0)</f>
        <v>0</v>
      </c>
      <c r="F593" s="45">
        <f>IFERROR((VLOOKUP(C593,'Daily Scrap by Shift'!$A:$D,4,0)),0)</f>
        <v>0</v>
      </c>
      <c r="H593" s="3" t="e">
        <f t="shared" si="28"/>
        <v>#DIV/0!</v>
      </c>
    </row>
    <row r="594" spans="3:8" x14ac:dyDescent="0.25">
      <c r="C594" s="19" t="str">
        <f t="shared" si="29"/>
        <v xml:space="preserve"> - </v>
      </c>
      <c r="D594" s="45">
        <f>IFERROR((VLOOKUP(C594,'Daily Scrap by Shift'!$A:$D,2,0)),0)</f>
        <v>0</v>
      </c>
      <c r="E594" s="45">
        <f>IFERROR((VLOOKUP(C594,'Daily Scrap by Shift'!$A:$D,3,0)),0)</f>
        <v>0</v>
      </c>
      <c r="F594" s="45">
        <f>IFERROR((VLOOKUP(C594,'Daily Scrap by Shift'!$A:$D,4,0)),0)</f>
        <v>0</v>
      </c>
      <c r="H594" s="3" t="e">
        <f t="shared" si="28"/>
        <v>#DIV/0!</v>
      </c>
    </row>
    <row r="595" spans="3:8" x14ac:dyDescent="0.25">
      <c r="C595" s="19" t="str">
        <f t="shared" si="29"/>
        <v xml:space="preserve"> - </v>
      </c>
      <c r="D595" s="45">
        <f>IFERROR((VLOOKUP(C595,'Daily Scrap by Shift'!$A:$D,2,0)),0)</f>
        <v>0</v>
      </c>
      <c r="E595" s="45">
        <f>IFERROR((VLOOKUP(C595,'Daily Scrap by Shift'!$A:$D,3,0)),0)</f>
        <v>0</v>
      </c>
      <c r="F595" s="45">
        <f>IFERROR((VLOOKUP(C595,'Daily Scrap by Shift'!$A:$D,4,0)),0)</f>
        <v>0</v>
      </c>
      <c r="H595" s="3" t="e">
        <f t="shared" si="28"/>
        <v>#DIV/0!</v>
      </c>
    </row>
    <row r="596" spans="3:8" x14ac:dyDescent="0.25">
      <c r="C596" s="19" t="str">
        <f t="shared" si="29"/>
        <v xml:space="preserve"> - </v>
      </c>
      <c r="D596" s="45">
        <f>IFERROR((VLOOKUP(C596,'Daily Scrap by Shift'!$A:$D,2,0)),0)</f>
        <v>0</v>
      </c>
      <c r="E596" s="45">
        <f>IFERROR((VLOOKUP(C596,'Daily Scrap by Shift'!$A:$D,3,0)),0)</f>
        <v>0</v>
      </c>
      <c r="F596" s="45">
        <f>IFERROR((VLOOKUP(C596,'Daily Scrap by Shift'!$A:$D,4,0)),0)</f>
        <v>0</v>
      </c>
      <c r="H596" s="3" t="e">
        <f t="shared" si="28"/>
        <v>#DIV/0!</v>
      </c>
    </row>
    <row r="597" spans="3:8" x14ac:dyDescent="0.25">
      <c r="C597" s="19" t="str">
        <f t="shared" si="29"/>
        <v xml:space="preserve"> - </v>
      </c>
      <c r="D597" s="45">
        <f>IFERROR((VLOOKUP(C597,'Daily Scrap by Shift'!$A:$D,2,0)),0)</f>
        <v>0</v>
      </c>
      <c r="E597" s="45">
        <f>IFERROR((VLOOKUP(C597,'Daily Scrap by Shift'!$A:$D,3,0)),0)</f>
        <v>0</v>
      </c>
      <c r="F597" s="45">
        <f>IFERROR((VLOOKUP(C597,'Daily Scrap by Shift'!$A:$D,4,0)),0)</f>
        <v>0</v>
      </c>
      <c r="H597" s="3" t="e">
        <f t="shared" si="28"/>
        <v>#DIV/0!</v>
      </c>
    </row>
    <row r="598" spans="3:8" x14ac:dyDescent="0.25">
      <c r="C598" s="19" t="str">
        <f t="shared" si="29"/>
        <v xml:space="preserve"> - </v>
      </c>
      <c r="D598" s="45">
        <f>IFERROR((VLOOKUP(C598,'Daily Scrap by Shift'!$A:$D,2,0)),0)</f>
        <v>0</v>
      </c>
      <c r="E598" s="45">
        <f>IFERROR((VLOOKUP(C598,'Daily Scrap by Shift'!$A:$D,3,0)),0)</f>
        <v>0</v>
      </c>
      <c r="F598" s="45">
        <f>IFERROR((VLOOKUP(C598,'Daily Scrap by Shift'!$A:$D,4,0)),0)</f>
        <v>0</v>
      </c>
      <c r="H598" s="3" t="e">
        <f t="shared" ref="H598:H661" si="30">(F598-G598)/G598</f>
        <v>#DIV/0!</v>
      </c>
    </row>
    <row r="599" spans="3:8" x14ac:dyDescent="0.25">
      <c r="C599" s="19" t="str">
        <f t="shared" si="29"/>
        <v xml:space="preserve"> - </v>
      </c>
      <c r="D599" s="45">
        <f>IFERROR((VLOOKUP(C599,'Daily Scrap by Shift'!$A:$D,2,0)),0)</f>
        <v>0</v>
      </c>
      <c r="E599" s="45">
        <f>IFERROR((VLOOKUP(C599,'Daily Scrap by Shift'!$A:$D,3,0)),0)</f>
        <v>0</v>
      </c>
      <c r="F599" s="45">
        <f>IFERROR((VLOOKUP(C599,'Daily Scrap by Shift'!$A:$D,4,0)),0)</f>
        <v>0</v>
      </c>
      <c r="H599" s="3" t="e">
        <f t="shared" si="30"/>
        <v>#DIV/0!</v>
      </c>
    </row>
    <row r="600" spans="3:8" x14ac:dyDescent="0.25">
      <c r="C600" s="19" t="str">
        <f t="shared" si="29"/>
        <v xml:space="preserve"> - </v>
      </c>
      <c r="D600" s="45">
        <f>IFERROR((VLOOKUP(C600,'Daily Scrap by Shift'!$A:$D,2,0)),0)</f>
        <v>0</v>
      </c>
      <c r="E600" s="45">
        <f>IFERROR((VLOOKUP(C600,'Daily Scrap by Shift'!$A:$D,3,0)),0)</f>
        <v>0</v>
      </c>
      <c r="F600" s="45">
        <f>IFERROR((VLOOKUP(C600,'Daily Scrap by Shift'!$A:$D,4,0)),0)</f>
        <v>0</v>
      </c>
      <c r="H600" s="3" t="e">
        <f t="shared" si="30"/>
        <v>#DIV/0!</v>
      </c>
    </row>
    <row r="601" spans="3:8" x14ac:dyDescent="0.25">
      <c r="C601" s="19" t="str">
        <f t="shared" si="29"/>
        <v xml:space="preserve"> - </v>
      </c>
      <c r="D601" s="45">
        <f>IFERROR((VLOOKUP(C601,'Daily Scrap by Shift'!$A:$D,2,0)),0)</f>
        <v>0</v>
      </c>
      <c r="E601" s="45">
        <f>IFERROR((VLOOKUP(C601,'Daily Scrap by Shift'!$A:$D,3,0)),0)</f>
        <v>0</v>
      </c>
      <c r="F601" s="45">
        <f>IFERROR((VLOOKUP(C601,'Daily Scrap by Shift'!$A:$D,4,0)),0)</f>
        <v>0</v>
      </c>
      <c r="H601" s="3" t="e">
        <f t="shared" si="30"/>
        <v>#DIV/0!</v>
      </c>
    </row>
    <row r="602" spans="3:8" x14ac:dyDescent="0.25">
      <c r="C602" s="19" t="str">
        <f t="shared" si="29"/>
        <v xml:space="preserve"> - </v>
      </c>
      <c r="D602" s="45">
        <f>IFERROR((VLOOKUP(C602,'Daily Scrap by Shift'!$A:$D,2,0)),0)</f>
        <v>0</v>
      </c>
      <c r="E602" s="45">
        <f>IFERROR((VLOOKUP(C602,'Daily Scrap by Shift'!$A:$D,3,0)),0)</f>
        <v>0</v>
      </c>
      <c r="F602" s="45">
        <f>IFERROR((VLOOKUP(C602,'Daily Scrap by Shift'!$A:$D,4,0)),0)</f>
        <v>0</v>
      </c>
      <c r="H602" s="3" t="e">
        <f t="shared" si="30"/>
        <v>#DIV/0!</v>
      </c>
    </row>
    <row r="603" spans="3:8" x14ac:dyDescent="0.25">
      <c r="C603" s="19" t="str">
        <f t="shared" si="29"/>
        <v xml:space="preserve"> - </v>
      </c>
      <c r="D603" s="45">
        <f>IFERROR((VLOOKUP(C603,'Daily Scrap by Shift'!$A:$D,2,0)),0)</f>
        <v>0</v>
      </c>
      <c r="E603" s="45">
        <f>IFERROR((VLOOKUP(C603,'Daily Scrap by Shift'!$A:$D,3,0)),0)</f>
        <v>0</v>
      </c>
      <c r="F603" s="45">
        <f>IFERROR((VLOOKUP(C603,'Daily Scrap by Shift'!$A:$D,4,0)),0)</f>
        <v>0</v>
      </c>
      <c r="H603" s="3" t="e">
        <f t="shared" si="30"/>
        <v>#DIV/0!</v>
      </c>
    </row>
    <row r="604" spans="3:8" x14ac:dyDescent="0.25">
      <c r="C604" s="19" t="str">
        <f t="shared" si="29"/>
        <v xml:space="preserve"> - </v>
      </c>
      <c r="D604" s="45">
        <f>IFERROR((VLOOKUP(C604,'Daily Scrap by Shift'!$A:$D,2,0)),0)</f>
        <v>0</v>
      </c>
      <c r="E604" s="45">
        <f>IFERROR((VLOOKUP(C604,'Daily Scrap by Shift'!$A:$D,3,0)),0)</f>
        <v>0</v>
      </c>
      <c r="F604" s="45">
        <f>IFERROR((VLOOKUP(C604,'Daily Scrap by Shift'!$A:$D,4,0)),0)</f>
        <v>0</v>
      </c>
      <c r="H604" s="3" t="e">
        <f t="shared" si="30"/>
        <v>#DIV/0!</v>
      </c>
    </row>
    <row r="605" spans="3:8" x14ac:dyDescent="0.25">
      <c r="C605" s="19" t="str">
        <f t="shared" si="29"/>
        <v xml:space="preserve"> - </v>
      </c>
      <c r="D605" s="45">
        <f>IFERROR((VLOOKUP(C605,'Daily Scrap by Shift'!$A:$D,2,0)),0)</f>
        <v>0</v>
      </c>
      <c r="E605" s="45">
        <f>IFERROR((VLOOKUP(C605,'Daily Scrap by Shift'!$A:$D,3,0)),0)</f>
        <v>0</v>
      </c>
      <c r="F605" s="45">
        <f>IFERROR((VLOOKUP(C605,'Daily Scrap by Shift'!$A:$D,4,0)),0)</f>
        <v>0</v>
      </c>
      <c r="H605" s="3" t="e">
        <f t="shared" si="30"/>
        <v>#DIV/0!</v>
      </c>
    </row>
    <row r="606" spans="3:8" x14ac:dyDescent="0.25">
      <c r="C606" s="19" t="str">
        <f t="shared" si="29"/>
        <v xml:space="preserve"> - </v>
      </c>
      <c r="D606" s="45">
        <f>IFERROR((VLOOKUP(C606,'Daily Scrap by Shift'!$A:$D,2,0)),0)</f>
        <v>0</v>
      </c>
      <c r="E606" s="45">
        <f>IFERROR((VLOOKUP(C606,'Daily Scrap by Shift'!$A:$D,3,0)),0)</f>
        <v>0</v>
      </c>
      <c r="F606" s="45">
        <f>IFERROR((VLOOKUP(C606,'Daily Scrap by Shift'!$A:$D,4,0)),0)</f>
        <v>0</v>
      </c>
      <c r="H606" s="3" t="e">
        <f t="shared" si="30"/>
        <v>#DIV/0!</v>
      </c>
    </row>
    <row r="607" spans="3:8" x14ac:dyDescent="0.25">
      <c r="C607" s="19" t="str">
        <f t="shared" si="29"/>
        <v xml:space="preserve"> - </v>
      </c>
      <c r="D607" s="45">
        <f>IFERROR((VLOOKUP(C607,'Daily Scrap by Shift'!$A:$D,2,0)),0)</f>
        <v>0</v>
      </c>
      <c r="E607" s="45">
        <f>IFERROR((VLOOKUP(C607,'Daily Scrap by Shift'!$A:$D,3,0)),0)</f>
        <v>0</v>
      </c>
      <c r="F607" s="45">
        <f>IFERROR((VLOOKUP(C607,'Daily Scrap by Shift'!$A:$D,4,0)),0)</f>
        <v>0</v>
      </c>
      <c r="H607" s="3" t="e">
        <f t="shared" si="30"/>
        <v>#DIV/0!</v>
      </c>
    </row>
    <row r="608" spans="3:8" x14ac:dyDescent="0.25">
      <c r="C608" s="19" t="str">
        <f t="shared" si="29"/>
        <v xml:space="preserve"> - </v>
      </c>
      <c r="D608" s="45">
        <f>IFERROR((VLOOKUP(C608,'Daily Scrap by Shift'!$A:$D,2,0)),0)</f>
        <v>0</v>
      </c>
      <c r="E608" s="45">
        <f>IFERROR((VLOOKUP(C608,'Daily Scrap by Shift'!$A:$D,3,0)),0)</f>
        <v>0</v>
      </c>
      <c r="F608" s="45">
        <f>IFERROR((VLOOKUP(C608,'Daily Scrap by Shift'!$A:$D,4,0)),0)</f>
        <v>0</v>
      </c>
      <c r="H608" s="3" t="e">
        <f t="shared" si="30"/>
        <v>#DIV/0!</v>
      </c>
    </row>
    <row r="609" spans="3:8" x14ac:dyDescent="0.25">
      <c r="C609" s="19" t="str">
        <f t="shared" si="29"/>
        <v xml:space="preserve"> - </v>
      </c>
      <c r="D609" s="45">
        <f>IFERROR((VLOOKUP(C609,'Daily Scrap by Shift'!$A:$D,2,0)),0)</f>
        <v>0</v>
      </c>
      <c r="E609" s="45">
        <f>IFERROR((VLOOKUP(C609,'Daily Scrap by Shift'!$A:$D,3,0)),0)</f>
        <v>0</v>
      </c>
      <c r="F609" s="45">
        <f>IFERROR((VLOOKUP(C609,'Daily Scrap by Shift'!$A:$D,4,0)),0)</f>
        <v>0</v>
      </c>
      <c r="H609" s="3" t="e">
        <f t="shared" si="30"/>
        <v>#DIV/0!</v>
      </c>
    </row>
    <row r="610" spans="3:8" x14ac:dyDescent="0.25">
      <c r="C610" s="19" t="str">
        <f t="shared" si="29"/>
        <v xml:space="preserve"> - </v>
      </c>
      <c r="D610" s="45">
        <f>IFERROR((VLOOKUP(C610,'Daily Scrap by Shift'!$A:$D,2,0)),0)</f>
        <v>0</v>
      </c>
      <c r="E610" s="45">
        <f>IFERROR((VLOOKUP(C610,'Daily Scrap by Shift'!$A:$D,3,0)),0)</f>
        <v>0</v>
      </c>
      <c r="F610" s="45">
        <f>IFERROR((VLOOKUP(C610,'Daily Scrap by Shift'!$A:$D,4,0)),0)</f>
        <v>0</v>
      </c>
      <c r="H610" s="3" t="e">
        <f t="shared" si="30"/>
        <v>#DIV/0!</v>
      </c>
    </row>
    <row r="611" spans="3:8" x14ac:dyDescent="0.25">
      <c r="C611" s="19" t="str">
        <f t="shared" si="29"/>
        <v xml:space="preserve"> - </v>
      </c>
      <c r="D611" s="45">
        <f>IFERROR((VLOOKUP(C611,'Daily Scrap by Shift'!$A:$D,2,0)),0)</f>
        <v>0</v>
      </c>
      <c r="E611" s="45">
        <f>IFERROR((VLOOKUP(C611,'Daily Scrap by Shift'!$A:$D,3,0)),0)</f>
        <v>0</v>
      </c>
      <c r="F611" s="45">
        <f>IFERROR((VLOOKUP(C611,'Daily Scrap by Shift'!$A:$D,4,0)),0)</f>
        <v>0</v>
      </c>
      <c r="H611" s="3" t="e">
        <f t="shared" si="30"/>
        <v>#DIV/0!</v>
      </c>
    </row>
    <row r="612" spans="3:8" x14ac:dyDescent="0.25">
      <c r="C612" s="19" t="str">
        <f t="shared" si="29"/>
        <v xml:space="preserve"> - </v>
      </c>
      <c r="D612" s="45">
        <f>IFERROR((VLOOKUP(C612,'Daily Scrap by Shift'!$A:$D,2,0)),0)</f>
        <v>0</v>
      </c>
      <c r="E612" s="45">
        <f>IFERROR((VLOOKUP(C612,'Daily Scrap by Shift'!$A:$D,3,0)),0)</f>
        <v>0</v>
      </c>
      <c r="F612" s="45">
        <f>IFERROR((VLOOKUP(C612,'Daily Scrap by Shift'!$A:$D,4,0)),0)</f>
        <v>0</v>
      </c>
      <c r="H612" s="3" t="e">
        <f t="shared" si="30"/>
        <v>#DIV/0!</v>
      </c>
    </row>
    <row r="613" spans="3:8" x14ac:dyDescent="0.25">
      <c r="C613" s="19" t="str">
        <f t="shared" si="29"/>
        <v xml:space="preserve"> - </v>
      </c>
      <c r="D613" s="45">
        <f>IFERROR((VLOOKUP(C613,'Daily Scrap by Shift'!$A:$D,2,0)),0)</f>
        <v>0</v>
      </c>
      <c r="E613" s="45">
        <f>IFERROR((VLOOKUP(C613,'Daily Scrap by Shift'!$A:$D,3,0)),0)</f>
        <v>0</v>
      </c>
      <c r="F613" s="45">
        <f>IFERROR((VLOOKUP(C613,'Daily Scrap by Shift'!$A:$D,4,0)),0)</f>
        <v>0</v>
      </c>
      <c r="H613" s="3" t="e">
        <f t="shared" si="30"/>
        <v>#DIV/0!</v>
      </c>
    </row>
    <row r="614" spans="3:8" x14ac:dyDescent="0.25">
      <c r="C614" s="19" t="str">
        <f t="shared" si="29"/>
        <v xml:space="preserve"> - </v>
      </c>
      <c r="D614" s="45">
        <f>IFERROR((VLOOKUP(C614,'Daily Scrap by Shift'!$A:$D,2,0)),0)</f>
        <v>0</v>
      </c>
      <c r="E614" s="45">
        <f>IFERROR((VLOOKUP(C614,'Daily Scrap by Shift'!$A:$D,3,0)),0)</f>
        <v>0</v>
      </c>
      <c r="F614" s="45">
        <f>IFERROR((VLOOKUP(C614,'Daily Scrap by Shift'!$A:$D,4,0)),0)</f>
        <v>0</v>
      </c>
      <c r="H614" s="3" t="e">
        <f t="shared" si="30"/>
        <v>#DIV/0!</v>
      </c>
    </row>
    <row r="615" spans="3:8" x14ac:dyDescent="0.25">
      <c r="C615" s="19" t="str">
        <f t="shared" si="29"/>
        <v xml:space="preserve"> - </v>
      </c>
      <c r="D615" s="45">
        <f>IFERROR((VLOOKUP(C615,'Daily Scrap by Shift'!$A:$D,2,0)),0)</f>
        <v>0</v>
      </c>
      <c r="E615" s="45">
        <f>IFERROR((VLOOKUP(C615,'Daily Scrap by Shift'!$A:$D,3,0)),0)</f>
        <v>0</v>
      </c>
      <c r="F615" s="45">
        <f>IFERROR((VLOOKUP(C615,'Daily Scrap by Shift'!$A:$D,4,0)),0)</f>
        <v>0</v>
      </c>
      <c r="H615" s="3" t="e">
        <f t="shared" si="30"/>
        <v>#DIV/0!</v>
      </c>
    </row>
    <row r="616" spans="3:8" x14ac:dyDescent="0.25">
      <c r="C616" s="19" t="str">
        <f t="shared" si="29"/>
        <v xml:space="preserve"> - </v>
      </c>
      <c r="D616" s="45">
        <f>IFERROR((VLOOKUP(C616,'Daily Scrap by Shift'!$A:$D,2,0)),0)</f>
        <v>0</v>
      </c>
      <c r="E616" s="45">
        <f>IFERROR((VLOOKUP(C616,'Daily Scrap by Shift'!$A:$D,3,0)),0)</f>
        <v>0</v>
      </c>
      <c r="F616" s="45">
        <f>IFERROR((VLOOKUP(C616,'Daily Scrap by Shift'!$A:$D,4,0)),0)</f>
        <v>0</v>
      </c>
      <c r="H616" s="3" t="e">
        <f t="shared" si="30"/>
        <v>#DIV/0!</v>
      </c>
    </row>
    <row r="617" spans="3:8" x14ac:dyDescent="0.25">
      <c r="C617" s="19" t="str">
        <f t="shared" si="29"/>
        <v xml:space="preserve"> - </v>
      </c>
      <c r="D617" s="45">
        <f>IFERROR((VLOOKUP(C617,'Daily Scrap by Shift'!$A:$D,2,0)),0)</f>
        <v>0</v>
      </c>
      <c r="E617" s="45">
        <f>IFERROR((VLOOKUP(C617,'Daily Scrap by Shift'!$A:$D,3,0)),0)</f>
        <v>0</v>
      </c>
      <c r="F617" s="45">
        <f>IFERROR((VLOOKUP(C617,'Daily Scrap by Shift'!$A:$D,4,0)),0)</f>
        <v>0</v>
      </c>
      <c r="H617" s="3" t="e">
        <f t="shared" si="30"/>
        <v>#DIV/0!</v>
      </c>
    </row>
    <row r="618" spans="3:8" x14ac:dyDescent="0.25">
      <c r="C618" s="19" t="str">
        <f t="shared" si="29"/>
        <v xml:space="preserve"> - </v>
      </c>
      <c r="D618" s="45">
        <f>IFERROR((VLOOKUP(C618,'Daily Scrap by Shift'!$A:$D,2,0)),0)</f>
        <v>0</v>
      </c>
      <c r="E618" s="45">
        <f>IFERROR((VLOOKUP(C618,'Daily Scrap by Shift'!$A:$D,3,0)),0)</f>
        <v>0</v>
      </c>
      <c r="F618" s="45">
        <f>IFERROR((VLOOKUP(C618,'Daily Scrap by Shift'!$A:$D,4,0)),0)</f>
        <v>0</v>
      </c>
      <c r="H618" s="3" t="e">
        <f t="shared" si="30"/>
        <v>#DIV/0!</v>
      </c>
    </row>
    <row r="619" spans="3:8" x14ac:dyDescent="0.25">
      <c r="C619" s="19" t="str">
        <f t="shared" si="29"/>
        <v xml:space="preserve"> - </v>
      </c>
      <c r="D619" s="45">
        <f>IFERROR((VLOOKUP(C619,'Daily Scrap by Shift'!$A:$D,2,0)),0)</f>
        <v>0</v>
      </c>
      <c r="E619" s="45">
        <f>IFERROR((VLOOKUP(C619,'Daily Scrap by Shift'!$A:$D,3,0)),0)</f>
        <v>0</v>
      </c>
      <c r="F619" s="45">
        <f>IFERROR((VLOOKUP(C619,'Daily Scrap by Shift'!$A:$D,4,0)),0)</f>
        <v>0</v>
      </c>
      <c r="H619" s="3" t="e">
        <f t="shared" si="30"/>
        <v>#DIV/0!</v>
      </c>
    </row>
    <row r="620" spans="3:8" x14ac:dyDescent="0.25">
      <c r="C620" s="19" t="str">
        <f t="shared" si="29"/>
        <v xml:space="preserve"> - </v>
      </c>
      <c r="D620" s="45">
        <f>IFERROR((VLOOKUP(C620,'Daily Scrap by Shift'!$A:$D,2,0)),0)</f>
        <v>0</v>
      </c>
      <c r="E620" s="45">
        <f>IFERROR((VLOOKUP(C620,'Daily Scrap by Shift'!$A:$D,3,0)),0)</f>
        <v>0</v>
      </c>
      <c r="F620" s="45">
        <f>IFERROR((VLOOKUP(C620,'Daily Scrap by Shift'!$A:$D,4,0)),0)</f>
        <v>0</v>
      </c>
      <c r="H620" s="3" t="e">
        <f t="shared" si="30"/>
        <v>#DIV/0!</v>
      </c>
    </row>
    <row r="621" spans="3:8" x14ac:dyDescent="0.25">
      <c r="C621" s="19" t="str">
        <f t="shared" si="29"/>
        <v xml:space="preserve"> - </v>
      </c>
      <c r="D621" s="45">
        <f>IFERROR((VLOOKUP(C621,'Daily Scrap by Shift'!$A:$D,2,0)),0)</f>
        <v>0</v>
      </c>
      <c r="E621" s="45">
        <f>IFERROR((VLOOKUP(C621,'Daily Scrap by Shift'!$A:$D,3,0)),0)</f>
        <v>0</v>
      </c>
      <c r="F621" s="45">
        <f>IFERROR((VLOOKUP(C621,'Daily Scrap by Shift'!$A:$D,4,0)),0)</f>
        <v>0</v>
      </c>
      <c r="H621" s="3" t="e">
        <f t="shared" si="30"/>
        <v>#DIV/0!</v>
      </c>
    </row>
    <row r="622" spans="3:8" x14ac:dyDescent="0.25">
      <c r="C622" s="19" t="str">
        <f t="shared" si="29"/>
        <v xml:space="preserve"> - </v>
      </c>
      <c r="D622" s="45">
        <f>IFERROR((VLOOKUP(C622,'Daily Scrap by Shift'!$A:$D,2,0)),0)</f>
        <v>0</v>
      </c>
      <c r="E622" s="45">
        <f>IFERROR((VLOOKUP(C622,'Daily Scrap by Shift'!$A:$D,3,0)),0)</f>
        <v>0</v>
      </c>
      <c r="F622" s="45">
        <f>IFERROR((VLOOKUP(C622,'Daily Scrap by Shift'!$A:$D,4,0)),0)</f>
        <v>0</v>
      </c>
      <c r="H622" s="3" t="e">
        <f t="shared" si="30"/>
        <v>#DIV/0!</v>
      </c>
    </row>
    <row r="623" spans="3:8" x14ac:dyDescent="0.25">
      <c r="C623" s="19" t="str">
        <f t="shared" si="29"/>
        <v xml:space="preserve"> - </v>
      </c>
      <c r="D623" s="45">
        <f>IFERROR((VLOOKUP(C623,'Daily Scrap by Shift'!$A:$D,2,0)),0)</f>
        <v>0</v>
      </c>
      <c r="E623" s="45">
        <f>IFERROR((VLOOKUP(C623,'Daily Scrap by Shift'!$A:$D,3,0)),0)</f>
        <v>0</v>
      </c>
      <c r="F623" s="45">
        <f>IFERROR((VLOOKUP(C623,'Daily Scrap by Shift'!$A:$D,4,0)),0)</f>
        <v>0</v>
      </c>
      <c r="H623" s="3" t="e">
        <f t="shared" si="30"/>
        <v>#DIV/0!</v>
      </c>
    </row>
    <row r="624" spans="3:8" x14ac:dyDescent="0.25">
      <c r="C624" s="19" t="str">
        <f t="shared" si="29"/>
        <v xml:space="preserve"> - </v>
      </c>
      <c r="D624" s="45">
        <f>IFERROR((VLOOKUP(C624,'Daily Scrap by Shift'!$A:$D,2,0)),0)</f>
        <v>0</v>
      </c>
      <c r="E624" s="45">
        <f>IFERROR((VLOOKUP(C624,'Daily Scrap by Shift'!$A:$D,3,0)),0)</f>
        <v>0</v>
      </c>
      <c r="F624" s="45">
        <f>IFERROR((VLOOKUP(C624,'Daily Scrap by Shift'!$A:$D,4,0)),0)</f>
        <v>0</v>
      </c>
      <c r="H624" s="3" t="e">
        <f t="shared" si="30"/>
        <v>#DIV/0!</v>
      </c>
    </row>
    <row r="625" spans="3:8" x14ac:dyDescent="0.25">
      <c r="C625" s="19" t="str">
        <f t="shared" si="29"/>
        <v xml:space="preserve"> - </v>
      </c>
      <c r="D625" s="45">
        <f>IFERROR((VLOOKUP(C625,'Daily Scrap by Shift'!$A:$D,2,0)),0)</f>
        <v>0</v>
      </c>
      <c r="E625" s="45">
        <f>IFERROR((VLOOKUP(C625,'Daily Scrap by Shift'!$A:$D,3,0)),0)</f>
        <v>0</v>
      </c>
      <c r="F625" s="45">
        <f>IFERROR((VLOOKUP(C625,'Daily Scrap by Shift'!$A:$D,4,0)),0)</f>
        <v>0</v>
      </c>
      <c r="H625" s="3" t="e">
        <f t="shared" si="30"/>
        <v>#DIV/0!</v>
      </c>
    </row>
    <row r="626" spans="3:8" x14ac:dyDescent="0.25">
      <c r="C626" s="19" t="str">
        <f t="shared" si="29"/>
        <v xml:space="preserve"> - </v>
      </c>
      <c r="D626" s="45">
        <f>IFERROR((VLOOKUP(C626,'Daily Scrap by Shift'!$A:$D,2,0)),0)</f>
        <v>0</v>
      </c>
      <c r="E626" s="45">
        <f>IFERROR((VLOOKUP(C626,'Daily Scrap by Shift'!$A:$D,3,0)),0)</f>
        <v>0</v>
      </c>
      <c r="F626" s="45">
        <f>IFERROR((VLOOKUP(C626,'Daily Scrap by Shift'!$A:$D,4,0)),0)</f>
        <v>0</v>
      </c>
      <c r="H626" s="3" t="e">
        <f t="shared" si="30"/>
        <v>#DIV/0!</v>
      </c>
    </row>
    <row r="627" spans="3:8" x14ac:dyDescent="0.25">
      <c r="C627" s="19" t="str">
        <f t="shared" si="29"/>
        <v xml:space="preserve"> - </v>
      </c>
      <c r="D627" s="45">
        <f>IFERROR((VLOOKUP(C627,'Daily Scrap by Shift'!$A:$D,2,0)),0)</f>
        <v>0</v>
      </c>
      <c r="E627" s="45">
        <f>IFERROR((VLOOKUP(C627,'Daily Scrap by Shift'!$A:$D,3,0)),0)</f>
        <v>0</v>
      </c>
      <c r="F627" s="45">
        <f>IFERROR((VLOOKUP(C627,'Daily Scrap by Shift'!$A:$D,4,0)),0)</f>
        <v>0</v>
      </c>
      <c r="H627" s="3" t="e">
        <f t="shared" si="30"/>
        <v>#DIV/0!</v>
      </c>
    </row>
    <row r="628" spans="3:8" x14ac:dyDescent="0.25">
      <c r="C628" s="19" t="str">
        <f t="shared" si="29"/>
        <v xml:space="preserve"> - </v>
      </c>
      <c r="D628" s="45">
        <f>IFERROR((VLOOKUP(C628,'Daily Scrap by Shift'!$A:$D,2,0)),0)</f>
        <v>0</v>
      </c>
      <c r="E628" s="45">
        <f>IFERROR((VLOOKUP(C628,'Daily Scrap by Shift'!$A:$D,3,0)),0)</f>
        <v>0</v>
      </c>
      <c r="F628" s="45">
        <f>IFERROR((VLOOKUP(C628,'Daily Scrap by Shift'!$A:$D,4,0)),0)</f>
        <v>0</v>
      </c>
      <c r="H628" s="3" t="e">
        <f t="shared" si="30"/>
        <v>#DIV/0!</v>
      </c>
    </row>
    <row r="629" spans="3:8" x14ac:dyDescent="0.25">
      <c r="C629" s="19" t="str">
        <f t="shared" si="29"/>
        <v xml:space="preserve"> - </v>
      </c>
      <c r="D629" s="45">
        <f>IFERROR((VLOOKUP(C629,'Daily Scrap by Shift'!$A:$D,2,0)),0)</f>
        <v>0</v>
      </c>
      <c r="E629" s="45">
        <f>IFERROR((VLOOKUP(C629,'Daily Scrap by Shift'!$A:$D,3,0)),0)</f>
        <v>0</v>
      </c>
      <c r="F629" s="45">
        <f>IFERROR((VLOOKUP(C629,'Daily Scrap by Shift'!$A:$D,4,0)),0)</f>
        <v>0</v>
      </c>
      <c r="H629" s="3" t="e">
        <f t="shared" si="30"/>
        <v>#DIV/0!</v>
      </c>
    </row>
    <row r="630" spans="3:8" x14ac:dyDescent="0.25">
      <c r="C630" s="19" t="str">
        <f t="shared" si="29"/>
        <v xml:space="preserve"> - </v>
      </c>
      <c r="D630" s="45">
        <f>IFERROR((VLOOKUP(C630,'Daily Scrap by Shift'!$A:$D,2,0)),0)</f>
        <v>0</v>
      </c>
      <c r="E630" s="45">
        <f>IFERROR((VLOOKUP(C630,'Daily Scrap by Shift'!$A:$D,3,0)),0)</f>
        <v>0</v>
      </c>
      <c r="F630" s="45">
        <f>IFERROR((VLOOKUP(C630,'Daily Scrap by Shift'!$A:$D,4,0)),0)</f>
        <v>0</v>
      </c>
      <c r="H630" s="3" t="e">
        <f t="shared" si="30"/>
        <v>#DIV/0!</v>
      </c>
    </row>
    <row r="631" spans="3:8" x14ac:dyDescent="0.25">
      <c r="C631" s="19" t="str">
        <f t="shared" si="29"/>
        <v xml:space="preserve"> - </v>
      </c>
      <c r="D631" s="45">
        <f>IFERROR((VLOOKUP(C631,'Daily Scrap by Shift'!$A:$D,2,0)),0)</f>
        <v>0</v>
      </c>
      <c r="E631" s="45">
        <f>IFERROR((VLOOKUP(C631,'Daily Scrap by Shift'!$A:$D,3,0)),0)</f>
        <v>0</v>
      </c>
      <c r="F631" s="45">
        <f>IFERROR((VLOOKUP(C631,'Daily Scrap by Shift'!$A:$D,4,0)),0)</f>
        <v>0</v>
      </c>
      <c r="H631" s="3" t="e">
        <f t="shared" si="30"/>
        <v>#DIV/0!</v>
      </c>
    </row>
    <row r="632" spans="3:8" x14ac:dyDescent="0.25">
      <c r="C632" s="19" t="str">
        <f t="shared" si="29"/>
        <v xml:space="preserve"> - </v>
      </c>
      <c r="D632" s="45">
        <f>IFERROR((VLOOKUP(C632,'Daily Scrap by Shift'!$A:$D,2,0)),0)</f>
        <v>0</v>
      </c>
      <c r="E632" s="45">
        <f>IFERROR((VLOOKUP(C632,'Daily Scrap by Shift'!$A:$D,3,0)),0)</f>
        <v>0</v>
      </c>
      <c r="F632" s="45">
        <f>IFERROR((VLOOKUP(C632,'Daily Scrap by Shift'!$A:$D,4,0)),0)</f>
        <v>0</v>
      </c>
      <c r="H632" s="3" t="e">
        <f t="shared" si="30"/>
        <v>#DIV/0!</v>
      </c>
    </row>
    <row r="633" spans="3:8" x14ac:dyDescent="0.25">
      <c r="C633" s="19" t="str">
        <f t="shared" si="29"/>
        <v xml:space="preserve"> - </v>
      </c>
      <c r="D633" s="45">
        <f>IFERROR((VLOOKUP(C633,'Daily Scrap by Shift'!$A:$D,2,0)),0)</f>
        <v>0</v>
      </c>
      <c r="E633" s="45">
        <f>IFERROR((VLOOKUP(C633,'Daily Scrap by Shift'!$A:$D,3,0)),0)</f>
        <v>0</v>
      </c>
      <c r="F633" s="45">
        <f>IFERROR((VLOOKUP(C633,'Daily Scrap by Shift'!$A:$D,4,0)),0)</f>
        <v>0</v>
      </c>
      <c r="H633" s="3" t="e">
        <f t="shared" si="30"/>
        <v>#DIV/0!</v>
      </c>
    </row>
    <row r="634" spans="3:8" x14ac:dyDescent="0.25">
      <c r="C634" s="19" t="str">
        <f t="shared" si="29"/>
        <v xml:space="preserve"> - </v>
      </c>
      <c r="D634" s="45">
        <f>IFERROR((VLOOKUP(C634,'Daily Scrap by Shift'!$A:$D,2,0)),0)</f>
        <v>0</v>
      </c>
      <c r="E634" s="45">
        <f>IFERROR((VLOOKUP(C634,'Daily Scrap by Shift'!$A:$D,3,0)),0)</f>
        <v>0</v>
      </c>
      <c r="F634" s="45">
        <f>IFERROR((VLOOKUP(C634,'Daily Scrap by Shift'!$A:$D,4,0)),0)</f>
        <v>0</v>
      </c>
      <c r="H634" s="3" t="e">
        <f t="shared" si="30"/>
        <v>#DIV/0!</v>
      </c>
    </row>
    <row r="635" spans="3:8" x14ac:dyDescent="0.25">
      <c r="C635" s="19" t="str">
        <f t="shared" si="29"/>
        <v xml:space="preserve"> - </v>
      </c>
      <c r="D635" s="45">
        <f>IFERROR((VLOOKUP(C635,'Daily Scrap by Shift'!$A:$D,2,0)),0)</f>
        <v>0</v>
      </c>
      <c r="E635" s="45">
        <f>IFERROR((VLOOKUP(C635,'Daily Scrap by Shift'!$A:$D,3,0)),0)</f>
        <v>0</v>
      </c>
      <c r="F635" s="45">
        <f>IFERROR((VLOOKUP(C635,'Daily Scrap by Shift'!$A:$D,4,0)),0)</f>
        <v>0</v>
      </c>
      <c r="H635" s="3" t="e">
        <f t="shared" si="30"/>
        <v>#DIV/0!</v>
      </c>
    </row>
    <row r="636" spans="3:8" x14ac:dyDescent="0.25">
      <c r="C636" s="19" t="str">
        <f t="shared" si="29"/>
        <v xml:space="preserve"> - </v>
      </c>
      <c r="D636" s="45">
        <f>IFERROR((VLOOKUP(C636,'Daily Scrap by Shift'!$A:$D,2,0)),0)</f>
        <v>0</v>
      </c>
      <c r="E636" s="45">
        <f>IFERROR((VLOOKUP(C636,'Daily Scrap by Shift'!$A:$D,3,0)),0)</f>
        <v>0</v>
      </c>
      <c r="F636" s="45">
        <f>IFERROR((VLOOKUP(C636,'Daily Scrap by Shift'!$A:$D,4,0)),0)</f>
        <v>0</v>
      </c>
      <c r="H636" s="3" t="e">
        <f t="shared" si="30"/>
        <v>#DIV/0!</v>
      </c>
    </row>
    <row r="637" spans="3:8" x14ac:dyDescent="0.25">
      <c r="C637" s="19" t="str">
        <f t="shared" si="29"/>
        <v xml:space="preserve"> - </v>
      </c>
      <c r="D637" s="45">
        <f>IFERROR((VLOOKUP(C637,'Daily Scrap by Shift'!$A:$D,2,0)),0)</f>
        <v>0</v>
      </c>
      <c r="E637" s="45">
        <f>IFERROR((VLOOKUP(C637,'Daily Scrap by Shift'!$A:$D,3,0)),0)</f>
        <v>0</v>
      </c>
      <c r="F637" s="45">
        <f>IFERROR((VLOOKUP(C637,'Daily Scrap by Shift'!$A:$D,4,0)),0)</f>
        <v>0</v>
      </c>
      <c r="H637" s="3" t="e">
        <f t="shared" si="30"/>
        <v>#DIV/0!</v>
      </c>
    </row>
    <row r="638" spans="3:8" x14ac:dyDescent="0.25">
      <c r="C638" s="19" t="str">
        <f t="shared" si="29"/>
        <v xml:space="preserve"> - </v>
      </c>
      <c r="D638" s="45">
        <f>IFERROR((VLOOKUP(C638,'Daily Scrap by Shift'!$A:$D,2,0)),0)</f>
        <v>0</v>
      </c>
      <c r="E638" s="45">
        <f>IFERROR((VLOOKUP(C638,'Daily Scrap by Shift'!$A:$D,3,0)),0)</f>
        <v>0</v>
      </c>
      <c r="F638" s="45">
        <f>IFERROR((VLOOKUP(C638,'Daily Scrap by Shift'!$A:$D,4,0)),0)</f>
        <v>0</v>
      </c>
      <c r="H638" s="3" t="e">
        <f t="shared" si="30"/>
        <v>#DIV/0!</v>
      </c>
    </row>
    <row r="639" spans="3:8" x14ac:dyDescent="0.25">
      <c r="C639" s="19" t="str">
        <f t="shared" si="29"/>
        <v xml:space="preserve"> - </v>
      </c>
      <c r="D639" s="45">
        <f>IFERROR((VLOOKUP(C639,'Daily Scrap by Shift'!$A:$D,2,0)),0)</f>
        <v>0</v>
      </c>
      <c r="E639" s="45">
        <f>IFERROR((VLOOKUP(C639,'Daily Scrap by Shift'!$A:$D,3,0)),0)</f>
        <v>0</v>
      </c>
      <c r="F639" s="45">
        <f>IFERROR((VLOOKUP(C639,'Daily Scrap by Shift'!$A:$D,4,0)),0)</f>
        <v>0</v>
      </c>
      <c r="H639" s="3" t="e">
        <f t="shared" si="30"/>
        <v>#DIV/0!</v>
      </c>
    </row>
    <row r="640" spans="3:8" x14ac:dyDescent="0.25">
      <c r="C640" s="19" t="str">
        <f t="shared" si="29"/>
        <v xml:space="preserve"> - </v>
      </c>
      <c r="D640" s="45">
        <f>IFERROR((VLOOKUP(C640,'Daily Scrap by Shift'!$A:$D,2,0)),0)</f>
        <v>0</v>
      </c>
      <c r="E640" s="45">
        <f>IFERROR((VLOOKUP(C640,'Daily Scrap by Shift'!$A:$D,3,0)),0)</f>
        <v>0</v>
      </c>
      <c r="F640" s="45">
        <f>IFERROR((VLOOKUP(C640,'Daily Scrap by Shift'!$A:$D,4,0)),0)</f>
        <v>0</v>
      </c>
      <c r="H640" s="3" t="e">
        <f t="shared" si="30"/>
        <v>#DIV/0!</v>
      </c>
    </row>
    <row r="641" spans="3:8" x14ac:dyDescent="0.25">
      <c r="C641" s="19" t="str">
        <f t="shared" si="29"/>
        <v xml:space="preserve"> - </v>
      </c>
      <c r="D641" s="45">
        <f>IFERROR((VLOOKUP(C641,'Daily Scrap by Shift'!$A:$D,2,0)),0)</f>
        <v>0</v>
      </c>
      <c r="E641" s="45">
        <f>IFERROR((VLOOKUP(C641,'Daily Scrap by Shift'!$A:$D,3,0)),0)</f>
        <v>0</v>
      </c>
      <c r="F641" s="45">
        <f>IFERROR((VLOOKUP(C641,'Daily Scrap by Shift'!$A:$D,4,0)),0)</f>
        <v>0</v>
      </c>
      <c r="H641" s="3" t="e">
        <f t="shared" si="30"/>
        <v>#DIV/0!</v>
      </c>
    </row>
    <row r="642" spans="3:8" x14ac:dyDescent="0.25">
      <c r="C642" s="19" t="str">
        <f t="shared" si="29"/>
        <v xml:space="preserve"> - </v>
      </c>
      <c r="D642" s="45">
        <f>IFERROR((VLOOKUP(C642,'Daily Scrap by Shift'!$A:$D,2,0)),0)</f>
        <v>0</v>
      </c>
      <c r="E642" s="45">
        <f>IFERROR((VLOOKUP(C642,'Daily Scrap by Shift'!$A:$D,3,0)),0)</f>
        <v>0</v>
      </c>
      <c r="F642" s="45">
        <f>IFERROR((VLOOKUP(C642,'Daily Scrap by Shift'!$A:$D,4,0)),0)</f>
        <v>0</v>
      </c>
      <c r="H642" s="3" t="e">
        <f t="shared" si="30"/>
        <v>#DIV/0!</v>
      </c>
    </row>
    <row r="643" spans="3:8" x14ac:dyDescent="0.25">
      <c r="C643" s="19" t="str">
        <f t="shared" si="29"/>
        <v xml:space="preserve"> - </v>
      </c>
      <c r="D643" s="45">
        <f>IFERROR((VLOOKUP(C643,'Daily Scrap by Shift'!$A:$D,2,0)),0)</f>
        <v>0</v>
      </c>
      <c r="E643" s="45">
        <f>IFERROR((VLOOKUP(C643,'Daily Scrap by Shift'!$A:$D,3,0)),0)</f>
        <v>0</v>
      </c>
      <c r="F643" s="45">
        <f>IFERROR((VLOOKUP(C643,'Daily Scrap by Shift'!$A:$D,4,0)),0)</f>
        <v>0</v>
      </c>
      <c r="H643" s="3" t="e">
        <f t="shared" si="30"/>
        <v>#DIV/0!</v>
      </c>
    </row>
    <row r="644" spans="3:8" x14ac:dyDescent="0.25">
      <c r="C644" s="19" t="str">
        <f t="shared" si="29"/>
        <v xml:space="preserve"> - </v>
      </c>
      <c r="D644" s="45">
        <f>IFERROR((VLOOKUP(C644,'Daily Scrap by Shift'!$A:$D,2,0)),0)</f>
        <v>0</v>
      </c>
      <c r="E644" s="45">
        <f>IFERROR((VLOOKUP(C644,'Daily Scrap by Shift'!$A:$D,3,0)),0)</f>
        <v>0</v>
      </c>
      <c r="F644" s="45">
        <f>IFERROR((VLOOKUP(C644,'Daily Scrap by Shift'!$A:$D,4,0)),0)</f>
        <v>0</v>
      </c>
      <c r="H644" s="3" t="e">
        <f t="shared" si="30"/>
        <v>#DIV/0!</v>
      </c>
    </row>
    <row r="645" spans="3:8" x14ac:dyDescent="0.25">
      <c r="C645" s="19" t="str">
        <f t="shared" si="29"/>
        <v xml:space="preserve"> - </v>
      </c>
      <c r="D645" s="45">
        <f>IFERROR((VLOOKUP(C645,'Daily Scrap by Shift'!$A:$D,2,0)),0)</f>
        <v>0</v>
      </c>
      <c r="E645" s="45">
        <f>IFERROR((VLOOKUP(C645,'Daily Scrap by Shift'!$A:$D,3,0)),0)</f>
        <v>0</v>
      </c>
      <c r="F645" s="45">
        <f>IFERROR((VLOOKUP(C645,'Daily Scrap by Shift'!$A:$D,4,0)),0)</f>
        <v>0</v>
      </c>
      <c r="H645" s="3" t="e">
        <f t="shared" si="30"/>
        <v>#DIV/0!</v>
      </c>
    </row>
    <row r="646" spans="3:8" x14ac:dyDescent="0.25">
      <c r="C646" s="19" t="str">
        <f t="shared" ref="C646:C700" si="31">CONCATENATE(A646," - ",B646)</f>
        <v xml:space="preserve"> - </v>
      </c>
      <c r="D646" s="45">
        <f>IFERROR((VLOOKUP(C646,'Daily Scrap by Shift'!$A:$D,2,0)),0)</f>
        <v>0</v>
      </c>
      <c r="E646" s="45">
        <f>IFERROR((VLOOKUP(C646,'Daily Scrap by Shift'!$A:$D,3,0)),0)</f>
        <v>0</v>
      </c>
      <c r="F646" s="45">
        <f>IFERROR((VLOOKUP(C646,'Daily Scrap by Shift'!$A:$D,4,0)),0)</f>
        <v>0</v>
      </c>
      <c r="H646" s="3" t="e">
        <f t="shared" si="30"/>
        <v>#DIV/0!</v>
      </c>
    </row>
    <row r="647" spans="3:8" x14ac:dyDescent="0.25">
      <c r="C647" s="19" t="str">
        <f t="shared" si="31"/>
        <v xml:space="preserve"> - </v>
      </c>
      <c r="D647" s="45">
        <f>IFERROR((VLOOKUP(C647,'Daily Scrap by Shift'!$A:$D,2,0)),0)</f>
        <v>0</v>
      </c>
      <c r="E647" s="45">
        <f>IFERROR((VLOOKUP(C647,'Daily Scrap by Shift'!$A:$D,3,0)),0)</f>
        <v>0</v>
      </c>
      <c r="F647" s="45">
        <f>IFERROR((VLOOKUP(C647,'Daily Scrap by Shift'!$A:$D,4,0)),0)</f>
        <v>0</v>
      </c>
      <c r="H647" s="3" t="e">
        <f t="shared" si="30"/>
        <v>#DIV/0!</v>
      </c>
    </row>
    <row r="648" spans="3:8" x14ac:dyDescent="0.25">
      <c r="C648" s="19" t="str">
        <f t="shared" si="31"/>
        <v xml:space="preserve"> - </v>
      </c>
      <c r="D648" s="45">
        <f>IFERROR((VLOOKUP(C648,'Daily Scrap by Shift'!$A:$D,2,0)),0)</f>
        <v>0</v>
      </c>
      <c r="E648" s="45">
        <f>IFERROR((VLOOKUP(C648,'Daily Scrap by Shift'!$A:$D,3,0)),0)</f>
        <v>0</v>
      </c>
      <c r="F648" s="45">
        <f>IFERROR((VLOOKUP(C648,'Daily Scrap by Shift'!$A:$D,4,0)),0)</f>
        <v>0</v>
      </c>
      <c r="H648" s="3" t="e">
        <f t="shared" si="30"/>
        <v>#DIV/0!</v>
      </c>
    </row>
    <row r="649" spans="3:8" x14ac:dyDescent="0.25">
      <c r="C649" s="19" t="str">
        <f t="shared" si="31"/>
        <v xml:space="preserve"> - </v>
      </c>
      <c r="D649" s="45">
        <f>IFERROR((VLOOKUP(C649,'Daily Scrap by Shift'!$A:$D,2,0)),0)</f>
        <v>0</v>
      </c>
      <c r="E649" s="45">
        <f>IFERROR((VLOOKUP(C649,'Daily Scrap by Shift'!$A:$D,3,0)),0)</f>
        <v>0</v>
      </c>
      <c r="F649" s="45">
        <f>IFERROR((VLOOKUP(C649,'Daily Scrap by Shift'!$A:$D,4,0)),0)</f>
        <v>0</v>
      </c>
      <c r="H649" s="3" t="e">
        <f t="shared" si="30"/>
        <v>#DIV/0!</v>
      </c>
    </row>
    <row r="650" spans="3:8" x14ac:dyDescent="0.25">
      <c r="C650" s="19" t="str">
        <f t="shared" si="31"/>
        <v xml:space="preserve"> - </v>
      </c>
      <c r="D650" s="45">
        <f>IFERROR((VLOOKUP(C650,'Daily Scrap by Shift'!$A:$D,2,0)),0)</f>
        <v>0</v>
      </c>
      <c r="E650" s="45">
        <f>IFERROR((VLOOKUP(C650,'Daily Scrap by Shift'!$A:$D,3,0)),0)</f>
        <v>0</v>
      </c>
      <c r="F650" s="45">
        <f>IFERROR((VLOOKUP(C650,'Daily Scrap by Shift'!$A:$D,4,0)),0)</f>
        <v>0</v>
      </c>
      <c r="H650" s="3" t="e">
        <f t="shared" si="30"/>
        <v>#DIV/0!</v>
      </c>
    </row>
    <row r="651" spans="3:8" x14ac:dyDescent="0.25">
      <c r="C651" s="19" t="str">
        <f t="shared" si="31"/>
        <v xml:space="preserve"> - </v>
      </c>
      <c r="D651" s="45">
        <f>IFERROR((VLOOKUP(C651,'Daily Scrap by Shift'!$A:$D,2,0)),0)</f>
        <v>0</v>
      </c>
      <c r="E651" s="45">
        <f>IFERROR((VLOOKUP(C651,'Daily Scrap by Shift'!$A:$D,3,0)),0)</f>
        <v>0</v>
      </c>
      <c r="F651" s="45">
        <f>IFERROR((VLOOKUP(C651,'Daily Scrap by Shift'!$A:$D,4,0)),0)</f>
        <v>0</v>
      </c>
      <c r="H651" s="3" t="e">
        <f t="shared" si="30"/>
        <v>#DIV/0!</v>
      </c>
    </row>
    <row r="652" spans="3:8" x14ac:dyDescent="0.25">
      <c r="C652" s="19" t="str">
        <f t="shared" si="31"/>
        <v xml:space="preserve"> - </v>
      </c>
      <c r="D652" s="45">
        <f>IFERROR((VLOOKUP(C652,'Daily Scrap by Shift'!$A:$D,2,0)),0)</f>
        <v>0</v>
      </c>
      <c r="E652" s="45">
        <f>IFERROR((VLOOKUP(C652,'Daily Scrap by Shift'!$A:$D,3,0)),0)</f>
        <v>0</v>
      </c>
      <c r="F652" s="45">
        <f>IFERROR((VLOOKUP(C652,'Daily Scrap by Shift'!$A:$D,4,0)),0)</f>
        <v>0</v>
      </c>
      <c r="H652" s="3" t="e">
        <f t="shared" si="30"/>
        <v>#DIV/0!</v>
      </c>
    </row>
    <row r="653" spans="3:8" x14ac:dyDescent="0.25">
      <c r="C653" s="19" t="str">
        <f t="shared" si="31"/>
        <v xml:space="preserve"> - </v>
      </c>
      <c r="D653" s="45">
        <f>IFERROR((VLOOKUP(C653,'Daily Scrap by Shift'!$A:$D,2,0)),0)</f>
        <v>0</v>
      </c>
      <c r="E653" s="45">
        <f>IFERROR((VLOOKUP(C653,'Daily Scrap by Shift'!$A:$D,3,0)),0)</f>
        <v>0</v>
      </c>
      <c r="F653" s="45">
        <f>IFERROR((VLOOKUP(C653,'Daily Scrap by Shift'!$A:$D,4,0)),0)</f>
        <v>0</v>
      </c>
      <c r="H653" s="3" t="e">
        <f t="shared" si="30"/>
        <v>#DIV/0!</v>
      </c>
    </row>
    <row r="654" spans="3:8" x14ac:dyDescent="0.25">
      <c r="C654" s="19" t="str">
        <f t="shared" si="31"/>
        <v xml:space="preserve"> - </v>
      </c>
      <c r="D654" s="45">
        <f>IFERROR((VLOOKUP(C654,'Daily Scrap by Shift'!$A:$D,2,0)),0)</f>
        <v>0</v>
      </c>
      <c r="E654" s="45">
        <f>IFERROR((VLOOKUP(C654,'Daily Scrap by Shift'!$A:$D,3,0)),0)</f>
        <v>0</v>
      </c>
      <c r="F654" s="45">
        <f>IFERROR((VLOOKUP(C654,'Daily Scrap by Shift'!$A:$D,4,0)),0)</f>
        <v>0</v>
      </c>
      <c r="H654" s="3" t="e">
        <f t="shared" si="30"/>
        <v>#DIV/0!</v>
      </c>
    </row>
    <row r="655" spans="3:8" x14ac:dyDescent="0.25">
      <c r="C655" s="19" t="str">
        <f t="shared" si="31"/>
        <v xml:space="preserve"> - </v>
      </c>
      <c r="D655" s="45">
        <f>IFERROR((VLOOKUP(C655,'Daily Scrap by Shift'!$A:$D,2,0)),0)</f>
        <v>0</v>
      </c>
      <c r="E655" s="45">
        <f>IFERROR((VLOOKUP(C655,'Daily Scrap by Shift'!$A:$D,3,0)),0)</f>
        <v>0</v>
      </c>
      <c r="F655" s="45">
        <f>IFERROR((VLOOKUP(C655,'Daily Scrap by Shift'!$A:$D,4,0)),0)</f>
        <v>0</v>
      </c>
      <c r="H655" s="3" t="e">
        <f t="shared" si="30"/>
        <v>#DIV/0!</v>
      </c>
    </row>
    <row r="656" spans="3:8" x14ac:dyDescent="0.25">
      <c r="C656" s="19" t="str">
        <f t="shared" si="31"/>
        <v xml:space="preserve"> - </v>
      </c>
      <c r="D656" s="45">
        <f>IFERROR((VLOOKUP(C656,'Daily Scrap by Shift'!$A:$D,2,0)),0)</f>
        <v>0</v>
      </c>
      <c r="E656" s="45">
        <f>IFERROR((VLOOKUP(C656,'Daily Scrap by Shift'!$A:$D,3,0)),0)</f>
        <v>0</v>
      </c>
      <c r="F656" s="45">
        <f>IFERROR((VLOOKUP(C656,'Daily Scrap by Shift'!$A:$D,4,0)),0)</f>
        <v>0</v>
      </c>
      <c r="H656" s="3" t="e">
        <f t="shared" si="30"/>
        <v>#DIV/0!</v>
      </c>
    </row>
    <row r="657" spans="3:8" x14ac:dyDescent="0.25">
      <c r="C657" s="19" t="str">
        <f t="shared" si="31"/>
        <v xml:space="preserve"> - </v>
      </c>
      <c r="D657" s="45">
        <f>IFERROR((VLOOKUP(C657,'Daily Scrap by Shift'!$A:$D,2,0)),0)</f>
        <v>0</v>
      </c>
      <c r="E657" s="45">
        <f>IFERROR((VLOOKUP(C657,'Daily Scrap by Shift'!$A:$D,3,0)),0)</f>
        <v>0</v>
      </c>
      <c r="F657" s="45">
        <f>IFERROR((VLOOKUP(C657,'Daily Scrap by Shift'!$A:$D,4,0)),0)</f>
        <v>0</v>
      </c>
      <c r="H657" s="3" t="e">
        <f t="shared" si="30"/>
        <v>#DIV/0!</v>
      </c>
    </row>
    <row r="658" spans="3:8" x14ac:dyDescent="0.25">
      <c r="C658" s="19" t="str">
        <f t="shared" si="31"/>
        <v xml:space="preserve"> - </v>
      </c>
      <c r="D658" s="45">
        <f>IFERROR((VLOOKUP(C658,'Daily Scrap by Shift'!$A:$D,2,0)),0)</f>
        <v>0</v>
      </c>
      <c r="E658" s="45">
        <f>IFERROR((VLOOKUP(C658,'Daily Scrap by Shift'!$A:$D,3,0)),0)</f>
        <v>0</v>
      </c>
      <c r="F658" s="45">
        <f>IFERROR((VLOOKUP(C658,'Daily Scrap by Shift'!$A:$D,4,0)),0)</f>
        <v>0</v>
      </c>
      <c r="H658" s="3" t="e">
        <f t="shared" si="30"/>
        <v>#DIV/0!</v>
      </c>
    </row>
    <row r="659" spans="3:8" x14ac:dyDescent="0.25">
      <c r="C659" s="19" t="str">
        <f t="shared" si="31"/>
        <v xml:space="preserve"> - </v>
      </c>
      <c r="D659" s="45">
        <f>IFERROR((VLOOKUP(C659,'Daily Scrap by Shift'!$A:$D,2,0)),0)</f>
        <v>0</v>
      </c>
      <c r="E659" s="45">
        <f>IFERROR((VLOOKUP(C659,'Daily Scrap by Shift'!$A:$D,3,0)),0)</f>
        <v>0</v>
      </c>
      <c r="F659" s="45">
        <f>IFERROR((VLOOKUP(C659,'Daily Scrap by Shift'!$A:$D,4,0)),0)</f>
        <v>0</v>
      </c>
      <c r="H659" s="3" t="e">
        <f t="shared" si="30"/>
        <v>#DIV/0!</v>
      </c>
    </row>
    <row r="660" spans="3:8" x14ac:dyDescent="0.25">
      <c r="C660" s="19" t="str">
        <f t="shared" si="31"/>
        <v xml:space="preserve"> - </v>
      </c>
      <c r="D660" s="45">
        <f>IFERROR((VLOOKUP(C660,'Daily Scrap by Shift'!$A:$D,2,0)),0)</f>
        <v>0</v>
      </c>
      <c r="E660" s="45">
        <f>IFERROR((VLOOKUP(C660,'Daily Scrap by Shift'!$A:$D,3,0)),0)</f>
        <v>0</v>
      </c>
      <c r="F660" s="45">
        <f>IFERROR((VLOOKUP(C660,'Daily Scrap by Shift'!$A:$D,4,0)),0)</f>
        <v>0</v>
      </c>
      <c r="H660" s="3" t="e">
        <f t="shared" si="30"/>
        <v>#DIV/0!</v>
      </c>
    </row>
    <row r="661" spans="3:8" x14ac:dyDescent="0.25">
      <c r="C661" s="19" t="str">
        <f t="shared" si="31"/>
        <v xml:space="preserve"> - </v>
      </c>
      <c r="D661" s="45">
        <f>IFERROR((VLOOKUP(C661,'Daily Scrap by Shift'!$A:$D,2,0)),0)</f>
        <v>0</v>
      </c>
      <c r="E661" s="45">
        <f>IFERROR((VLOOKUP(C661,'Daily Scrap by Shift'!$A:$D,3,0)),0)</f>
        <v>0</v>
      </c>
      <c r="F661" s="45">
        <f>IFERROR((VLOOKUP(C661,'Daily Scrap by Shift'!$A:$D,4,0)),0)</f>
        <v>0</v>
      </c>
      <c r="H661" s="3" t="e">
        <f t="shared" si="30"/>
        <v>#DIV/0!</v>
      </c>
    </row>
    <row r="662" spans="3:8" x14ac:dyDescent="0.25">
      <c r="C662" s="19" t="str">
        <f t="shared" si="31"/>
        <v xml:space="preserve"> - </v>
      </c>
      <c r="D662" s="45">
        <f>IFERROR((VLOOKUP(C662,'Daily Scrap by Shift'!$A:$D,2,0)),0)</f>
        <v>0</v>
      </c>
      <c r="E662" s="45">
        <f>IFERROR((VLOOKUP(C662,'Daily Scrap by Shift'!$A:$D,3,0)),0)</f>
        <v>0</v>
      </c>
      <c r="F662" s="45">
        <f>IFERROR((VLOOKUP(C662,'Daily Scrap by Shift'!$A:$D,4,0)),0)</f>
        <v>0</v>
      </c>
      <c r="H662" s="3" t="e">
        <f t="shared" ref="H662:H700" si="32">(F662-G662)/G662</f>
        <v>#DIV/0!</v>
      </c>
    </row>
    <row r="663" spans="3:8" x14ac:dyDescent="0.25">
      <c r="C663" s="19" t="str">
        <f t="shared" si="31"/>
        <v xml:space="preserve"> - </v>
      </c>
      <c r="D663" s="45">
        <f>IFERROR((VLOOKUP(C663,'Daily Scrap by Shift'!$A:$D,2,0)),0)</f>
        <v>0</v>
      </c>
      <c r="E663" s="45">
        <f>IFERROR((VLOOKUP(C663,'Daily Scrap by Shift'!$A:$D,3,0)),0)</f>
        <v>0</v>
      </c>
      <c r="F663" s="45">
        <f>IFERROR((VLOOKUP(C663,'Daily Scrap by Shift'!$A:$D,4,0)),0)</f>
        <v>0</v>
      </c>
      <c r="H663" s="3" t="e">
        <f t="shared" si="32"/>
        <v>#DIV/0!</v>
      </c>
    </row>
    <row r="664" spans="3:8" x14ac:dyDescent="0.25">
      <c r="C664" s="19" t="str">
        <f t="shared" si="31"/>
        <v xml:space="preserve"> - </v>
      </c>
      <c r="D664" s="45">
        <f>IFERROR((VLOOKUP(C664,'Daily Scrap by Shift'!$A:$D,2,0)),0)</f>
        <v>0</v>
      </c>
      <c r="E664" s="45">
        <f>IFERROR((VLOOKUP(C664,'Daily Scrap by Shift'!$A:$D,3,0)),0)</f>
        <v>0</v>
      </c>
      <c r="F664" s="45">
        <f>IFERROR((VLOOKUP(C664,'Daily Scrap by Shift'!$A:$D,4,0)),0)</f>
        <v>0</v>
      </c>
      <c r="H664" s="3" t="e">
        <f t="shared" si="32"/>
        <v>#DIV/0!</v>
      </c>
    </row>
    <row r="665" spans="3:8" x14ac:dyDescent="0.25">
      <c r="C665" s="19" t="str">
        <f t="shared" si="31"/>
        <v xml:space="preserve"> - </v>
      </c>
      <c r="D665" s="45">
        <f>IFERROR((VLOOKUP(C665,'Daily Scrap by Shift'!$A:$D,2,0)),0)</f>
        <v>0</v>
      </c>
      <c r="E665" s="45">
        <f>IFERROR((VLOOKUP(C665,'Daily Scrap by Shift'!$A:$D,3,0)),0)</f>
        <v>0</v>
      </c>
      <c r="F665" s="45">
        <f>IFERROR((VLOOKUP(C665,'Daily Scrap by Shift'!$A:$D,4,0)),0)</f>
        <v>0</v>
      </c>
      <c r="H665" s="3" t="e">
        <f t="shared" si="32"/>
        <v>#DIV/0!</v>
      </c>
    </row>
    <row r="666" spans="3:8" x14ac:dyDescent="0.25">
      <c r="C666" s="19" t="str">
        <f t="shared" si="31"/>
        <v xml:space="preserve"> - </v>
      </c>
      <c r="D666" s="45">
        <f>IFERROR((VLOOKUP(C666,'Daily Scrap by Shift'!$A:$D,2,0)),0)</f>
        <v>0</v>
      </c>
      <c r="E666" s="45">
        <f>IFERROR((VLOOKUP(C666,'Daily Scrap by Shift'!$A:$D,3,0)),0)</f>
        <v>0</v>
      </c>
      <c r="F666" s="45">
        <f>IFERROR((VLOOKUP(C666,'Daily Scrap by Shift'!$A:$D,4,0)),0)</f>
        <v>0</v>
      </c>
      <c r="H666" s="3" t="e">
        <f t="shared" si="32"/>
        <v>#DIV/0!</v>
      </c>
    </row>
    <row r="667" spans="3:8" x14ac:dyDescent="0.25">
      <c r="C667" s="19" t="str">
        <f t="shared" si="31"/>
        <v xml:space="preserve"> - </v>
      </c>
      <c r="D667" s="45">
        <f>IFERROR((VLOOKUP(C667,'Daily Scrap by Shift'!$A:$D,2,0)),0)</f>
        <v>0</v>
      </c>
      <c r="E667" s="45">
        <f>IFERROR((VLOOKUP(C667,'Daily Scrap by Shift'!$A:$D,3,0)),0)</f>
        <v>0</v>
      </c>
      <c r="F667" s="45">
        <f>IFERROR((VLOOKUP(C667,'Daily Scrap by Shift'!$A:$D,4,0)),0)</f>
        <v>0</v>
      </c>
      <c r="H667" s="3" t="e">
        <f t="shared" si="32"/>
        <v>#DIV/0!</v>
      </c>
    </row>
    <row r="668" spans="3:8" x14ac:dyDescent="0.25">
      <c r="C668" s="19" t="str">
        <f t="shared" si="31"/>
        <v xml:space="preserve"> - </v>
      </c>
      <c r="D668" s="45">
        <f>IFERROR((VLOOKUP(C668,'Daily Scrap by Shift'!$A:$D,2,0)),0)</f>
        <v>0</v>
      </c>
      <c r="E668" s="45">
        <f>IFERROR((VLOOKUP(C668,'Daily Scrap by Shift'!$A:$D,3,0)),0)</f>
        <v>0</v>
      </c>
      <c r="F668" s="45">
        <f>IFERROR((VLOOKUP(C668,'Daily Scrap by Shift'!$A:$D,4,0)),0)</f>
        <v>0</v>
      </c>
      <c r="H668" s="3" t="e">
        <f t="shared" si="32"/>
        <v>#DIV/0!</v>
      </c>
    </row>
    <row r="669" spans="3:8" x14ac:dyDescent="0.25">
      <c r="C669" s="19" t="str">
        <f t="shared" si="31"/>
        <v xml:space="preserve"> - </v>
      </c>
      <c r="D669" s="45">
        <f>IFERROR((VLOOKUP(C669,'Daily Scrap by Shift'!$A:$D,2,0)),0)</f>
        <v>0</v>
      </c>
      <c r="E669" s="45">
        <f>IFERROR((VLOOKUP(C669,'Daily Scrap by Shift'!$A:$D,3,0)),0)</f>
        <v>0</v>
      </c>
      <c r="F669" s="45">
        <f>IFERROR((VLOOKUP(C669,'Daily Scrap by Shift'!$A:$D,4,0)),0)</f>
        <v>0</v>
      </c>
      <c r="H669" s="3" t="e">
        <f t="shared" si="32"/>
        <v>#DIV/0!</v>
      </c>
    </row>
    <row r="670" spans="3:8" x14ac:dyDescent="0.25">
      <c r="C670" s="19" t="str">
        <f t="shared" si="31"/>
        <v xml:space="preserve"> - </v>
      </c>
      <c r="D670" s="45">
        <f>IFERROR((VLOOKUP(C670,'Daily Scrap by Shift'!$A:$D,2,0)),0)</f>
        <v>0</v>
      </c>
      <c r="E670" s="45">
        <f>IFERROR((VLOOKUP(C670,'Daily Scrap by Shift'!$A:$D,3,0)),0)</f>
        <v>0</v>
      </c>
      <c r="F670" s="45">
        <f>IFERROR((VLOOKUP(C670,'Daily Scrap by Shift'!$A:$D,4,0)),0)</f>
        <v>0</v>
      </c>
      <c r="H670" s="3" t="e">
        <f t="shared" si="32"/>
        <v>#DIV/0!</v>
      </c>
    </row>
    <row r="671" spans="3:8" x14ac:dyDescent="0.25">
      <c r="C671" s="19" t="str">
        <f t="shared" si="31"/>
        <v xml:space="preserve"> - </v>
      </c>
      <c r="D671" s="45">
        <f>IFERROR((VLOOKUP(C671,'Daily Scrap by Shift'!$A:$D,2,0)),0)</f>
        <v>0</v>
      </c>
      <c r="E671" s="45">
        <f>IFERROR((VLOOKUP(C671,'Daily Scrap by Shift'!$A:$D,3,0)),0)</f>
        <v>0</v>
      </c>
      <c r="F671" s="45">
        <f>IFERROR((VLOOKUP(C671,'Daily Scrap by Shift'!$A:$D,4,0)),0)</f>
        <v>0</v>
      </c>
      <c r="H671" s="3" t="e">
        <f t="shared" si="32"/>
        <v>#DIV/0!</v>
      </c>
    </row>
    <row r="672" spans="3:8" x14ac:dyDescent="0.25">
      <c r="C672" s="19" t="str">
        <f t="shared" si="31"/>
        <v xml:space="preserve"> - </v>
      </c>
      <c r="D672" s="45">
        <f>IFERROR((VLOOKUP(C672,'Daily Scrap by Shift'!$A:$D,2,0)),0)</f>
        <v>0</v>
      </c>
      <c r="E672" s="45">
        <f>IFERROR((VLOOKUP(C672,'Daily Scrap by Shift'!$A:$D,3,0)),0)</f>
        <v>0</v>
      </c>
      <c r="F672" s="45">
        <f>IFERROR((VLOOKUP(C672,'Daily Scrap by Shift'!$A:$D,4,0)),0)</f>
        <v>0</v>
      </c>
      <c r="H672" s="3" t="e">
        <f t="shared" si="32"/>
        <v>#DIV/0!</v>
      </c>
    </row>
    <row r="673" spans="3:8" x14ac:dyDescent="0.25">
      <c r="C673" s="19" t="str">
        <f t="shared" si="31"/>
        <v xml:space="preserve"> - </v>
      </c>
      <c r="D673" s="45">
        <f>IFERROR((VLOOKUP(C673,'Daily Scrap by Shift'!$A:$D,2,0)),0)</f>
        <v>0</v>
      </c>
      <c r="E673" s="45">
        <f>IFERROR((VLOOKUP(C673,'Daily Scrap by Shift'!$A:$D,3,0)),0)</f>
        <v>0</v>
      </c>
      <c r="F673" s="45">
        <f>IFERROR((VLOOKUP(C673,'Daily Scrap by Shift'!$A:$D,4,0)),0)</f>
        <v>0</v>
      </c>
      <c r="H673" s="3" t="e">
        <f t="shared" si="32"/>
        <v>#DIV/0!</v>
      </c>
    </row>
    <row r="674" spans="3:8" x14ac:dyDescent="0.25">
      <c r="C674" s="19" t="str">
        <f t="shared" si="31"/>
        <v xml:space="preserve"> - </v>
      </c>
      <c r="D674" s="45">
        <f>IFERROR((VLOOKUP(C674,'Daily Scrap by Shift'!$A:$D,2,0)),0)</f>
        <v>0</v>
      </c>
      <c r="E674" s="45">
        <f>IFERROR((VLOOKUP(C674,'Daily Scrap by Shift'!$A:$D,3,0)),0)</f>
        <v>0</v>
      </c>
      <c r="F674" s="45">
        <f>IFERROR((VLOOKUP(C674,'Daily Scrap by Shift'!$A:$D,4,0)),0)</f>
        <v>0</v>
      </c>
      <c r="H674" s="3" t="e">
        <f t="shared" si="32"/>
        <v>#DIV/0!</v>
      </c>
    </row>
    <row r="675" spans="3:8" x14ac:dyDescent="0.25">
      <c r="C675" s="19" t="str">
        <f t="shared" si="31"/>
        <v xml:space="preserve"> - </v>
      </c>
      <c r="D675" s="45">
        <f>IFERROR((VLOOKUP(C675,'Daily Scrap by Shift'!$A:$D,2,0)),0)</f>
        <v>0</v>
      </c>
      <c r="E675" s="45">
        <f>IFERROR((VLOOKUP(C675,'Daily Scrap by Shift'!$A:$D,3,0)),0)</f>
        <v>0</v>
      </c>
      <c r="F675" s="45">
        <f>IFERROR((VLOOKUP(C675,'Daily Scrap by Shift'!$A:$D,4,0)),0)</f>
        <v>0</v>
      </c>
      <c r="H675" s="3" t="e">
        <f t="shared" si="32"/>
        <v>#DIV/0!</v>
      </c>
    </row>
    <row r="676" spans="3:8" x14ac:dyDescent="0.25">
      <c r="C676" s="19" t="str">
        <f t="shared" si="31"/>
        <v xml:space="preserve"> - </v>
      </c>
      <c r="D676" s="45">
        <f>IFERROR((VLOOKUP(C676,'Daily Scrap by Shift'!$A:$D,2,0)),0)</f>
        <v>0</v>
      </c>
      <c r="E676" s="45">
        <f>IFERROR((VLOOKUP(C676,'Daily Scrap by Shift'!$A:$D,3,0)),0)</f>
        <v>0</v>
      </c>
      <c r="F676" s="45">
        <f>IFERROR((VLOOKUP(C676,'Daily Scrap by Shift'!$A:$D,4,0)),0)</f>
        <v>0</v>
      </c>
      <c r="H676" s="3" t="e">
        <f t="shared" si="32"/>
        <v>#DIV/0!</v>
      </c>
    </row>
    <row r="677" spans="3:8" x14ac:dyDescent="0.25">
      <c r="C677" s="19" t="str">
        <f t="shared" si="31"/>
        <v xml:space="preserve"> - </v>
      </c>
      <c r="D677" s="45">
        <f>IFERROR((VLOOKUP(C677,'Daily Scrap by Shift'!$A:$D,2,0)),0)</f>
        <v>0</v>
      </c>
      <c r="E677" s="45">
        <f>IFERROR((VLOOKUP(C677,'Daily Scrap by Shift'!$A:$D,3,0)),0)</f>
        <v>0</v>
      </c>
      <c r="F677" s="45">
        <f>IFERROR((VLOOKUP(C677,'Daily Scrap by Shift'!$A:$D,4,0)),0)</f>
        <v>0</v>
      </c>
      <c r="H677" s="3" t="e">
        <f t="shared" si="32"/>
        <v>#DIV/0!</v>
      </c>
    </row>
    <row r="678" spans="3:8" x14ac:dyDescent="0.25">
      <c r="C678" s="19" t="str">
        <f t="shared" si="31"/>
        <v xml:space="preserve"> - </v>
      </c>
      <c r="D678" s="45">
        <f>IFERROR((VLOOKUP(C678,'Daily Scrap by Shift'!$A:$D,2,0)),0)</f>
        <v>0</v>
      </c>
      <c r="E678" s="45">
        <f>IFERROR((VLOOKUP(C678,'Daily Scrap by Shift'!$A:$D,3,0)),0)</f>
        <v>0</v>
      </c>
      <c r="F678" s="45">
        <f>IFERROR((VLOOKUP(C678,'Daily Scrap by Shift'!$A:$D,4,0)),0)</f>
        <v>0</v>
      </c>
      <c r="H678" s="3" t="e">
        <f t="shared" si="32"/>
        <v>#DIV/0!</v>
      </c>
    </row>
    <row r="679" spans="3:8" x14ac:dyDescent="0.25">
      <c r="C679" s="19" t="str">
        <f t="shared" si="31"/>
        <v xml:space="preserve"> - </v>
      </c>
      <c r="D679" s="45">
        <f>IFERROR((VLOOKUP(C679,'Daily Scrap by Shift'!$A:$D,2,0)),0)</f>
        <v>0</v>
      </c>
      <c r="E679" s="45">
        <f>IFERROR((VLOOKUP(C679,'Daily Scrap by Shift'!$A:$D,3,0)),0)</f>
        <v>0</v>
      </c>
      <c r="F679" s="45">
        <f>IFERROR((VLOOKUP(C679,'Daily Scrap by Shift'!$A:$D,4,0)),0)</f>
        <v>0</v>
      </c>
      <c r="H679" s="3" t="e">
        <f t="shared" si="32"/>
        <v>#DIV/0!</v>
      </c>
    </row>
    <row r="680" spans="3:8" x14ac:dyDescent="0.25">
      <c r="C680" s="19" t="str">
        <f t="shared" si="31"/>
        <v xml:space="preserve"> - </v>
      </c>
      <c r="D680" s="45">
        <f>IFERROR((VLOOKUP(C680,'Daily Scrap by Shift'!$A:$D,2,0)),0)</f>
        <v>0</v>
      </c>
      <c r="E680" s="45">
        <f>IFERROR((VLOOKUP(C680,'Daily Scrap by Shift'!$A:$D,3,0)),0)</f>
        <v>0</v>
      </c>
      <c r="F680" s="45">
        <f>IFERROR((VLOOKUP(C680,'Daily Scrap by Shift'!$A:$D,4,0)),0)</f>
        <v>0</v>
      </c>
      <c r="H680" s="3" t="e">
        <f t="shared" si="32"/>
        <v>#DIV/0!</v>
      </c>
    </row>
    <row r="681" spans="3:8" x14ac:dyDescent="0.25">
      <c r="C681" s="19" t="str">
        <f t="shared" si="31"/>
        <v xml:space="preserve"> - </v>
      </c>
      <c r="D681" s="45">
        <f>IFERROR((VLOOKUP(C681,'Daily Scrap by Shift'!$A:$D,2,0)),0)</f>
        <v>0</v>
      </c>
      <c r="E681" s="45">
        <f>IFERROR((VLOOKUP(C681,'Daily Scrap by Shift'!$A:$D,3,0)),0)</f>
        <v>0</v>
      </c>
      <c r="F681" s="45">
        <f>IFERROR((VLOOKUP(C681,'Daily Scrap by Shift'!$A:$D,4,0)),0)</f>
        <v>0</v>
      </c>
      <c r="H681" s="3" t="e">
        <f t="shared" si="32"/>
        <v>#DIV/0!</v>
      </c>
    </row>
    <row r="682" spans="3:8" x14ac:dyDescent="0.25">
      <c r="C682" s="19" t="str">
        <f t="shared" si="31"/>
        <v xml:space="preserve"> - </v>
      </c>
      <c r="D682" s="45">
        <f>IFERROR((VLOOKUP(C682,'Daily Scrap by Shift'!$A:$D,2,0)),0)</f>
        <v>0</v>
      </c>
      <c r="E682" s="45">
        <f>IFERROR((VLOOKUP(C682,'Daily Scrap by Shift'!$A:$D,3,0)),0)</f>
        <v>0</v>
      </c>
      <c r="F682" s="45">
        <f>IFERROR((VLOOKUP(C682,'Daily Scrap by Shift'!$A:$D,4,0)),0)</f>
        <v>0</v>
      </c>
      <c r="H682" s="3" t="e">
        <f t="shared" si="32"/>
        <v>#DIV/0!</v>
      </c>
    </row>
    <row r="683" spans="3:8" x14ac:dyDescent="0.25">
      <c r="C683" s="19" t="str">
        <f t="shared" si="31"/>
        <v xml:space="preserve"> - </v>
      </c>
      <c r="D683" s="45">
        <f>IFERROR((VLOOKUP(C683,'Daily Scrap by Shift'!$A:$D,2,0)),0)</f>
        <v>0</v>
      </c>
      <c r="E683" s="45">
        <f>IFERROR((VLOOKUP(C683,'Daily Scrap by Shift'!$A:$D,3,0)),0)</f>
        <v>0</v>
      </c>
      <c r="F683" s="45">
        <f>IFERROR((VLOOKUP(C683,'Daily Scrap by Shift'!$A:$D,4,0)),0)</f>
        <v>0</v>
      </c>
      <c r="H683" s="3" t="e">
        <f t="shared" si="32"/>
        <v>#DIV/0!</v>
      </c>
    </row>
    <row r="684" spans="3:8" x14ac:dyDescent="0.25">
      <c r="C684" s="19" t="str">
        <f t="shared" si="31"/>
        <v xml:space="preserve"> - </v>
      </c>
      <c r="D684" s="45">
        <f>IFERROR((VLOOKUP(C684,'Daily Scrap by Shift'!$A:$D,2,0)),0)</f>
        <v>0</v>
      </c>
      <c r="E684" s="45">
        <f>IFERROR((VLOOKUP(C684,'Daily Scrap by Shift'!$A:$D,3,0)),0)</f>
        <v>0</v>
      </c>
      <c r="F684" s="45">
        <f>IFERROR((VLOOKUP(C684,'Daily Scrap by Shift'!$A:$D,4,0)),0)</f>
        <v>0</v>
      </c>
      <c r="H684" s="3" t="e">
        <f t="shared" si="32"/>
        <v>#DIV/0!</v>
      </c>
    </row>
    <row r="685" spans="3:8" x14ac:dyDescent="0.25">
      <c r="C685" s="19" t="str">
        <f t="shared" si="31"/>
        <v xml:space="preserve"> - </v>
      </c>
      <c r="D685" s="45">
        <f>IFERROR((VLOOKUP(C685,'Daily Scrap by Shift'!$A:$D,2,0)),0)</f>
        <v>0</v>
      </c>
      <c r="E685" s="45">
        <f>IFERROR((VLOOKUP(C685,'Daily Scrap by Shift'!$A:$D,3,0)),0)</f>
        <v>0</v>
      </c>
      <c r="F685" s="45">
        <f>IFERROR((VLOOKUP(C685,'Daily Scrap by Shift'!$A:$D,4,0)),0)</f>
        <v>0</v>
      </c>
      <c r="H685" s="3" t="e">
        <f t="shared" si="32"/>
        <v>#DIV/0!</v>
      </c>
    </row>
    <row r="686" spans="3:8" x14ac:dyDescent="0.25">
      <c r="C686" s="19" t="str">
        <f t="shared" si="31"/>
        <v xml:space="preserve"> - </v>
      </c>
      <c r="D686" s="45">
        <f>IFERROR((VLOOKUP(C686,'Daily Scrap by Shift'!$A:$D,2,0)),0)</f>
        <v>0</v>
      </c>
      <c r="E686" s="45">
        <f>IFERROR((VLOOKUP(C686,'Daily Scrap by Shift'!$A:$D,3,0)),0)</f>
        <v>0</v>
      </c>
      <c r="F686" s="45">
        <f>IFERROR((VLOOKUP(C686,'Daily Scrap by Shift'!$A:$D,4,0)),0)</f>
        <v>0</v>
      </c>
      <c r="H686" s="3" t="e">
        <f t="shared" si="32"/>
        <v>#DIV/0!</v>
      </c>
    </row>
    <row r="687" spans="3:8" x14ac:dyDescent="0.25">
      <c r="C687" s="19" t="str">
        <f t="shared" si="31"/>
        <v xml:space="preserve"> - </v>
      </c>
      <c r="D687" s="45">
        <f>IFERROR((VLOOKUP(C687,'Daily Scrap by Shift'!$A:$D,2,0)),0)</f>
        <v>0</v>
      </c>
      <c r="E687" s="45">
        <f>IFERROR((VLOOKUP(C687,'Daily Scrap by Shift'!$A:$D,3,0)),0)</f>
        <v>0</v>
      </c>
      <c r="F687" s="45">
        <f>IFERROR((VLOOKUP(C687,'Daily Scrap by Shift'!$A:$D,4,0)),0)</f>
        <v>0</v>
      </c>
      <c r="H687" s="3" t="e">
        <f t="shared" si="32"/>
        <v>#DIV/0!</v>
      </c>
    </row>
    <row r="688" spans="3:8" x14ac:dyDescent="0.25">
      <c r="C688" s="19" t="str">
        <f t="shared" si="31"/>
        <v xml:space="preserve"> - </v>
      </c>
      <c r="D688" s="45">
        <f>IFERROR((VLOOKUP(C688,'Daily Scrap by Shift'!$A:$D,2,0)),0)</f>
        <v>0</v>
      </c>
      <c r="E688" s="45">
        <f>IFERROR((VLOOKUP(C688,'Daily Scrap by Shift'!$A:$D,3,0)),0)</f>
        <v>0</v>
      </c>
      <c r="F688" s="45">
        <f>IFERROR((VLOOKUP(C688,'Daily Scrap by Shift'!$A:$D,4,0)),0)</f>
        <v>0</v>
      </c>
      <c r="H688" s="3" t="e">
        <f t="shared" si="32"/>
        <v>#DIV/0!</v>
      </c>
    </row>
    <row r="689" spans="3:8" x14ac:dyDescent="0.25">
      <c r="C689" s="19" t="str">
        <f t="shared" si="31"/>
        <v xml:space="preserve"> - </v>
      </c>
      <c r="D689" s="45">
        <f>IFERROR((VLOOKUP(C689,'Daily Scrap by Shift'!$A:$D,2,0)),0)</f>
        <v>0</v>
      </c>
      <c r="E689" s="45">
        <f>IFERROR((VLOOKUP(C689,'Daily Scrap by Shift'!$A:$D,3,0)),0)</f>
        <v>0</v>
      </c>
      <c r="F689" s="45">
        <f>IFERROR((VLOOKUP(C689,'Daily Scrap by Shift'!$A:$D,4,0)),0)</f>
        <v>0</v>
      </c>
      <c r="H689" s="3" t="e">
        <f t="shared" si="32"/>
        <v>#DIV/0!</v>
      </c>
    </row>
    <row r="690" spans="3:8" x14ac:dyDescent="0.25">
      <c r="C690" s="19" t="str">
        <f t="shared" si="31"/>
        <v xml:space="preserve"> - </v>
      </c>
      <c r="D690" s="45">
        <f>IFERROR((VLOOKUP(C690,'Daily Scrap by Shift'!$A:$D,2,0)),0)</f>
        <v>0</v>
      </c>
      <c r="E690" s="45">
        <f>IFERROR((VLOOKUP(C690,'Daily Scrap by Shift'!$A:$D,3,0)),0)</f>
        <v>0</v>
      </c>
      <c r="F690" s="45">
        <f>IFERROR((VLOOKUP(C690,'Daily Scrap by Shift'!$A:$D,4,0)),0)</f>
        <v>0</v>
      </c>
      <c r="H690" s="3" t="e">
        <f t="shared" si="32"/>
        <v>#DIV/0!</v>
      </c>
    </row>
    <row r="691" spans="3:8" x14ac:dyDescent="0.25">
      <c r="C691" s="19" t="str">
        <f t="shared" si="31"/>
        <v xml:space="preserve"> - </v>
      </c>
      <c r="D691" s="45">
        <f>IFERROR((VLOOKUP(C691,'Daily Scrap by Shift'!$A:$D,2,0)),0)</f>
        <v>0</v>
      </c>
      <c r="E691" s="45">
        <f>IFERROR((VLOOKUP(C691,'Daily Scrap by Shift'!$A:$D,3,0)),0)</f>
        <v>0</v>
      </c>
      <c r="F691" s="45">
        <f>IFERROR((VLOOKUP(C691,'Daily Scrap by Shift'!$A:$D,4,0)),0)</f>
        <v>0</v>
      </c>
      <c r="H691" s="3" t="e">
        <f t="shared" si="32"/>
        <v>#DIV/0!</v>
      </c>
    </row>
    <row r="692" spans="3:8" x14ac:dyDescent="0.25">
      <c r="C692" s="19" t="str">
        <f t="shared" si="31"/>
        <v xml:space="preserve"> - </v>
      </c>
      <c r="D692" s="45">
        <f>IFERROR((VLOOKUP(C692,'Daily Scrap by Shift'!$A:$D,2,0)),0)</f>
        <v>0</v>
      </c>
      <c r="E692" s="45">
        <f>IFERROR((VLOOKUP(C692,'Daily Scrap by Shift'!$A:$D,3,0)),0)</f>
        <v>0</v>
      </c>
      <c r="F692" s="45">
        <f>IFERROR((VLOOKUP(C692,'Daily Scrap by Shift'!$A:$D,4,0)),0)</f>
        <v>0</v>
      </c>
      <c r="H692" s="3" t="e">
        <f t="shared" si="32"/>
        <v>#DIV/0!</v>
      </c>
    </row>
    <row r="693" spans="3:8" x14ac:dyDescent="0.25">
      <c r="C693" s="19" t="str">
        <f t="shared" si="31"/>
        <v xml:space="preserve"> - </v>
      </c>
      <c r="D693" s="45">
        <f>IFERROR((VLOOKUP(C693,'Daily Scrap by Shift'!$A:$D,2,0)),0)</f>
        <v>0</v>
      </c>
      <c r="E693" s="45">
        <f>IFERROR((VLOOKUP(C693,'Daily Scrap by Shift'!$A:$D,3,0)),0)</f>
        <v>0</v>
      </c>
      <c r="F693" s="45">
        <f>IFERROR((VLOOKUP(C693,'Daily Scrap by Shift'!$A:$D,4,0)),0)</f>
        <v>0</v>
      </c>
      <c r="H693" s="3" t="e">
        <f t="shared" si="32"/>
        <v>#DIV/0!</v>
      </c>
    </row>
    <row r="694" spans="3:8" x14ac:dyDescent="0.25">
      <c r="C694" s="19" t="str">
        <f t="shared" si="31"/>
        <v xml:space="preserve"> - </v>
      </c>
      <c r="D694" s="45">
        <f>IFERROR((VLOOKUP(C694,'Daily Scrap by Shift'!$A:$D,2,0)),0)</f>
        <v>0</v>
      </c>
      <c r="E694" s="45">
        <f>IFERROR((VLOOKUP(C694,'Daily Scrap by Shift'!$A:$D,3,0)),0)</f>
        <v>0</v>
      </c>
      <c r="F694" s="45">
        <f>IFERROR((VLOOKUP(C694,'Daily Scrap by Shift'!$A:$D,4,0)),0)</f>
        <v>0</v>
      </c>
      <c r="H694" s="3" t="e">
        <f t="shared" si="32"/>
        <v>#DIV/0!</v>
      </c>
    </row>
    <row r="695" spans="3:8" x14ac:dyDescent="0.25">
      <c r="C695" s="19" t="str">
        <f t="shared" si="31"/>
        <v xml:space="preserve"> - </v>
      </c>
      <c r="D695" s="45">
        <f>IFERROR((VLOOKUP(C695,'Daily Scrap by Shift'!$A:$D,2,0)),0)</f>
        <v>0</v>
      </c>
      <c r="E695" s="45">
        <f>IFERROR((VLOOKUP(C695,'Daily Scrap by Shift'!$A:$D,3,0)),0)</f>
        <v>0</v>
      </c>
      <c r="F695" s="45">
        <f>IFERROR((VLOOKUP(C695,'Daily Scrap by Shift'!$A:$D,4,0)),0)</f>
        <v>0</v>
      </c>
      <c r="H695" s="3" t="e">
        <f t="shared" si="32"/>
        <v>#DIV/0!</v>
      </c>
    </row>
    <row r="696" spans="3:8" x14ac:dyDescent="0.25">
      <c r="C696" s="19" t="str">
        <f t="shared" si="31"/>
        <v xml:space="preserve"> - </v>
      </c>
      <c r="D696" s="45">
        <f>IFERROR((VLOOKUP(C696,'Daily Scrap by Shift'!$A:$D,2,0)),0)</f>
        <v>0</v>
      </c>
      <c r="E696" s="45">
        <f>IFERROR((VLOOKUP(C696,'Daily Scrap by Shift'!$A:$D,3,0)),0)</f>
        <v>0</v>
      </c>
      <c r="F696" s="45">
        <f>IFERROR((VLOOKUP(C696,'Daily Scrap by Shift'!$A:$D,4,0)),0)</f>
        <v>0</v>
      </c>
      <c r="H696" s="3" t="e">
        <f t="shared" si="32"/>
        <v>#DIV/0!</v>
      </c>
    </row>
    <row r="697" spans="3:8" x14ac:dyDescent="0.25">
      <c r="C697" s="19" t="str">
        <f t="shared" si="31"/>
        <v xml:space="preserve"> - </v>
      </c>
      <c r="D697" s="45">
        <f>IFERROR((VLOOKUP(C697,'Daily Scrap by Shift'!$A:$D,2,0)),0)</f>
        <v>0</v>
      </c>
      <c r="E697" s="45">
        <f>IFERROR((VLOOKUP(C697,'Daily Scrap by Shift'!$A:$D,3,0)),0)</f>
        <v>0</v>
      </c>
      <c r="F697" s="45">
        <f>IFERROR((VLOOKUP(C697,'Daily Scrap by Shift'!$A:$D,4,0)),0)</f>
        <v>0</v>
      </c>
      <c r="H697" s="3" t="e">
        <f t="shared" si="32"/>
        <v>#DIV/0!</v>
      </c>
    </row>
    <row r="698" spans="3:8" x14ac:dyDescent="0.25">
      <c r="C698" s="19" t="str">
        <f t="shared" si="31"/>
        <v xml:space="preserve"> - </v>
      </c>
      <c r="D698" s="45">
        <f>IFERROR((VLOOKUP(C698,'Daily Scrap by Shift'!$A:$D,2,0)),0)</f>
        <v>0</v>
      </c>
      <c r="E698" s="45">
        <f>IFERROR((VLOOKUP(C698,'Daily Scrap by Shift'!$A:$D,3,0)),0)</f>
        <v>0</v>
      </c>
      <c r="F698" s="45">
        <f>IFERROR((VLOOKUP(C698,'Daily Scrap by Shift'!$A:$D,4,0)),0)</f>
        <v>0</v>
      </c>
      <c r="H698" s="3" t="e">
        <f t="shared" si="32"/>
        <v>#DIV/0!</v>
      </c>
    </row>
    <row r="699" spans="3:8" x14ac:dyDescent="0.25">
      <c r="C699" s="19" t="str">
        <f t="shared" si="31"/>
        <v xml:space="preserve"> - </v>
      </c>
      <c r="D699" s="45">
        <f>IFERROR((VLOOKUP(C699,'Daily Scrap by Shift'!$A:$D,2,0)),0)</f>
        <v>0</v>
      </c>
      <c r="E699" s="45">
        <f>IFERROR((VLOOKUP(C699,'Daily Scrap by Shift'!$A:$D,3,0)),0)</f>
        <v>0</v>
      </c>
      <c r="F699" s="45">
        <f>IFERROR((VLOOKUP(C699,'Daily Scrap by Shift'!$A:$D,4,0)),0)</f>
        <v>0</v>
      </c>
      <c r="H699" s="3" t="e">
        <f t="shared" si="32"/>
        <v>#DIV/0!</v>
      </c>
    </row>
    <row r="700" spans="3:8" x14ac:dyDescent="0.25">
      <c r="C700" s="19" t="str">
        <f t="shared" si="31"/>
        <v xml:space="preserve"> - </v>
      </c>
      <c r="D700" s="45">
        <f>IFERROR((VLOOKUP(C700,'Daily Scrap by Shift'!$A:$D,2,0)),0)</f>
        <v>0</v>
      </c>
      <c r="E700" s="45">
        <f>IFERROR((VLOOKUP(C700,'Daily Scrap by Shift'!$A:$D,3,0)),0)</f>
        <v>0</v>
      </c>
      <c r="F700" s="45">
        <f>IFERROR((VLOOKUP(C700,'Daily Scrap by Shift'!$A:$D,4,0)),0)</f>
        <v>0</v>
      </c>
      <c r="H700" s="3" t="e">
        <f t="shared" si="32"/>
        <v>#DIV/0!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8A213AE-D943-4A72-8CD4-F87E9964A3BA}">
          <x14:formula1>
            <xm:f>Lists!$A$2:$A$52</xm:f>
          </x14:formula1>
          <xm:sqref>B2:B178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E4BF7-E2F6-4B13-8DD7-4F21EAB9890A}">
  <dimension ref="A1:Q15"/>
  <sheetViews>
    <sheetView workbookViewId="0">
      <selection activeCell="E12" sqref="E12"/>
    </sheetView>
  </sheetViews>
  <sheetFormatPr defaultRowHeight="15" x14ac:dyDescent="0.25"/>
  <cols>
    <col min="1" max="1" width="11.85546875" customWidth="1"/>
    <col min="2" max="2" width="18.140625" bestFit="1" customWidth="1"/>
    <col min="3" max="3" width="22.140625" style="2" bestFit="1" customWidth="1"/>
    <col min="4" max="4" width="36.140625" bestFit="1" customWidth="1"/>
    <col min="5" max="5" width="10.5703125" bestFit="1" customWidth="1"/>
  </cols>
  <sheetData>
    <row r="1" spans="1:17" ht="30" x14ac:dyDescent="0.25">
      <c r="A1" s="2" t="s">
        <v>1</v>
      </c>
      <c r="B1" s="2" t="s">
        <v>3</v>
      </c>
      <c r="C1" s="2" t="s">
        <v>2</v>
      </c>
      <c r="D1" s="2" t="s">
        <v>16</v>
      </c>
      <c r="E1" s="17" t="s">
        <v>204</v>
      </c>
      <c r="F1" s="17" t="s">
        <v>205</v>
      </c>
      <c r="G1" s="17" t="s">
        <v>206</v>
      </c>
      <c r="H1" s="17" t="s">
        <v>207</v>
      </c>
      <c r="I1" s="17" t="s">
        <v>208</v>
      </c>
      <c r="J1" s="17" t="s">
        <v>209</v>
      </c>
      <c r="K1" s="17" t="s">
        <v>222</v>
      </c>
      <c r="L1" s="17" t="s">
        <v>223</v>
      </c>
      <c r="M1" s="17" t="s">
        <v>224</v>
      </c>
      <c r="N1" s="17" t="s">
        <v>225</v>
      </c>
      <c r="O1" s="17" t="s">
        <v>226</v>
      </c>
      <c r="Q1" s="17" t="s">
        <v>227</v>
      </c>
    </row>
    <row r="2" spans="1:17" x14ac:dyDescent="0.25">
      <c r="A2" s="2" t="s">
        <v>25</v>
      </c>
      <c r="B2" s="2" t="s">
        <v>9</v>
      </c>
      <c r="C2" s="2">
        <v>8000035</v>
      </c>
      <c r="D2" t="s">
        <v>22</v>
      </c>
      <c r="E2" s="27">
        <f>1896.97/1000</f>
        <v>1.89697</v>
      </c>
      <c r="F2" s="27">
        <f>1911.78/1000</f>
        <v>1.91178</v>
      </c>
      <c r="Q2" s="3">
        <v>0.03</v>
      </c>
    </row>
    <row r="3" spans="1:17" x14ac:dyDescent="0.25">
      <c r="A3" s="2" t="s">
        <v>26</v>
      </c>
      <c r="B3" s="2" t="s">
        <v>10</v>
      </c>
      <c r="C3" s="2">
        <v>8000038</v>
      </c>
      <c r="D3" t="s">
        <v>21</v>
      </c>
      <c r="E3" s="27">
        <f>1945.34/1000</f>
        <v>1.9453399999999998</v>
      </c>
      <c r="F3" s="27">
        <f>1960/1000</f>
        <v>1.96</v>
      </c>
    </row>
    <row r="4" spans="1:17" x14ac:dyDescent="0.25">
      <c r="A4" s="2" t="s">
        <v>24</v>
      </c>
      <c r="B4" s="2" t="s">
        <v>11</v>
      </c>
      <c r="C4" s="2">
        <v>8000039</v>
      </c>
      <c r="D4" t="s">
        <v>20</v>
      </c>
      <c r="E4" s="27">
        <f>2060.29/1000</f>
        <v>2.0602900000000002</v>
      </c>
      <c r="F4" s="27">
        <f>2080.13/1000</f>
        <v>2.08013</v>
      </c>
    </row>
    <row r="5" spans="1:17" x14ac:dyDescent="0.25">
      <c r="A5" s="2" t="s">
        <v>5</v>
      </c>
      <c r="B5" s="2" t="s">
        <v>12</v>
      </c>
      <c r="C5" s="2">
        <v>8000055</v>
      </c>
      <c r="D5" t="s">
        <v>19</v>
      </c>
      <c r="E5" s="27">
        <f>28801.77/1000/25</f>
        <v>1.1520708</v>
      </c>
      <c r="F5" s="27">
        <f>29262.24/1000/15</f>
        <v>1.9508160000000001</v>
      </c>
    </row>
    <row r="6" spans="1:17" x14ac:dyDescent="0.25">
      <c r="A6" s="2" t="s">
        <v>6</v>
      </c>
      <c r="B6" s="2" t="s">
        <v>13</v>
      </c>
      <c r="C6" s="2">
        <v>8000022</v>
      </c>
      <c r="D6" t="s">
        <v>18</v>
      </c>
      <c r="E6" s="27">
        <f>1575.71/1000</f>
        <v>1.5757099999999999</v>
      </c>
      <c r="F6" s="27">
        <f>1582.08/1000</f>
        <v>1.5820799999999999</v>
      </c>
    </row>
    <row r="7" spans="1:17" x14ac:dyDescent="0.25">
      <c r="A7" s="2" t="s">
        <v>7</v>
      </c>
      <c r="B7" s="2" t="s">
        <v>14</v>
      </c>
      <c r="C7" s="2">
        <v>8000031</v>
      </c>
      <c r="D7" t="s">
        <v>17</v>
      </c>
      <c r="E7" s="27">
        <f>1451.63/1000</f>
        <v>1.4516300000000002</v>
      </c>
      <c r="F7" s="27">
        <f>1451.63/1000</f>
        <v>1.4516300000000002</v>
      </c>
    </row>
    <row r="8" spans="1:17" x14ac:dyDescent="0.25">
      <c r="A8" s="2" t="s">
        <v>8</v>
      </c>
      <c r="B8" s="2" t="s">
        <v>15</v>
      </c>
      <c r="C8" s="2">
        <v>8000040</v>
      </c>
      <c r="D8" t="s">
        <v>23</v>
      </c>
      <c r="E8" s="27">
        <f>1213.53/1000</f>
        <v>1.21353</v>
      </c>
      <c r="F8" s="27">
        <f>1213.53/1000</f>
        <v>1.21353</v>
      </c>
    </row>
    <row r="9" spans="1:17" x14ac:dyDescent="0.25">
      <c r="A9" s="2"/>
      <c r="B9" s="2" t="s">
        <v>409</v>
      </c>
      <c r="C9" s="2">
        <v>8000034</v>
      </c>
      <c r="D9" t="s">
        <v>202</v>
      </c>
      <c r="E9" s="27">
        <f>3856.01/1000</f>
        <v>3.8560100000000004</v>
      </c>
      <c r="F9" s="27">
        <f>3894.31/1000</f>
        <v>3.8943099999999999</v>
      </c>
    </row>
    <row r="10" spans="1:17" x14ac:dyDescent="0.25">
      <c r="C10" s="2">
        <v>8000046</v>
      </c>
      <c r="D10" t="s">
        <v>203</v>
      </c>
      <c r="E10" s="27">
        <f>1905.13/1000</f>
        <v>1.9051300000000002</v>
      </c>
      <c r="F10" s="27">
        <f>1918.41/1000</f>
        <v>1.9184100000000002</v>
      </c>
    </row>
    <row r="11" spans="1:17" x14ac:dyDescent="0.25">
      <c r="C11" s="2">
        <v>8000054</v>
      </c>
      <c r="D11" t="s">
        <v>246</v>
      </c>
      <c r="E11" s="27">
        <f>8.12998/25</f>
        <v>0.32519919999999997</v>
      </c>
      <c r="F11" s="27">
        <f>8.12998/25</f>
        <v>0.32519919999999997</v>
      </c>
    </row>
    <row r="12" spans="1:17" x14ac:dyDescent="0.25">
      <c r="C12" s="2">
        <v>8000048</v>
      </c>
      <c r="D12" t="s">
        <v>526</v>
      </c>
      <c r="E12" s="27"/>
      <c r="F12" s="27"/>
    </row>
    <row r="13" spans="1:17" x14ac:dyDescent="0.25">
      <c r="C13" s="2">
        <v>8000413</v>
      </c>
      <c r="D13" t="s">
        <v>522</v>
      </c>
      <c r="E13" s="27"/>
      <c r="F13" s="27"/>
    </row>
    <row r="14" spans="1:17" x14ac:dyDescent="0.25">
      <c r="C14" s="2" t="s">
        <v>410</v>
      </c>
      <c r="D14" t="s">
        <v>408</v>
      </c>
    </row>
    <row r="15" spans="1:17" x14ac:dyDescent="0.25">
      <c r="C15" s="2">
        <v>8000402</v>
      </c>
      <c r="D15" t="s">
        <v>425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E7C7-F003-4C2E-A416-A5F51B29045B}">
  <sheetPr>
    <tabColor rgb="FFFFFF99"/>
  </sheetPr>
  <dimension ref="A1"/>
  <sheetViews>
    <sheetView workbookViewId="0"/>
  </sheetViews>
  <sheetFormatPr defaultRowHeight="15" x14ac:dyDescent="0.25"/>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1910-B577-47FC-A47D-9B4183EE5645}">
  <sheetPr>
    <tabColor rgb="FFFFFF99"/>
  </sheetPr>
  <dimension ref="A3:Y88"/>
  <sheetViews>
    <sheetView topLeftCell="A58" workbookViewId="0">
      <selection activeCell="O87" sqref="O87"/>
    </sheetView>
  </sheetViews>
  <sheetFormatPr defaultRowHeight="15" x14ac:dyDescent="0.25"/>
  <cols>
    <col min="1" max="1" width="11.28515625" customWidth="1"/>
    <col min="2" max="2" width="10.85546875" customWidth="1"/>
    <col min="4" max="4" width="15.5703125" customWidth="1"/>
    <col min="5" max="5" width="30.5703125" customWidth="1"/>
    <col min="15" max="15" width="11" customWidth="1"/>
  </cols>
  <sheetData>
    <row r="3" spans="1:24" x14ac:dyDescent="0.25">
      <c r="A3" s="16" t="str">
        <f t="shared" ref="A3:A21" si="0">TEXT(B3,"mmmm")</f>
        <v>January</v>
      </c>
      <c r="B3" s="31">
        <v>43832</v>
      </c>
      <c r="C3" s="32" t="s">
        <v>25</v>
      </c>
      <c r="D3" s="9" t="str">
        <f t="shared" ref="D3:D21" si="1">CONCATENATE(B3," - ",C3)</f>
        <v>43832 - 1S</v>
      </c>
      <c r="E3" s="32" t="s">
        <v>9</v>
      </c>
      <c r="F3" s="2">
        <v>8000038</v>
      </c>
      <c r="G3" s="4" t="str">
        <f>IFERROR(VLOOKUP(F3,Lists!$C:$D,2,0), "N/A")</f>
        <v>TURTLES MILK CHOC PEC BITE SZ</v>
      </c>
      <c r="H3" s="26">
        <f>IFERROR(VLOOKUP(F3,Lists!$C:$E,3,0),0)</f>
        <v>1.9453399999999998</v>
      </c>
      <c r="I3" s="61">
        <f t="shared" ref="I3:I21" si="2">J3</f>
        <v>2839.2</v>
      </c>
      <c r="J3" s="45">
        <v>2839.2</v>
      </c>
      <c r="K3" s="33">
        <v>689</v>
      </c>
      <c r="L3" s="5">
        <f t="shared" ref="L3:L21" si="3">IFERROR((K3/J3),1)</f>
        <v>0.2426739926739927</v>
      </c>
      <c r="N3" s="16" t="str">
        <f t="shared" ref="N3:N20" si="4">TEXT(O3,"mmmm")</f>
        <v>January</v>
      </c>
      <c r="O3" s="31">
        <v>43832</v>
      </c>
      <c r="P3" s="32" t="s">
        <v>26</v>
      </c>
      <c r="Q3" s="9" t="str">
        <f t="shared" ref="Q3:Q20" si="5">CONCATENATE(O3," - ",P3)</f>
        <v>43832 - 2S</v>
      </c>
      <c r="R3" s="32" t="s">
        <v>9</v>
      </c>
      <c r="S3" s="2">
        <v>8000038</v>
      </c>
      <c r="T3" s="4" t="str">
        <f>IFERROR(VLOOKUP(S3,Lists!$C:$D,2,0), "N/A")</f>
        <v>TURTLES MILK CHOC PEC BITE SZ</v>
      </c>
      <c r="U3" s="26">
        <f>IFERROR(VLOOKUP(S3,Lists!$C:$E,3,0),0)</f>
        <v>1.9453399999999998</v>
      </c>
      <c r="V3" s="61">
        <f t="shared" ref="V3:V20" si="6">W3</f>
        <v>4542.72</v>
      </c>
      <c r="W3" s="45">
        <v>4542.72</v>
      </c>
      <c r="X3" s="33">
        <v>452</v>
      </c>
    </row>
    <row r="4" spans="1:24" x14ac:dyDescent="0.25">
      <c r="A4" s="16" t="str">
        <f t="shared" si="0"/>
        <v>January</v>
      </c>
      <c r="B4" s="31">
        <v>43833</v>
      </c>
      <c r="C4" s="32" t="s">
        <v>25</v>
      </c>
      <c r="D4" s="9" t="str">
        <f t="shared" si="1"/>
        <v>43833 - 1S</v>
      </c>
      <c r="E4" s="32" t="s">
        <v>9</v>
      </c>
      <c r="F4" s="2">
        <v>8000038</v>
      </c>
      <c r="G4" s="4" t="str">
        <f>IFERROR(VLOOKUP(F4,Lists!$C:$D,2,0), "N/A")</f>
        <v>TURTLES MILK CHOC PEC BITE SZ</v>
      </c>
      <c r="H4" s="26">
        <f>IFERROR(VLOOKUP(F4,Lists!$C:$E,3,0),0)</f>
        <v>1.9453399999999998</v>
      </c>
      <c r="I4" s="61">
        <f t="shared" si="2"/>
        <v>5110.5600000000004</v>
      </c>
      <c r="J4" s="45">
        <v>5110.5600000000004</v>
      </c>
      <c r="K4" s="33">
        <v>408</v>
      </c>
      <c r="L4" s="5">
        <f t="shared" si="3"/>
        <v>7.9834695219310595E-2</v>
      </c>
      <c r="N4" s="16" t="str">
        <f t="shared" si="4"/>
        <v>January</v>
      </c>
      <c r="O4" s="31">
        <v>43833</v>
      </c>
      <c r="P4" s="32" t="s">
        <v>26</v>
      </c>
      <c r="Q4" s="9" t="str">
        <f t="shared" si="5"/>
        <v>43833 - 2S</v>
      </c>
      <c r="R4" s="32" t="s">
        <v>9</v>
      </c>
      <c r="S4" s="2">
        <v>8000038</v>
      </c>
      <c r="T4" s="4" t="str">
        <f>IFERROR(VLOOKUP(S4,Lists!$C:$D,2,0), "N/A")</f>
        <v>TURTLES MILK CHOC PEC BITE SZ</v>
      </c>
      <c r="U4" s="26">
        <f>IFERROR(VLOOKUP(S4,Lists!$C:$E,3,0),0)</f>
        <v>1.9453399999999998</v>
      </c>
      <c r="V4" s="61">
        <f t="shared" si="6"/>
        <v>4943.25</v>
      </c>
      <c r="W4" s="45">
        <v>4943.25</v>
      </c>
      <c r="X4" s="33">
        <v>329</v>
      </c>
    </row>
    <row r="5" spans="1:24" x14ac:dyDescent="0.25">
      <c r="A5" s="16" t="str">
        <f t="shared" si="0"/>
        <v>January</v>
      </c>
      <c r="B5" s="31">
        <v>43836</v>
      </c>
      <c r="C5" s="32" t="s">
        <v>25</v>
      </c>
      <c r="D5" s="9" t="str">
        <f t="shared" si="1"/>
        <v>43836 - 1S</v>
      </c>
      <c r="E5" s="32" t="s">
        <v>9</v>
      </c>
      <c r="F5" s="2">
        <v>8000035</v>
      </c>
      <c r="G5" s="4" t="str">
        <f>IFERROR(VLOOKUP(F5,Lists!$C:$D,2,0), "N/A")</f>
        <v>TURTLES MILK CHOC ORIGINAL</v>
      </c>
      <c r="H5" s="26">
        <f>IFERROR(VLOOKUP(F5,Lists!$C:$E,3,0),0)</f>
        <v>1.89697</v>
      </c>
      <c r="I5" s="61">
        <f t="shared" si="2"/>
        <v>11302.4</v>
      </c>
      <c r="J5" s="45">
        <v>11302.4</v>
      </c>
      <c r="K5" s="33">
        <v>321</v>
      </c>
      <c r="L5" s="5">
        <f t="shared" si="3"/>
        <v>2.8401047565118912E-2</v>
      </c>
      <c r="N5" s="16" t="str">
        <f t="shared" si="4"/>
        <v>January</v>
      </c>
      <c r="O5" s="31">
        <v>43836</v>
      </c>
      <c r="P5" s="32" t="s">
        <v>26</v>
      </c>
      <c r="Q5" s="9" t="str">
        <f t="shared" si="5"/>
        <v>43836 - 2S</v>
      </c>
      <c r="R5" s="32" t="s">
        <v>9</v>
      </c>
      <c r="S5" s="2">
        <v>8000035</v>
      </c>
      <c r="T5" s="4" t="str">
        <f>IFERROR(VLOOKUP(S5,Lists!$C:$D,2,0), "N/A")</f>
        <v>TURTLES MILK CHOC ORIGINAL</v>
      </c>
      <c r="U5" s="26">
        <f>IFERROR(VLOOKUP(S5,Lists!$C:$E,3,0),0)</f>
        <v>1.89697</v>
      </c>
      <c r="V5" s="61">
        <f t="shared" si="6"/>
        <v>10502.4</v>
      </c>
      <c r="W5" s="45">
        <v>10502.4</v>
      </c>
      <c r="X5" s="33">
        <v>305</v>
      </c>
    </row>
    <row r="6" spans="1:24" x14ac:dyDescent="0.25">
      <c r="A6" s="16" t="str">
        <f t="shared" si="0"/>
        <v>January</v>
      </c>
      <c r="B6" s="31">
        <v>43837</v>
      </c>
      <c r="C6" s="32" t="s">
        <v>25</v>
      </c>
      <c r="D6" s="9" t="str">
        <f t="shared" si="1"/>
        <v>43837 - 1S</v>
      </c>
      <c r="E6" s="32" t="s">
        <v>9</v>
      </c>
      <c r="F6" s="2">
        <v>8000035</v>
      </c>
      <c r="G6" s="4" t="str">
        <f>IFERROR(VLOOKUP(F6,Lists!$C:$D,2,0), "N/A")</f>
        <v>TURTLES MILK CHOC ORIGINAL</v>
      </c>
      <c r="H6" s="26">
        <f>IFERROR(VLOOKUP(F6,Lists!$C:$E,3,0),0)</f>
        <v>1.89697</v>
      </c>
      <c r="I6" s="61">
        <f t="shared" si="2"/>
        <v>11302.4</v>
      </c>
      <c r="J6" s="45">
        <v>11302.4</v>
      </c>
      <c r="K6" s="33">
        <v>181</v>
      </c>
      <c r="L6" s="5">
        <f t="shared" si="3"/>
        <v>1.6014297848244621E-2</v>
      </c>
      <c r="N6" s="16" t="str">
        <f t="shared" si="4"/>
        <v>January</v>
      </c>
      <c r="O6" s="31">
        <v>43837</v>
      </c>
      <c r="P6" s="32" t="s">
        <v>26</v>
      </c>
      <c r="Q6" s="9" t="str">
        <f t="shared" si="5"/>
        <v>43837 - 2S</v>
      </c>
      <c r="R6" s="32" t="s">
        <v>9</v>
      </c>
      <c r="S6" s="2">
        <v>8000035</v>
      </c>
      <c r="T6" s="4" t="str">
        <f>IFERROR(VLOOKUP(S6,Lists!$C:$D,2,0), "N/A")</f>
        <v>TURTLES MILK CHOC ORIGINAL</v>
      </c>
      <c r="U6" s="26">
        <f>IFERROR(VLOOKUP(S6,Lists!$C:$E,3,0),0)</f>
        <v>1.89697</v>
      </c>
      <c r="V6" s="61">
        <f t="shared" si="6"/>
        <v>9702.4</v>
      </c>
      <c r="W6" s="45">
        <v>9702.4</v>
      </c>
      <c r="X6" s="33">
        <v>331</v>
      </c>
    </row>
    <row r="7" spans="1:24" x14ac:dyDescent="0.25">
      <c r="A7" s="16" t="str">
        <f t="shared" si="0"/>
        <v>January</v>
      </c>
      <c r="B7" s="31">
        <v>43838</v>
      </c>
      <c r="C7" s="32" t="s">
        <v>25</v>
      </c>
      <c r="D7" s="9" t="str">
        <f t="shared" si="1"/>
        <v>43838 - 1S</v>
      </c>
      <c r="E7" s="32" t="s">
        <v>9</v>
      </c>
      <c r="F7" s="2">
        <v>8000035</v>
      </c>
      <c r="G7" s="4" t="str">
        <f>IFERROR(VLOOKUP(F7,Lists!$C:$D,2,0), "N/A")</f>
        <v>TURTLES MILK CHOC ORIGINAL</v>
      </c>
      <c r="H7" s="26">
        <f>IFERROR(VLOOKUP(F7,Lists!$C:$E,3,0),0)</f>
        <v>1.89697</v>
      </c>
      <c r="I7" s="61">
        <f t="shared" si="2"/>
        <v>9789.6</v>
      </c>
      <c r="J7" s="45">
        <v>9789.6</v>
      </c>
      <c r="K7" s="33">
        <v>274</v>
      </c>
      <c r="L7" s="5">
        <f t="shared" si="3"/>
        <v>2.7988886164909698E-2</v>
      </c>
      <c r="N7" s="16" t="str">
        <f t="shared" si="4"/>
        <v>January</v>
      </c>
      <c r="O7" s="31">
        <v>43838</v>
      </c>
      <c r="P7" s="32" t="s">
        <v>26</v>
      </c>
      <c r="Q7" s="9" t="str">
        <f t="shared" si="5"/>
        <v>43838 - 2S</v>
      </c>
      <c r="R7" s="32" t="s">
        <v>9</v>
      </c>
      <c r="S7" s="2">
        <v>8000035</v>
      </c>
      <c r="T7" s="4" t="str">
        <f>IFERROR(VLOOKUP(S7,Lists!$C:$D,2,0), "N/A")</f>
        <v>TURTLES MILK CHOC ORIGINAL</v>
      </c>
      <c r="U7" s="26">
        <f>IFERROR(VLOOKUP(S7,Lists!$C:$E,3,0),0)</f>
        <v>1.89697</v>
      </c>
      <c r="V7" s="61">
        <f t="shared" si="6"/>
        <v>7564</v>
      </c>
      <c r="W7" s="45">
        <v>7564</v>
      </c>
      <c r="X7" s="33">
        <v>651</v>
      </c>
    </row>
    <row r="8" spans="1:24" x14ac:dyDescent="0.25">
      <c r="A8" s="16" t="str">
        <f t="shared" si="0"/>
        <v>January</v>
      </c>
      <c r="B8" s="31">
        <v>43839</v>
      </c>
      <c r="C8" s="32" t="s">
        <v>25</v>
      </c>
      <c r="D8" s="9" t="str">
        <f t="shared" si="1"/>
        <v>43839 - 1S</v>
      </c>
      <c r="E8" s="32" t="s">
        <v>9</v>
      </c>
      <c r="F8" s="2">
        <v>8000035</v>
      </c>
      <c r="G8" s="4" t="str">
        <f>IFERROR(VLOOKUP(F8,Lists!$C:$D,2,0), "N/A")</f>
        <v>TURTLES MILK CHOC ORIGINAL</v>
      </c>
      <c r="H8" s="26">
        <f>IFERROR(VLOOKUP(F8,Lists!$C:$E,3,0),0)</f>
        <v>1.89697</v>
      </c>
      <c r="I8" s="61">
        <f t="shared" si="2"/>
        <v>9789.6</v>
      </c>
      <c r="J8" s="45">
        <v>9789.6</v>
      </c>
      <c r="K8" s="33">
        <v>211</v>
      </c>
      <c r="L8" s="5">
        <f t="shared" si="3"/>
        <v>2.1553485331372066E-2</v>
      </c>
      <c r="N8" s="16" t="str">
        <f t="shared" si="4"/>
        <v>January</v>
      </c>
      <c r="O8" s="31">
        <v>43839</v>
      </c>
      <c r="P8" s="32" t="s">
        <v>26</v>
      </c>
      <c r="Q8" s="9" t="str">
        <f t="shared" si="5"/>
        <v>43839 - 2S</v>
      </c>
      <c r="R8" s="32" t="s">
        <v>9</v>
      </c>
      <c r="S8" s="2">
        <v>8000035</v>
      </c>
      <c r="T8" s="4" t="str">
        <f>IFERROR(VLOOKUP(S8,Lists!$C:$D,2,0), "N/A")</f>
        <v>TURTLES MILK CHOC ORIGINAL</v>
      </c>
      <c r="U8" s="26">
        <f>IFERROR(VLOOKUP(S8,Lists!$C:$E,3,0),0)</f>
        <v>1.89697</v>
      </c>
      <c r="V8" s="61">
        <f t="shared" si="6"/>
        <v>7564</v>
      </c>
      <c r="W8" s="45">
        <v>7564</v>
      </c>
      <c r="X8" s="33">
        <v>299</v>
      </c>
    </row>
    <row r="9" spans="1:24" x14ac:dyDescent="0.25">
      <c r="A9" s="16" t="str">
        <f t="shared" si="0"/>
        <v>January</v>
      </c>
      <c r="B9" s="31">
        <v>43840</v>
      </c>
      <c r="C9" s="32" t="s">
        <v>25</v>
      </c>
      <c r="D9" s="9" t="str">
        <f t="shared" si="1"/>
        <v>43840 - 1S</v>
      </c>
      <c r="E9" s="32" t="s">
        <v>9</v>
      </c>
      <c r="F9" s="2">
        <v>8000035</v>
      </c>
      <c r="G9" s="4" t="str">
        <f>IFERROR(VLOOKUP(F9,Lists!$C:$D,2,0), "N/A")</f>
        <v>TURTLES MILK CHOC ORIGINAL</v>
      </c>
      <c r="H9" s="26">
        <f>IFERROR(VLOOKUP(F9,Lists!$C:$E,3,0),0)</f>
        <v>1.89697</v>
      </c>
      <c r="I9" s="61">
        <f t="shared" si="2"/>
        <v>10589.6</v>
      </c>
      <c r="J9" s="45">
        <v>10589.6</v>
      </c>
      <c r="K9" s="33">
        <v>350</v>
      </c>
      <c r="L9" s="5">
        <f t="shared" si="3"/>
        <v>3.3051295610787942E-2</v>
      </c>
      <c r="N9" s="16" t="str">
        <f t="shared" si="4"/>
        <v>January</v>
      </c>
      <c r="O9" s="31">
        <v>43840</v>
      </c>
      <c r="P9" s="32" t="s">
        <v>26</v>
      </c>
      <c r="Q9" s="9" t="str">
        <f t="shared" si="5"/>
        <v>43840 - 2S</v>
      </c>
      <c r="R9" s="32" t="s">
        <v>9</v>
      </c>
      <c r="S9" s="2">
        <v>8000035</v>
      </c>
      <c r="T9" s="4" t="str">
        <f>IFERROR(VLOOKUP(S9,Lists!$C:$D,2,0), "N/A")</f>
        <v>TURTLES MILK CHOC ORIGINAL</v>
      </c>
      <c r="U9" s="26">
        <f>IFERROR(VLOOKUP(S9,Lists!$C:$E,3,0),0)</f>
        <v>1.89697</v>
      </c>
      <c r="V9" s="61">
        <f t="shared" si="6"/>
        <v>0</v>
      </c>
      <c r="W9" s="45">
        <v>0</v>
      </c>
      <c r="X9" s="33">
        <v>148</v>
      </c>
    </row>
    <row r="10" spans="1:24" x14ac:dyDescent="0.25">
      <c r="A10" s="16" t="str">
        <f t="shared" si="0"/>
        <v>January</v>
      </c>
      <c r="B10" s="31">
        <v>43843</v>
      </c>
      <c r="C10" s="32" t="s">
        <v>25</v>
      </c>
      <c r="D10" s="9" t="str">
        <f t="shared" si="1"/>
        <v>43843 - 1S</v>
      </c>
      <c r="E10" s="32" t="s">
        <v>9</v>
      </c>
      <c r="F10" s="2">
        <v>8000035</v>
      </c>
      <c r="G10" s="4" t="str">
        <f>IFERROR(VLOOKUP(F10,Lists!$C:$D,2,0), "N/A")</f>
        <v>TURTLES MILK CHOC ORIGINAL</v>
      </c>
      <c r="H10" s="26">
        <f>IFERROR(VLOOKUP(F10,Lists!$C:$E,3,0),0)</f>
        <v>1.89697</v>
      </c>
      <c r="I10" s="61">
        <f t="shared" si="2"/>
        <v>9266.4</v>
      </c>
      <c r="J10" s="45">
        <v>9266.4</v>
      </c>
      <c r="K10" s="33">
        <v>265</v>
      </c>
      <c r="L10" s="5">
        <f t="shared" si="3"/>
        <v>2.8597945264611933E-2</v>
      </c>
      <c r="N10" s="16" t="str">
        <f t="shared" si="4"/>
        <v>January</v>
      </c>
      <c r="O10" s="31">
        <v>43843</v>
      </c>
      <c r="P10" s="32" t="s">
        <v>26</v>
      </c>
      <c r="Q10" s="9" t="str">
        <f t="shared" si="5"/>
        <v>43843 - 2S</v>
      </c>
      <c r="R10" s="32" t="s">
        <v>9</v>
      </c>
      <c r="S10" s="2">
        <v>8000035</v>
      </c>
      <c r="T10" s="4" t="str">
        <f>IFERROR(VLOOKUP(S10,Lists!$C:$D,2,0), "N/A")</f>
        <v>TURTLES MILK CHOC ORIGINAL</v>
      </c>
      <c r="U10" s="26">
        <f>IFERROR(VLOOKUP(S10,Lists!$C:$E,3,0),0)</f>
        <v>1.89697</v>
      </c>
      <c r="V10" s="61">
        <f t="shared" si="6"/>
        <v>7840.8</v>
      </c>
      <c r="W10" s="45">
        <v>7840.8</v>
      </c>
      <c r="X10" s="33">
        <v>505</v>
      </c>
    </row>
    <row r="11" spans="1:24" x14ac:dyDescent="0.25">
      <c r="A11" s="16" t="str">
        <f t="shared" si="0"/>
        <v>January</v>
      </c>
      <c r="B11" s="31">
        <v>43844</v>
      </c>
      <c r="C11" s="32" t="s">
        <v>25</v>
      </c>
      <c r="D11" s="9" t="str">
        <f t="shared" si="1"/>
        <v>43844 - 1S</v>
      </c>
      <c r="E11" s="32" t="s">
        <v>9</v>
      </c>
      <c r="F11" s="2">
        <v>8000035</v>
      </c>
      <c r="G11" s="4" t="str">
        <f>IFERROR(VLOOKUP(F11,Lists!$C:$D,2,0), "N/A")</f>
        <v>TURTLES MILK CHOC ORIGINAL</v>
      </c>
      <c r="H11" s="26">
        <f>IFERROR(VLOOKUP(F11,Lists!$C:$E,3,0),0)</f>
        <v>1.89697</v>
      </c>
      <c r="I11" s="61">
        <f t="shared" si="2"/>
        <v>6415.2</v>
      </c>
      <c r="J11" s="45">
        <v>6415.2</v>
      </c>
      <c r="K11" s="33">
        <v>413</v>
      </c>
      <c r="L11" s="5">
        <f t="shared" si="3"/>
        <v>6.437835141538846E-2</v>
      </c>
      <c r="N11" s="16" t="str">
        <f t="shared" si="4"/>
        <v>January</v>
      </c>
      <c r="O11" s="31">
        <v>43844</v>
      </c>
      <c r="P11" s="32" t="s">
        <v>26</v>
      </c>
      <c r="Q11" s="9" t="str">
        <f t="shared" si="5"/>
        <v>43844 - 2S</v>
      </c>
      <c r="R11" s="32" t="s">
        <v>9</v>
      </c>
      <c r="S11" s="2">
        <v>8000035</v>
      </c>
      <c r="T11" s="4" t="str">
        <f>IFERROR(VLOOKUP(S11,Lists!$C:$D,2,0), "N/A")</f>
        <v>TURTLES MILK CHOC ORIGINAL</v>
      </c>
      <c r="U11" s="26">
        <f>IFERROR(VLOOKUP(S11,Lists!$C:$E,3,0),0)</f>
        <v>1.89697</v>
      </c>
      <c r="V11" s="61">
        <f t="shared" si="6"/>
        <v>4989.6000000000004</v>
      </c>
      <c r="W11" s="45">
        <v>4989.6000000000004</v>
      </c>
      <c r="X11" s="33">
        <v>525</v>
      </c>
    </row>
    <row r="12" spans="1:24" x14ac:dyDescent="0.25">
      <c r="A12" s="16" t="str">
        <f t="shared" si="0"/>
        <v>January</v>
      </c>
      <c r="B12" s="31">
        <v>43845</v>
      </c>
      <c r="C12" s="32" t="s">
        <v>25</v>
      </c>
      <c r="D12" s="9" t="str">
        <f t="shared" si="1"/>
        <v>43845 - 1S</v>
      </c>
      <c r="E12" s="32" t="s">
        <v>9</v>
      </c>
      <c r="F12" s="2">
        <v>8000035</v>
      </c>
      <c r="G12" s="4" t="str">
        <f>IFERROR(VLOOKUP(F12,Lists!$C:$D,2,0), "N/A")</f>
        <v>TURTLES MILK CHOC ORIGINAL</v>
      </c>
      <c r="H12" s="26">
        <f>IFERROR(VLOOKUP(F12,Lists!$C:$E,3,0),0)</f>
        <v>1.89697</v>
      </c>
      <c r="I12" s="61">
        <f t="shared" si="2"/>
        <v>7128</v>
      </c>
      <c r="J12" s="45">
        <v>7128</v>
      </c>
      <c r="K12" s="33">
        <v>434</v>
      </c>
      <c r="L12" s="5">
        <f t="shared" si="3"/>
        <v>6.0886644219977554E-2</v>
      </c>
      <c r="N12" s="16" t="str">
        <f t="shared" si="4"/>
        <v>January</v>
      </c>
      <c r="O12" s="31">
        <v>43845</v>
      </c>
      <c r="P12" s="32" t="s">
        <v>26</v>
      </c>
      <c r="Q12" s="9" t="str">
        <f t="shared" si="5"/>
        <v>43845 - 2S</v>
      </c>
      <c r="R12" s="32" t="s">
        <v>9</v>
      </c>
      <c r="S12" s="2">
        <v>8000035</v>
      </c>
      <c r="T12" s="4" t="str">
        <f>IFERROR(VLOOKUP(S12,Lists!$C:$D,2,0), "N/A")</f>
        <v>TURTLES MILK CHOC ORIGINAL</v>
      </c>
      <c r="U12" s="26">
        <f>IFERROR(VLOOKUP(S12,Lists!$C:$E,3,0),0)</f>
        <v>1.89697</v>
      </c>
      <c r="V12" s="61">
        <f t="shared" si="6"/>
        <v>6415.2</v>
      </c>
      <c r="W12" s="45">
        <v>6415.2</v>
      </c>
      <c r="X12" s="33">
        <v>380</v>
      </c>
    </row>
    <row r="13" spans="1:24" x14ac:dyDescent="0.25">
      <c r="A13" s="16" t="str">
        <f t="shared" si="0"/>
        <v>January</v>
      </c>
      <c r="B13" s="31">
        <v>43846</v>
      </c>
      <c r="C13" s="32" t="s">
        <v>25</v>
      </c>
      <c r="D13" s="9" t="str">
        <f t="shared" si="1"/>
        <v>43846 - 1S</v>
      </c>
      <c r="E13" s="32" t="s">
        <v>9</v>
      </c>
      <c r="F13" s="2">
        <v>8000035</v>
      </c>
      <c r="G13" s="4" t="str">
        <f>IFERROR(VLOOKUP(F13,Lists!$C:$D,2,0), "N/A")</f>
        <v>TURTLES MILK CHOC ORIGINAL</v>
      </c>
      <c r="H13" s="26">
        <f>IFERROR(VLOOKUP(F13,Lists!$C:$E,3,0),0)</f>
        <v>1.89697</v>
      </c>
      <c r="I13" s="61">
        <f t="shared" si="2"/>
        <v>6415.2</v>
      </c>
      <c r="J13" s="45">
        <v>6415.2</v>
      </c>
      <c r="K13" s="33">
        <v>501</v>
      </c>
      <c r="L13" s="5">
        <f t="shared" si="3"/>
        <v>7.809577254021699E-2</v>
      </c>
      <c r="N13" s="16" t="str">
        <f t="shared" si="4"/>
        <v>January</v>
      </c>
      <c r="O13" s="31">
        <v>43846</v>
      </c>
      <c r="P13" s="32" t="s">
        <v>26</v>
      </c>
      <c r="Q13" s="9" t="str">
        <f t="shared" si="5"/>
        <v>43846 - 2S</v>
      </c>
      <c r="R13" s="32" t="s">
        <v>9</v>
      </c>
      <c r="S13" s="2">
        <v>8000035</v>
      </c>
      <c r="T13" s="4" t="str">
        <f>IFERROR(VLOOKUP(S13,Lists!$C:$D,2,0), "N/A")</f>
        <v>TURTLES MILK CHOC ORIGINAL</v>
      </c>
      <c r="U13" s="26">
        <f>IFERROR(VLOOKUP(S13,Lists!$C:$E,3,0),0)</f>
        <v>1.89697</v>
      </c>
      <c r="V13" s="61">
        <f t="shared" si="6"/>
        <v>5702.4</v>
      </c>
      <c r="W13" s="45">
        <v>5702.4</v>
      </c>
      <c r="X13" s="33">
        <v>396</v>
      </c>
    </row>
    <row r="14" spans="1:24" x14ac:dyDescent="0.25">
      <c r="A14" s="16" t="str">
        <f t="shared" si="0"/>
        <v>January</v>
      </c>
      <c r="B14" s="31">
        <v>43847</v>
      </c>
      <c r="C14" s="32" t="s">
        <v>25</v>
      </c>
      <c r="D14" s="9" t="str">
        <f t="shared" si="1"/>
        <v>43847 - 1S</v>
      </c>
      <c r="E14" s="32" t="s">
        <v>9</v>
      </c>
      <c r="F14" s="2">
        <v>8000035</v>
      </c>
      <c r="G14" s="4" t="str">
        <f>IFERROR(VLOOKUP(F14,Lists!$C:$D,2,0), "N/A")</f>
        <v>TURTLES MILK CHOC ORIGINAL</v>
      </c>
      <c r="H14" s="26">
        <f>IFERROR(VLOOKUP(F14,Lists!$C:$E,3,0),0)</f>
        <v>1.89697</v>
      </c>
      <c r="I14" s="61">
        <f t="shared" si="2"/>
        <v>1425.6</v>
      </c>
      <c r="J14" s="45">
        <v>1425.6</v>
      </c>
      <c r="K14" s="33">
        <v>358</v>
      </c>
      <c r="L14" s="5">
        <f t="shared" si="3"/>
        <v>0.25112233445566778</v>
      </c>
      <c r="N14" s="16" t="str">
        <f t="shared" si="4"/>
        <v>January</v>
      </c>
      <c r="O14" s="31">
        <v>43851</v>
      </c>
      <c r="P14" s="32" t="s">
        <v>26</v>
      </c>
      <c r="Q14" s="9" t="str">
        <f t="shared" si="5"/>
        <v>43851 - 2S</v>
      </c>
      <c r="R14" s="32" t="s">
        <v>9</v>
      </c>
      <c r="S14" s="2">
        <v>8000038</v>
      </c>
      <c r="T14" s="4" t="str">
        <f>IFERROR(VLOOKUP(S14,Lists!$C:$D,2,0), "N/A")</f>
        <v>TURTLES MILK CHOC PEC BITE SZ</v>
      </c>
      <c r="U14" s="26">
        <f>IFERROR(VLOOKUP(S14,Lists!$C:$E,3,0),0)</f>
        <v>1.9453399999999998</v>
      </c>
      <c r="V14" s="61">
        <f t="shared" si="6"/>
        <v>567.84</v>
      </c>
      <c r="W14" s="45">
        <v>567.84</v>
      </c>
      <c r="X14" s="33">
        <v>270</v>
      </c>
    </row>
    <row r="15" spans="1:24" x14ac:dyDescent="0.25">
      <c r="A15" s="16" t="str">
        <f t="shared" si="0"/>
        <v>January</v>
      </c>
      <c r="B15" s="31">
        <v>43852</v>
      </c>
      <c r="C15" s="32" t="s">
        <v>25</v>
      </c>
      <c r="D15" s="9" t="str">
        <f t="shared" si="1"/>
        <v>43852 - 1S</v>
      </c>
      <c r="E15" s="32" t="s">
        <v>9</v>
      </c>
      <c r="F15" s="2">
        <v>8000038</v>
      </c>
      <c r="G15" s="4" t="str">
        <f>IFERROR(VLOOKUP(F15,Lists!$C:$D,2,0), "N/A")</f>
        <v>TURTLES MILK CHOC PEC BITE SZ</v>
      </c>
      <c r="H15" s="26">
        <f>IFERROR(VLOOKUP(F15,Lists!$C:$E,3,0),0)</f>
        <v>1.9453399999999998</v>
      </c>
      <c r="I15" s="61">
        <f t="shared" si="2"/>
        <v>6246.24</v>
      </c>
      <c r="J15" s="45">
        <v>6246.24</v>
      </c>
      <c r="K15" s="33">
        <v>498</v>
      </c>
      <c r="L15" s="5">
        <f t="shared" si="3"/>
        <v>7.9727964343348959E-2</v>
      </c>
      <c r="N15" s="16" t="str">
        <f t="shared" si="4"/>
        <v>January</v>
      </c>
      <c r="O15" s="31">
        <v>43852</v>
      </c>
      <c r="P15" s="32" t="s">
        <v>26</v>
      </c>
      <c r="Q15" s="9" t="str">
        <f t="shared" si="5"/>
        <v>43852 - 2S</v>
      </c>
      <c r="R15" s="32" t="s">
        <v>9</v>
      </c>
      <c r="S15" s="2">
        <v>8000038</v>
      </c>
      <c r="T15" s="4" t="str">
        <f>IFERROR(VLOOKUP(S15,Lists!$C:$D,2,0), "N/A")</f>
        <v>TURTLES MILK CHOC PEC BITE SZ</v>
      </c>
      <c r="U15" s="26">
        <f>IFERROR(VLOOKUP(S15,Lists!$C:$E,3,0),0)</f>
        <v>1.9453399999999998</v>
      </c>
      <c r="V15" s="61">
        <f t="shared" si="6"/>
        <v>3974.88</v>
      </c>
      <c r="W15" s="45">
        <v>3974.88</v>
      </c>
      <c r="X15" s="33">
        <v>205</v>
      </c>
    </row>
    <row r="16" spans="1:24" x14ac:dyDescent="0.25">
      <c r="A16" s="16" t="str">
        <f t="shared" si="0"/>
        <v>January</v>
      </c>
      <c r="B16" s="31">
        <v>43853</v>
      </c>
      <c r="C16" s="32" t="s">
        <v>25</v>
      </c>
      <c r="D16" s="9" t="str">
        <f t="shared" si="1"/>
        <v>43853 - 1S</v>
      </c>
      <c r="E16" s="32" t="s">
        <v>9</v>
      </c>
      <c r="F16" s="2">
        <v>8000038</v>
      </c>
      <c r="G16" s="4" t="str">
        <f>IFERROR(VLOOKUP(F16,Lists!$C:$D,2,0), "N/A")</f>
        <v>TURTLES MILK CHOC PEC BITE SZ</v>
      </c>
      <c r="H16" s="26">
        <f>IFERROR(VLOOKUP(F16,Lists!$C:$E,3,0),0)</f>
        <v>1.9453399999999998</v>
      </c>
      <c r="I16" s="61">
        <f t="shared" si="2"/>
        <v>730.11</v>
      </c>
      <c r="J16" s="45">
        <v>730.11</v>
      </c>
      <c r="K16" s="33">
        <v>171</v>
      </c>
      <c r="L16" s="5">
        <f t="shared" si="3"/>
        <v>0.23421128323129392</v>
      </c>
      <c r="N16" s="16" t="str">
        <f t="shared" si="4"/>
        <v>January</v>
      </c>
      <c r="O16" s="31">
        <v>43853</v>
      </c>
      <c r="P16" s="32" t="s">
        <v>26</v>
      </c>
      <c r="Q16" s="9" t="str">
        <f t="shared" si="5"/>
        <v>43853 - 2S</v>
      </c>
      <c r="R16" s="32" t="s">
        <v>9</v>
      </c>
      <c r="S16" s="2">
        <v>8000038</v>
      </c>
      <c r="T16" s="4" t="str">
        <f>IFERROR(VLOOKUP(S16,Lists!$C:$D,2,0), "N/A")</f>
        <v>TURTLES MILK CHOC PEC BITE SZ</v>
      </c>
      <c r="U16" s="26">
        <f>IFERROR(VLOOKUP(S16,Lists!$C:$E,3,0),0)</f>
        <v>1.9453399999999998</v>
      </c>
      <c r="V16" s="61">
        <f t="shared" si="6"/>
        <v>3407.04</v>
      </c>
      <c r="W16" s="45">
        <v>3407.04</v>
      </c>
      <c r="X16" s="33">
        <v>562</v>
      </c>
    </row>
    <row r="17" spans="1:25" x14ac:dyDescent="0.25">
      <c r="A17" s="16" t="str">
        <f t="shared" si="0"/>
        <v>January</v>
      </c>
      <c r="B17" s="31">
        <v>43854</v>
      </c>
      <c r="C17" s="32" t="s">
        <v>25</v>
      </c>
      <c r="D17" s="9" t="str">
        <f t="shared" si="1"/>
        <v>43854 - 1S</v>
      </c>
      <c r="E17" s="32" t="s">
        <v>9</v>
      </c>
      <c r="F17" s="2">
        <v>8000038</v>
      </c>
      <c r="G17" s="4" t="str">
        <f>IFERROR(VLOOKUP(F17,Lists!$C:$D,2,0), "N/A")</f>
        <v>TURTLES MILK CHOC PEC BITE SZ</v>
      </c>
      <c r="H17" s="26">
        <f>IFERROR(VLOOKUP(F17,Lists!$C:$E,3,0),0)</f>
        <v>1.9453399999999998</v>
      </c>
      <c r="I17" s="61">
        <f t="shared" si="2"/>
        <v>1703.52</v>
      </c>
      <c r="J17" s="45">
        <v>1703.52</v>
      </c>
      <c r="K17" s="33">
        <v>120</v>
      </c>
      <c r="L17" s="5">
        <f t="shared" si="3"/>
        <v>7.0442378134685832E-2</v>
      </c>
      <c r="N17" s="16" t="str">
        <f t="shared" si="4"/>
        <v>January</v>
      </c>
      <c r="O17" s="31">
        <v>43857</v>
      </c>
      <c r="P17" s="32" t="s">
        <v>26</v>
      </c>
      <c r="Q17" s="9" t="str">
        <f t="shared" si="5"/>
        <v>43857 - 2S</v>
      </c>
      <c r="R17" s="32" t="s">
        <v>9</v>
      </c>
      <c r="S17" s="2">
        <v>8000038</v>
      </c>
      <c r="T17" s="4" t="str">
        <f>IFERROR(VLOOKUP(S17,Lists!$C:$D,2,0), "N/A")</f>
        <v>TURTLES MILK CHOC PEC BITE SZ</v>
      </c>
      <c r="U17" s="26">
        <f>IFERROR(VLOOKUP(S17,Lists!$C:$E,3,0),0)</f>
        <v>1.9453399999999998</v>
      </c>
      <c r="V17" s="61">
        <f t="shared" si="6"/>
        <v>3420</v>
      </c>
      <c r="W17" s="45">
        <v>3420</v>
      </c>
      <c r="X17" s="33">
        <v>531</v>
      </c>
    </row>
    <row r="18" spans="1:25" x14ac:dyDescent="0.25">
      <c r="A18" s="16" t="str">
        <f t="shared" si="0"/>
        <v>January</v>
      </c>
      <c r="B18" s="31">
        <v>43857</v>
      </c>
      <c r="C18" s="32" t="s">
        <v>25</v>
      </c>
      <c r="D18" s="9" t="str">
        <f t="shared" si="1"/>
        <v>43857 - 1S</v>
      </c>
      <c r="E18" s="32" t="s">
        <v>9</v>
      </c>
      <c r="F18" s="2">
        <v>8000038</v>
      </c>
      <c r="G18" s="4" t="str">
        <f>IFERROR(VLOOKUP(F18,Lists!$C:$D,2,0), "N/A")</f>
        <v>TURTLES MILK CHOC PEC BITE SZ</v>
      </c>
      <c r="H18" s="26">
        <f>IFERROR(VLOOKUP(F18,Lists!$C:$E,3,0),0)</f>
        <v>1.9453399999999998</v>
      </c>
      <c r="I18" s="61">
        <f t="shared" si="2"/>
        <v>5040</v>
      </c>
      <c r="J18" s="45">
        <v>5040</v>
      </c>
      <c r="K18" s="33">
        <v>67</v>
      </c>
      <c r="L18" s="5">
        <f t="shared" si="3"/>
        <v>1.3293650793650793E-2</v>
      </c>
      <c r="N18" s="16" t="str">
        <f t="shared" si="4"/>
        <v>January</v>
      </c>
      <c r="O18" s="31">
        <v>43858</v>
      </c>
      <c r="P18" s="32" t="s">
        <v>26</v>
      </c>
      <c r="Q18" s="9" t="str">
        <f t="shared" si="5"/>
        <v>43858 - 2S</v>
      </c>
      <c r="R18" s="32" t="s">
        <v>9</v>
      </c>
      <c r="S18" s="2">
        <v>8000038</v>
      </c>
      <c r="T18" s="4" t="str">
        <f>IFERROR(VLOOKUP(S18,Lists!$C:$D,2,0), "N/A")</f>
        <v>TURTLES MILK CHOC PEC BITE SZ</v>
      </c>
      <c r="U18" s="26">
        <f>IFERROR(VLOOKUP(S18,Lists!$C:$E,3,0),0)</f>
        <v>1.9453399999999998</v>
      </c>
      <c r="V18" s="61">
        <f t="shared" si="6"/>
        <v>7200</v>
      </c>
      <c r="W18" s="45">
        <v>7200</v>
      </c>
      <c r="X18" s="33">
        <v>433</v>
      </c>
    </row>
    <row r="19" spans="1:25" x14ac:dyDescent="0.25">
      <c r="A19" s="16" t="str">
        <f t="shared" si="0"/>
        <v>January</v>
      </c>
      <c r="B19" s="31">
        <v>43858</v>
      </c>
      <c r="C19" s="32" t="s">
        <v>25</v>
      </c>
      <c r="D19" s="9" t="str">
        <f t="shared" si="1"/>
        <v>43858 - 1S</v>
      </c>
      <c r="E19" s="32" t="s">
        <v>9</v>
      </c>
      <c r="F19" s="2">
        <v>8000038</v>
      </c>
      <c r="G19" s="4" t="str">
        <f>IFERROR(VLOOKUP(F19,Lists!$C:$D,2,0), "N/A")</f>
        <v>TURTLES MILK CHOC PEC BITE SZ</v>
      </c>
      <c r="H19" s="26">
        <f>IFERROR(VLOOKUP(F19,Lists!$C:$E,3,0),0)</f>
        <v>1.9453399999999998</v>
      </c>
      <c r="I19" s="61">
        <f t="shared" si="2"/>
        <v>7200</v>
      </c>
      <c r="J19" s="45">
        <v>7200</v>
      </c>
      <c r="K19" s="33">
        <v>257</v>
      </c>
      <c r="L19" s="5">
        <f t="shared" si="3"/>
        <v>3.5694444444444445E-2</v>
      </c>
      <c r="N19" s="16" t="str">
        <f t="shared" si="4"/>
        <v>January</v>
      </c>
      <c r="O19" s="31">
        <v>43859</v>
      </c>
      <c r="P19" s="32" t="s">
        <v>26</v>
      </c>
      <c r="Q19" s="9" t="str">
        <f t="shared" si="5"/>
        <v>43859 - 2S</v>
      </c>
      <c r="R19" s="32" t="s">
        <v>9</v>
      </c>
      <c r="S19" s="2">
        <v>8000038</v>
      </c>
      <c r="T19" s="4" t="str">
        <f>IFERROR(VLOOKUP(S19,Lists!$C:$D,2,0), "N/A")</f>
        <v>TURTLES MILK CHOC PEC BITE SZ</v>
      </c>
      <c r="U19" s="26">
        <f>IFERROR(VLOOKUP(S19,Lists!$C:$E,3,0),0)</f>
        <v>1.9453399999999998</v>
      </c>
      <c r="V19" s="61">
        <f t="shared" si="6"/>
        <v>5760</v>
      </c>
      <c r="W19" s="45">
        <v>5760</v>
      </c>
      <c r="X19" s="33">
        <v>466</v>
      </c>
    </row>
    <row r="20" spans="1:25" x14ac:dyDescent="0.25">
      <c r="A20" s="16" t="str">
        <f t="shared" si="0"/>
        <v>January</v>
      </c>
      <c r="B20" s="31">
        <v>43859</v>
      </c>
      <c r="C20" s="32" t="s">
        <v>25</v>
      </c>
      <c r="D20" s="9" t="str">
        <f t="shared" si="1"/>
        <v>43859 - 1S</v>
      </c>
      <c r="E20" s="32" t="s">
        <v>9</v>
      </c>
      <c r="F20" s="2">
        <v>8000038</v>
      </c>
      <c r="G20" s="4" t="str">
        <f>IFERROR(VLOOKUP(F20,Lists!$C:$D,2,0), "N/A")</f>
        <v>TURTLES MILK CHOC PEC BITE SZ</v>
      </c>
      <c r="H20" s="26">
        <f>IFERROR(VLOOKUP(F20,Lists!$C:$E,3,0),0)</f>
        <v>1.9453399999999998</v>
      </c>
      <c r="I20" s="61">
        <f t="shared" si="2"/>
        <v>6480</v>
      </c>
      <c r="J20" s="45">
        <v>6480</v>
      </c>
      <c r="K20" s="33">
        <v>303</v>
      </c>
      <c r="L20" s="5">
        <f t="shared" si="3"/>
        <v>4.6759259259259257E-2</v>
      </c>
      <c r="N20" s="16" t="str">
        <f t="shared" si="4"/>
        <v>January</v>
      </c>
      <c r="O20" s="31">
        <v>43860</v>
      </c>
      <c r="P20" s="32" t="s">
        <v>26</v>
      </c>
      <c r="Q20" s="9" t="str">
        <f t="shared" si="5"/>
        <v>43860 - 2S</v>
      </c>
      <c r="R20" s="32" t="s">
        <v>9</v>
      </c>
      <c r="S20" s="2">
        <v>8000038</v>
      </c>
      <c r="T20" s="4" t="str">
        <f>IFERROR(VLOOKUP(S20,Lists!$C:$D,2,0), "N/A")</f>
        <v>TURTLES MILK CHOC PEC BITE SZ</v>
      </c>
      <c r="U20" s="26">
        <f>IFERROR(VLOOKUP(S20,Lists!$C:$E,3,0),0)</f>
        <v>1.9453399999999998</v>
      </c>
      <c r="V20" s="61">
        <f t="shared" si="6"/>
        <v>7200</v>
      </c>
      <c r="W20" s="45">
        <v>7200</v>
      </c>
      <c r="X20" s="33">
        <v>350</v>
      </c>
    </row>
    <row r="21" spans="1:25" x14ac:dyDescent="0.25">
      <c r="A21" s="16" t="str">
        <f t="shared" si="0"/>
        <v>January</v>
      </c>
      <c r="B21" s="31">
        <v>43860</v>
      </c>
      <c r="C21" s="32" t="s">
        <v>25</v>
      </c>
      <c r="D21" s="9" t="str">
        <f t="shared" si="1"/>
        <v>43860 - 1S</v>
      </c>
      <c r="E21" s="32" t="s">
        <v>9</v>
      </c>
      <c r="F21" s="2">
        <v>8000038</v>
      </c>
      <c r="G21" s="4" t="str">
        <f>IFERROR(VLOOKUP(F21,Lists!$C:$D,2,0), "N/A")</f>
        <v>TURTLES MILK CHOC PEC BITE SZ</v>
      </c>
      <c r="H21" s="26">
        <f>IFERROR(VLOOKUP(F21,Lists!$C:$E,3,0),0)</f>
        <v>1.9453399999999998</v>
      </c>
      <c r="I21" s="61">
        <f t="shared" si="2"/>
        <v>7200</v>
      </c>
      <c r="J21" s="45">
        <v>7200</v>
      </c>
      <c r="K21" s="33">
        <v>215</v>
      </c>
      <c r="L21" s="5">
        <f t="shared" si="3"/>
        <v>2.9861111111111113E-2</v>
      </c>
      <c r="W21" s="18">
        <f>SUM(W3:W20)</f>
        <v>101296.53</v>
      </c>
      <c r="X21" s="18">
        <f>SUM(X3:X20)</f>
        <v>7138</v>
      </c>
      <c r="Y21" s="62">
        <f>X21/W21</f>
        <v>7.0466382214672107E-2</v>
      </c>
    </row>
    <row r="22" spans="1:25" x14ac:dyDescent="0.25">
      <c r="J22" s="18">
        <f>SUM(J3:J21)</f>
        <v>125973.63</v>
      </c>
      <c r="K22" s="18">
        <f>SUM(K3:K21)</f>
        <v>6036</v>
      </c>
      <c r="L22" s="5">
        <f>K22/J22</f>
        <v>4.7914789785767069E-2</v>
      </c>
    </row>
    <row r="24" spans="1:25" x14ac:dyDescent="0.25">
      <c r="A24" s="16" t="str">
        <f t="shared" ref="A24:A32" si="7">TEXT(B24,"mmmm")</f>
        <v>February</v>
      </c>
      <c r="B24" s="31">
        <v>43864</v>
      </c>
      <c r="C24" s="32" t="s">
        <v>25</v>
      </c>
      <c r="D24" s="9" t="str">
        <f t="shared" ref="D24:D32" si="8">CONCATENATE(B24," - ",C24)</f>
        <v>43864 - 1S</v>
      </c>
      <c r="E24" s="32" t="s">
        <v>9</v>
      </c>
      <c r="F24" s="2">
        <v>8000035</v>
      </c>
      <c r="G24" s="4" t="str">
        <f>IFERROR(VLOOKUP(F24,Lists!$C:$D,2,0), "N/A")</f>
        <v>TURTLES MILK CHOC ORIGINAL</v>
      </c>
      <c r="H24" s="26">
        <f>IFERROR(VLOOKUP(F24,Lists!$C:$F,4,0),0)</f>
        <v>1.91178</v>
      </c>
      <c r="I24" s="61">
        <f t="shared" ref="I24:I32" si="9">J24+K24</f>
        <v>3566</v>
      </c>
      <c r="J24" s="45">
        <v>3281</v>
      </c>
      <c r="K24" s="33">
        <v>285</v>
      </c>
      <c r="L24" s="5">
        <f t="shared" ref="L24:L32" si="10">IFERROR((K24/J24),1)</f>
        <v>8.686376104846083E-2</v>
      </c>
      <c r="N24" s="16" t="str">
        <f t="shared" ref="N24:N39" si="11">TEXT(O24,"mmmm")</f>
        <v>February</v>
      </c>
      <c r="O24" s="31">
        <v>43864</v>
      </c>
      <c r="P24" s="32" t="s">
        <v>26</v>
      </c>
      <c r="Q24" s="9" t="str">
        <f t="shared" ref="Q24:Q39" si="12">CONCATENATE(O24," - ",P24)</f>
        <v>43864 - 2S</v>
      </c>
      <c r="R24" s="32" t="s">
        <v>9</v>
      </c>
      <c r="S24" s="2">
        <v>8000035</v>
      </c>
      <c r="T24" s="4" t="str">
        <f>IFERROR(VLOOKUP(S24,Lists!$C:$D,2,0), "N/A")</f>
        <v>TURTLES MILK CHOC ORIGINAL</v>
      </c>
      <c r="U24" s="26">
        <f>IFERROR(VLOOKUP(S24,Lists!$C:$F,4,0),0)</f>
        <v>1.91178</v>
      </c>
      <c r="V24" s="61">
        <f t="shared" ref="V24:V39" si="13">W24+X24</f>
        <v>9970</v>
      </c>
      <c r="W24" s="45">
        <v>9619</v>
      </c>
      <c r="X24" s="33">
        <v>351</v>
      </c>
    </row>
    <row r="25" spans="1:25" x14ac:dyDescent="0.25">
      <c r="A25" s="16" t="str">
        <f t="shared" si="7"/>
        <v>February</v>
      </c>
      <c r="B25" s="31">
        <v>43865</v>
      </c>
      <c r="C25" s="32" t="s">
        <v>25</v>
      </c>
      <c r="D25" s="9" t="str">
        <f t="shared" si="8"/>
        <v>43865 - 1S</v>
      </c>
      <c r="E25" s="32" t="s">
        <v>9</v>
      </c>
      <c r="F25" s="2">
        <v>8000035</v>
      </c>
      <c r="G25" s="4" t="str">
        <f>IFERROR(VLOOKUP(F25,Lists!$C:$D,2,0), "N/A")</f>
        <v>TURTLES MILK CHOC ORIGINAL</v>
      </c>
      <c r="H25" s="26">
        <f>IFERROR(VLOOKUP(F25,Lists!$C:$F,4,0),0)</f>
        <v>1.91178</v>
      </c>
      <c r="I25" s="61">
        <f t="shared" si="9"/>
        <v>831</v>
      </c>
      <c r="J25" s="45">
        <v>817</v>
      </c>
      <c r="K25" s="33">
        <v>14</v>
      </c>
      <c r="L25" s="5">
        <f t="shared" si="10"/>
        <v>1.7135862913096694E-2</v>
      </c>
      <c r="N25" s="16" t="str">
        <f t="shared" si="11"/>
        <v>February</v>
      </c>
      <c r="O25" s="31">
        <v>43865</v>
      </c>
      <c r="P25" s="32" t="s">
        <v>26</v>
      </c>
      <c r="Q25" s="9" t="str">
        <f t="shared" si="12"/>
        <v>43865 - 2S</v>
      </c>
      <c r="R25" s="32" t="s">
        <v>9</v>
      </c>
      <c r="S25" s="2">
        <v>8000035</v>
      </c>
      <c r="T25" s="4" t="str">
        <f>IFERROR(VLOOKUP(S25,Lists!$C:$D,2,0), "N/A")</f>
        <v>TURTLES MILK CHOC ORIGINAL</v>
      </c>
      <c r="U25" s="26">
        <f>IFERROR(VLOOKUP(S25,Lists!$C:$F,4,0),0)</f>
        <v>1.91178</v>
      </c>
      <c r="V25" s="61">
        <f t="shared" si="13"/>
        <v>9120</v>
      </c>
      <c r="W25" s="45">
        <v>8819</v>
      </c>
      <c r="X25" s="33">
        <v>301</v>
      </c>
    </row>
    <row r="26" spans="1:25" x14ac:dyDescent="0.25">
      <c r="A26" s="16" t="str">
        <f t="shared" si="7"/>
        <v>February</v>
      </c>
      <c r="B26" s="31">
        <v>43866</v>
      </c>
      <c r="C26" s="32" t="s">
        <v>25</v>
      </c>
      <c r="D26" s="9" t="str">
        <f t="shared" si="8"/>
        <v>43866 - 1S</v>
      </c>
      <c r="E26" s="32" t="s">
        <v>9</v>
      </c>
      <c r="F26" s="2">
        <v>8000035</v>
      </c>
      <c r="G26" s="4" t="str">
        <f>IFERROR(VLOOKUP(F26,Lists!$C:$D,2,0), "N/A")</f>
        <v>TURTLES MILK CHOC ORIGINAL</v>
      </c>
      <c r="H26" s="26">
        <f>IFERROR(VLOOKUP(F26,Lists!$C:$F,4,0),0)</f>
        <v>1.91178</v>
      </c>
      <c r="I26" s="61">
        <f t="shared" si="9"/>
        <v>12122</v>
      </c>
      <c r="J26" s="45">
        <v>11910</v>
      </c>
      <c r="K26" s="33">
        <v>212</v>
      </c>
      <c r="L26" s="5">
        <f t="shared" si="10"/>
        <v>1.7800167926112512E-2</v>
      </c>
      <c r="N26" s="16" t="str">
        <f t="shared" si="11"/>
        <v>February</v>
      </c>
      <c r="O26" s="31">
        <v>43866</v>
      </c>
      <c r="P26" s="32" t="s">
        <v>26</v>
      </c>
      <c r="Q26" s="9" t="str">
        <f t="shared" si="12"/>
        <v>43866 - 2S</v>
      </c>
      <c r="R26" s="32" t="s">
        <v>9</v>
      </c>
      <c r="S26" s="2">
        <v>8000035</v>
      </c>
      <c r="T26" s="4" t="str">
        <f>IFERROR(VLOOKUP(S26,Lists!$C:$D,2,0), "N/A")</f>
        <v>TURTLES MILK CHOC ORIGINAL</v>
      </c>
      <c r="U26" s="26">
        <f>IFERROR(VLOOKUP(S26,Lists!$C:$F,4,0),0)</f>
        <v>1.91178</v>
      </c>
      <c r="V26" s="61">
        <f t="shared" si="13"/>
        <v>6686</v>
      </c>
      <c r="W26" s="45">
        <v>6382</v>
      </c>
      <c r="X26" s="33">
        <v>304</v>
      </c>
    </row>
    <row r="27" spans="1:25" x14ac:dyDescent="0.25">
      <c r="A27" s="16" t="str">
        <f t="shared" si="7"/>
        <v>February</v>
      </c>
      <c r="B27" s="31">
        <v>43867</v>
      </c>
      <c r="C27" s="32" t="s">
        <v>25</v>
      </c>
      <c r="D27" s="9" t="str">
        <f t="shared" si="8"/>
        <v>43867 - 1S</v>
      </c>
      <c r="E27" s="32" t="s">
        <v>9</v>
      </c>
      <c r="F27" s="2">
        <v>8000035</v>
      </c>
      <c r="G27" s="4" t="str">
        <f>IFERROR(VLOOKUP(F27,Lists!$C:$D,2,0), "N/A")</f>
        <v>TURTLES MILK CHOC ORIGINAL</v>
      </c>
      <c r="H27" s="26">
        <f>IFERROR(VLOOKUP(F27,Lists!$C:$F,4,0),0)</f>
        <v>1.91178</v>
      </c>
      <c r="I27" s="61">
        <f t="shared" si="9"/>
        <v>5188</v>
      </c>
      <c r="J27" s="45">
        <v>5065</v>
      </c>
      <c r="K27" s="33">
        <v>123</v>
      </c>
      <c r="L27" s="5">
        <f t="shared" si="10"/>
        <v>2.428430404738401E-2</v>
      </c>
      <c r="N27" s="16" t="str">
        <f t="shared" si="11"/>
        <v>February</v>
      </c>
      <c r="O27" s="31">
        <v>43867</v>
      </c>
      <c r="P27" s="32" t="s">
        <v>26</v>
      </c>
      <c r="Q27" s="9" t="str">
        <f t="shared" si="12"/>
        <v>43867 - 2S</v>
      </c>
      <c r="R27" s="32" t="s">
        <v>9</v>
      </c>
      <c r="S27" s="2">
        <v>8000035</v>
      </c>
      <c r="T27" s="4" t="str">
        <f>IFERROR(VLOOKUP(S27,Lists!$C:$D,2,0), "N/A")</f>
        <v>TURTLES MILK CHOC ORIGINAL</v>
      </c>
      <c r="U27" s="26">
        <f>IFERROR(VLOOKUP(S27,Lists!$C:$F,4,0),0)</f>
        <v>1.91178</v>
      </c>
      <c r="V27" s="61">
        <f t="shared" si="13"/>
        <v>5134</v>
      </c>
      <c r="W27" s="45">
        <v>4968</v>
      </c>
      <c r="X27" s="33">
        <v>166</v>
      </c>
    </row>
    <row r="28" spans="1:25" x14ac:dyDescent="0.25">
      <c r="A28" s="16" t="str">
        <f t="shared" si="7"/>
        <v>February</v>
      </c>
      <c r="B28" s="31">
        <v>43868</v>
      </c>
      <c r="C28" s="32" t="s">
        <v>25</v>
      </c>
      <c r="D28" s="9" t="str">
        <f t="shared" si="8"/>
        <v>43868 - 1S</v>
      </c>
      <c r="E28" s="32" t="s">
        <v>9</v>
      </c>
      <c r="F28" s="2">
        <v>8000035</v>
      </c>
      <c r="G28" s="4" t="str">
        <f>IFERROR(VLOOKUP(F28,Lists!$C:$D,2,0), "N/A")</f>
        <v>TURTLES MILK CHOC ORIGINAL</v>
      </c>
      <c r="H28" s="26">
        <f>IFERROR(VLOOKUP(F28,Lists!$C:$F,4,0),0)</f>
        <v>1.91178</v>
      </c>
      <c r="I28" s="61">
        <f t="shared" si="9"/>
        <v>7429</v>
      </c>
      <c r="J28" s="45">
        <v>7128</v>
      </c>
      <c r="K28" s="33">
        <v>301</v>
      </c>
      <c r="L28" s="5">
        <f t="shared" si="10"/>
        <v>4.2227833894500563E-2</v>
      </c>
      <c r="N28" s="16" t="str">
        <f t="shared" si="11"/>
        <v>February</v>
      </c>
      <c r="O28" s="31">
        <v>43871</v>
      </c>
      <c r="P28" s="32" t="s">
        <v>26</v>
      </c>
      <c r="Q28" s="9" t="str">
        <f t="shared" si="12"/>
        <v>43871 - 2S</v>
      </c>
      <c r="R28" s="32" t="s">
        <v>9</v>
      </c>
      <c r="S28" s="2">
        <v>8000046</v>
      </c>
      <c r="T28" s="4" t="str">
        <f>IFERROR(VLOOKUP(S28,Lists!$C:$D,2,0), "N/A")</f>
        <v>TURTLES MC SEA SALT PECAN</v>
      </c>
      <c r="U28" s="26">
        <f>IFERROR(VLOOKUP(S28,Lists!$C:$F,4,0),0)</f>
        <v>1.9184100000000002</v>
      </c>
      <c r="V28" s="61">
        <f t="shared" si="13"/>
        <v>5873</v>
      </c>
      <c r="W28" s="45">
        <v>5702</v>
      </c>
      <c r="X28" s="33">
        <v>171</v>
      </c>
    </row>
    <row r="29" spans="1:25" x14ac:dyDescent="0.25">
      <c r="A29" s="16" t="str">
        <f t="shared" si="7"/>
        <v>February</v>
      </c>
      <c r="B29" s="31">
        <v>43871</v>
      </c>
      <c r="C29" s="32" t="s">
        <v>25</v>
      </c>
      <c r="D29" s="9" t="str">
        <f t="shared" si="8"/>
        <v>43871 - 1S</v>
      </c>
      <c r="E29" s="32" t="s">
        <v>9</v>
      </c>
      <c r="F29" s="2">
        <v>8000046</v>
      </c>
      <c r="G29" s="4" t="str">
        <f>IFERROR(VLOOKUP(F29,Lists!$C:$D,2,0), "N/A")</f>
        <v>TURTLES MC SEA SALT PECAN</v>
      </c>
      <c r="H29" s="26">
        <f>IFERROR(VLOOKUP(F29,Lists!$C:$F,4,0),0)</f>
        <v>1.9184100000000002</v>
      </c>
      <c r="I29" s="61">
        <f t="shared" si="9"/>
        <v>5919</v>
      </c>
      <c r="J29" s="45">
        <v>5702</v>
      </c>
      <c r="K29" s="33">
        <v>217</v>
      </c>
      <c r="L29" s="5">
        <f t="shared" si="10"/>
        <v>3.8056822167660473E-2</v>
      </c>
      <c r="N29" s="16" t="str">
        <f t="shared" si="11"/>
        <v>February</v>
      </c>
      <c r="O29" s="31">
        <v>43872</v>
      </c>
      <c r="P29" s="32" t="s">
        <v>26</v>
      </c>
      <c r="Q29" s="9" t="str">
        <f t="shared" si="12"/>
        <v>43872 - 2S</v>
      </c>
      <c r="R29" s="32" t="s">
        <v>9</v>
      </c>
      <c r="S29" s="2">
        <v>8000046</v>
      </c>
      <c r="T29" s="4" t="str">
        <f>IFERROR(VLOOKUP(S29,Lists!$C:$D,2,0), "N/A")</f>
        <v>TURTLES MC SEA SALT PECAN</v>
      </c>
      <c r="U29" s="26">
        <f>IFERROR(VLOOKUP(S29,Lists!$C:$F,4,0),0)</f>
        <v>1.9184100000000002</v>
      </c>
      <c r="V29" s="61">
        <f t="shared" si="13"/>
        <v>5877</v>
      </c>
      <c r="W29" s="45">
        <v>5702</v>
      </c>
      <c r="X29" s="33">
        <v>175</v>
      </c>
    </row>
    <row r="30" spans="1:25" x14ac:dyDescent="0.25">
      <c r="A30" s="16" t="str">
        <f t="shared" si="7"/>
        <v>February</v>
      </c>
      <c r="B30" s="31">
        <v>43872</v>
      </c>
      <c r="C30" s="32" t="s">
        <v>25</v>
      </c>
      <c r="D30" s="9" t="str">
        <f t="shared" si="8"/>
        <v>43872 - 1S</v>
      </c>
      <c r="E30" s="32" t="s">
        <v>9</v>
      </c>
      <c r="F30" s="2">
        <v>8000046</v>
      </c>
      <c r="G30" s="4" t="str">
        <f>IFERROR(VLOOKUP(F30,Lists!$C:$D,2,0), "N/A")</f>
        <v>TURTLES MC SEA SALT PECAN</v>
      </c>
      <c r="H30" s="26">
        <f>IFERROR(VLOOKUP(F30,Lists!$C:$F,4,0),0)</f>
        <v>1.9184100000000002</v>
      </c>
      <c r="I30" s="61">
        <f t="shared" si="9"/>
        <v>7290</v>
      </c>
      <c r="J30" s="45">
        <v>7128</v>
      </c>
      <c r="K30" s="33">
        <v>162</v>
      </c>
      <c r="L30" s="5">
        <f t="shared" si="10"/>
        <v>2.2727272727272728E-2</v>
      </c>
      <c r="N30" s="16" t="str">
        <f t="shared" si="11"/>
        <v>February</v>
      </c>
      <c r="O30" s="31">
        <v>43873</v>
      </c>
      <c r="P30" s="32" t="s">
        <v>26</v>
      </c>
      <c r="Q30" s="9" t="str">
        <f t="shared" si="12"/>
        <v>43873 - 2S</v>
      </c>
      <c r="R30" s="32" t="s">
        <v>9</v>
      </c>
      <c r="S30" s="2">
        <v>8000035</v>
      </c>
      <c r="T30" s="4" t="str">
        <f>IFERROR(VLOOKUP(S30,Lists!$C:$D,2,0), "N/A")</f>
        <v>TURTLES MILK CHOC ORIGINAL</v>
      </c>
      <c r="U30" s="26">
        <f>IFERROR(VLOOKUP(S30,Lists!$C:$F,4,0),0)</f>
        <v>1.91178</v>
      </c>
      <c r="V30" s="61">
        <f t="shared" si="13"/>
        <v>6115</v>
      </c>
      <c r="W30" s="45">
        <v>5972</v>
      </c>
      <c r="X30" s="33">
        <v>143</v>
      </c>
    </row>
    <row r="31" spans="1:25" x14ac:dyDescent="0.25">
      <c r="A31" s="16" t="str">
        <f t="shared" si="7"/>
        <v>February</v>
      </c>
      <c r="B31" s="31">
        <v>43873</v>
      </c>
      <c r="C31" s="32" t="s">
        <v>25</v>
      </c>
      <c r="D31" s="9" t="str">
        <f t="shared" si="8"/>
        <v>43873 - 1S</v>
      </c>
      <c r="E31" s="32" t="s">
        <v>9</v>
      </c>
      <c r="F31" s="2">
        <v>8000035</v>
      </c>
      <c r="G31" s="4" t="str">
        <f>IFERROR(VLOOKUP(F31,Lists!$C:$D,2,0), "N/A")</f>
        <v>TURTLES MILK CHOC ORIGINAL</v>
      </c>
      <c r="H31" s="26">
        <f>IFERROR(VLOOKUP(F31,Lists!$C:$F,4,0),0)</f>
        <v>1.91178</v>
      </c>
      <c r="I31" s="61">
        <f t="shared" si="9"/>
        <v>2711</v>
      </c>
      <c r="J31" s="45">
        <v>2644</v>
      </c>
      <c r="K31" s="33">
        <v>67</v>
      </c>
      <c r="L31" s="5">
        <f t="shared" si="10"/>
        <v>2.5340393343419063E-2</v>
      </c>
      <c r="N31" s="16" t="str">
        <f t="shared" si="11"/>
        <v>February</v>
      </c>
      <c r="O31" s="31">
        <v>43874</v>
      </c>
      <c r="P31" s="32" t="s">
        <v>26</v>
      </c>
      <c r="Q31" s="9" t="str">
        <f t="shared" si="12"/>
        <v>43874 - 2S</v>
      </c>
      <c r="R31" s="32" t="s">
        <v>9</v>
      </c>
      <c r="S31" s="2">
        <v>8000035</v>
      </c>
      <c r="T31" s="4" t="str">
        <f>IFERROR(VLOOKUP(S31,Lists!$C:$D,2,0), "N/A")</f>
        <v>TURTLES MILK CHOC ORIGINAL</v>
      </c>
      <c r="U31" s="26">
        <f>IFERROR(VLOOKUP(S31,Lists!$C:$F,4,0),0)</f>
        <v>1.91178</v>
      </c>
      <c r="V31" s="61">
        <f t="shared" si="13"/>
        <v>6828</v>
      </c>
      <c r="W31" s="45">
        <v>6588</v>
      </c>
      <c r="X31" s="33">
        <v>240</v>
      </c>
    </row>
    <row r="32" spans="1:25" x14ac:dyDescent="0.25">
      <c r="A32" s="16" t="str">
        <f t="shared" si="7"/>
        <v>February</v>
      </c>
      <c r="B32" s="31">
        <v>43874</v>
      </c>
      <c r="C32" s="32" t="s">
        <v>25</v>
      </c>
      <c r="D32" s="9" t="str">
        <f t="shared" si="8"/>
        <v>43874 - 1S</v>
      </c>
      <c r="E32" s="32" t="s">
        <v>9</v>
      </c>
      <c r="F32" s="2">
        <v>8000035</v>
      </c>
      <c r="G32" s="4" t="str">
        <f>IFERROR(VLOOKUP(F32,Lists!$C:$D,2,0), "N/A")</f>
        <v>TURTLES MILK CHOC ORIGINAL</v>
      </c>
      <c r="H32" s="26">
        <f>IFERROR(VLOOKUP(F32,Lists!$C:$F,4,0),0)</f>
        <v>1.91178</v>
      </c>
      <c r="I32" s="61">
        <f t="shared" si="9"/>
        <v>5808</v>
      </c>
      <c r="J32" s="45">
        <v>5647</v>
      </c>
      <c r="K32" s="33">
        <v>161</v>
      </c>
      <c r="L32" s="5">
        <f t="shared" si="10"/>
        <v>2.8510713653267222E-2</v>
      </c>
      <c r="N32" s="16" t="str">
        <f t="shared" si="11"/>
        <v>February</v>
      </c>
      <c r="O32" s="31">
        <v>43875</v>
      </c>
      <c r="P32" s="32" t="s">
        <v>26</v>
      </c>
      <c r="Q32" s="9" t="str">
        <f t="shared" si="12"/>
        <v>43875 - 2S</v>
      </c>
      <c r="R32" s="32" t="s">
        <v>9</v>
      </c>
      <c r="S32" s="2">
        <v>8000035</v>
      </c>
      <c r="T32" s="4" t="str">
        <f>IFERROR(VLOOKUP(S32,Lists!$C:$D,2,0), "N/A")</f>
        <v>TURTLES MILK CHOC ORIGINAL</v>
      </c>
      <c r="U32" s="26">
        <f>IFERROR(VLOOKUP(S32,Lists!$C:$F,4,0),0)</f>
        <v>1.91178</v>
      </c>
      <c r="V32" s="61">
        <f t="shared" si="13"/>
        <v>39</v>
      </c>
      <c r="W32" s="45">
        <v>0</v>
      </c>
      <c r="X32" s="33">
        <v>39</v>
      </c>
    </row>
    <row r="33" spans="1:25" x14ac:dyDescent="0.25">
      <c r="J33" s="18">
        <f>SUM(J24:J32)</f>
        <v>49322</v>
      </c>
      <c r="K33" s="18">
        <f>SUM(K24:K32)</f>
        <v>1542</v>
      </c>
      <c r="L33" s="62">
        <f>K33/J33</f>
        <v>3.1263939013016502E-2</v>
      </c>
      <c r="N33" s="16" t="str">
        <f t="shared" si="11"/>
        <v>February</v>
      </c>
      <c r="O33" s="31">
        <v>43879</v>
      </c>
      <c r="P33" s="32" t="s">
        <v>26</v>
      </c>
      <c r="Q33" s="9" t="str">
        <f t="shared" si="12"/>
        <v>43879 - 2S</v>
      </c>
      <c r="R33" s="32" t="s">
        <v>9</v>
      </c>
      <c r="S33" s="2">
        <v>8000035</v>
      </c>
      <c r="T33" s="4" t="str">
        <f>IFERROR(VLOOKUP(S33,Lists!$C:$D,2,0), "N/A")</f>
        <v>TURTLES MILK CHOC ORIGINAL</v>
      </c>
      <c r="U33" s="26">
        <f>IFERROR(VLOOKUP(S33,Lists!$C:$F,4,0),0)</f>
        <v>1.91178</v>
      </c>
      <c r="V33" s="61">
        <f t="shared" si="13"/>
        <v>11192</v>
      </c>
      <c r="W33" s="45">
        <v>10821</v>
      </c>
      <c r="X33" s="33">
        <v>371</v>
      </c>
      <c r="Y33" s="5">
        <f>IFERROR((X33/W33),1)</f>
        <v>3.4285186211995194E-2</v>
      </c>
    </row>
    <row r="34" spans="1:25" x14ac:dyDescent="0.25">
      <c r="N34" s="16" t="str">
        <f t="shared" si="11"/>
        <v>February</v>
      </c>
      <c r="O34" s="31">
        <v>43880</v>
      </c>
      <c r="P34" s="32" t="s">
        <v>26</v>
      </c>
      <c r="Q34" s="9" t="str">
        <f t="shared" si="12"/>
        <v>43880 - 2S</v>
      </c>
      <c r="R34" s="32" t="s">
        <v>9</v>
      </c>
      <c r="S34" s="2">
        <v>8000035</v>
      </c>
      <c r="T34" s="4" t="str">
        <f>IFERROR(VLOOKUP(S34,Lists!$C:$D,2,0), "N/A")</f>
        <v>TURTLES MILK CHOC ORIGINAL</v>
      </c>
      <c r="U34" s="26">
        <f>IFERROR(VLOOKUP(S34,Lists!$C:$F,4,0),0)</f>
        <v>1.91178</v>
      </c>
      <c r="V34" s="61">
        <f t="shared" si="13"/>
        <v>8425</v>
      </c>
      <c r="W34" s="45">
        <v>8180</v>
      </c>
      <c r="X34" s="33">
        <v>245</v>
      </c>
      <c r="Y34" s="5">
        <f>IFERROR((X34/W34),1)</f>
        <v>2.9951100244498777E-2</v>
      </c>
    </row>
    <row r="35" spans="1:25" x14ac:dyDescent="0.25">
      <c r="A35" s="16" t="str">
        <f>TEXT(B35,"mmmm")</f>
        <v>March</v>
      </c>
      <c r="B35" s="31">
        <v>43892</v>
      </c>
      <c r="C35" s="32" t="s">
        <v>25</v>
      </c>
      <c r="D35" s="9" t="str">
        <f>CONCATENATE(B35," - ",C35)</f>
        <v>43892 - 1S</v>
      </c>
      <c r="E35" s="32" t="s">
        <v>9</v>
      </c>
      <c r="F35" s="2">
        <v>8000038</v>
      </c>
      <c r="G35" s="4" t="str">
        <f>IFERROR(VLOOKUP(F35,Lists!$C:$D,2,0), "N/A")</f>
        <v>TURTLES MILK CHOC PEC BITE SZ</v>
      </c>
      <c r="H35" s="26">
        <f>IFERROR(VLOOKUP(F35,Lists!$C:$F,4,0),0)</f>
        <v>1.96</v>
      </c>
      <c r="I35" s="61">
        <f>J35+K35</f>
        <v>5261</v>
      </c>
      <c r="J35" s="45">
        <v>5040</v>
      </c>
      <c r="K35" s="33">
        <v>221</v>
      </c>
      <c r="L35" s="5">
        <f>IFERROR((K35/J35),1)</f>
        <v>4.3849206349206346E-2</v>
      </c>
      <c r="N35" s="16" t="str">
        <f t="shared" si="11"/>
        <v>February</v>
      </c>
      <c r="O35" s="31">
        <v>43881</v>
      </c>
      <c r="P35" s="32" t="s">
        <v>26</v>
      </c>
      <c r="Q35" s="9" t="str">
        <f t="shared" si="12"/>
        <v>43881 - 2S</v>
      </c>
      <c r="R35" s="32" t="s">
        <v>9</v>
      </c>
      <c r="S35" s="2">
        <v>8000035</v>
      </c>
      <c r="T35" s="4" t="str">
        <f>IFERROR(VLOOKUP(S35,Lists!$C:$D,2,0), "N/A")</f>
        <v>TURTLES MILK CHOC ORIGINAL</v>
      </c>
      <c r="U35" s="26">
        <f>IFERROR(VLOOKUP(S35,Lists!$C:$F,4,0),0)</f>
        <v>1.91178</v>
      </c>
      <c r="V35" s="61">
        <f t="shared" si="13"/>
        <v>8130</v>
      </c>
      <c r="W35" s="45">
        <v>7851</v>
      </c>
      <c r="X35" s="33">
        <v>279</v>
      </c>
      <c r="Y35" s="5">
        <f>IFERROR((X35/W35),1)</f>
        <v>3.5536874283530757E-2</v>
      </c>
    </row>
    <row r="36" spans="1:25" x14ac:dyDescent="0.25">
      <c r="A36" s="16" t="str">
        <f>TEXT(B36,"mmmm")</f>
        <v>March</v>
      </c>
      <c r="B36" s="31">
        <v>43893</v>
      </c>
      <c r="C36" s="32" t="s">
        <v>25</v>
      </c>
      <c r="D36" s="9" t="str">
        <f>CONCATENATE(B36," - ",C36)</f>
        <v>43893 - 1S</v>
      </c>
      <c r="E36" s="32" t="s">
        <v>9</v>
      </c>
      <c r="F36" s="46">
        <v>8000038</v>
      </c>
      <c r="G36" s="4" t="str">
        <f>IFERROR(VLOOKUP(F36,Lists!$C:$D,2,0), "N/A")</f>
        <v>TURTLES MILK CHOC PEC BITE SZ</v>
      </c>
      <c r="H36" s="26">
        <f>IFERROR(VLOOKUP(F36,Lists!$C:$F,4,0),0)</f>
        <v>1.96</v>
      </c>
      <c r="I36" s="61">
        <f>J36+K36</f>
        <v>9074</v>
      </c>
      <c r="J36" s="45">
        <v>8640</v>
      </c>
      <c r="K36" s="33">
        <v>434</v>
      </c>
      <c r="L36" s="5">
        <f>IFERROR((K36/J36),1)</f>
        <v>5.0231481481481481E-2</v>
      </c>
      <c r="N36" s="16" t="str">
        <f t="shared" si="11"/>
        <v>February</v>
      </c>
      <c r="O36" s="31">
        <v>43885</v>
      </c>
      <c r="P36" s="32" t="s">
        <v>26</v>
      </c>
      <c r="Q36" s="9" t="str">
        <f t="shared" si="12"/>
        <v>43885 - 2S</v>
      </c>
      <c r="R36" s="32" t="s">
        <v>9</v>
      </c>
      <c r="S36" s="2">
        <v>8000035</v>
      </c>
      <c r="T36" s="4" t="str">
        <f>IFERROR(VLOOKUP(S36,Lists!$C:$D,2,0), "N/A")</f>
        <v>TURTLES MILK CHOC ORIGINAL</v>
      </c>
      <c r="U36" s="26">
        <f>IFERROR(VLOOKUP(S36,Lists!$C:$F,4,0),0)</f>
        <v>1.91178</v>
      </c>
      <c r="V36" s="61">
        <f t="shared" si="13"/>
        <v>8496</v>
      </c>
      <c r="W36" s="45">
        <v>7649</v>
      </c>
      <c r="X36" s="33">
        <v>847</v>
      </c>
      <c r="Y36" s="5">
        <f>IFERROR((X36/W36),1)</f>
        <v>0.11073342920643221</v>
      </c>
    </row>
    <row r="37" spans="1:25" x14ac:dyDescent="0.25">
      <c r="A37" s="16" t="str">
        <f>TEXT(B37,"mmmm")</f>
        <v>March</v>
      </c>
      <c r="B37" s="31">
        <v>43894</v>
      </c>
      <c r="C37" s="32" t="s">
        <v>25</v>
      </c>
      <c r="D37" s="9" t="str">
        <f>CONCATENATE(B37," - ",C37)</f>
        <v>43894 - 1S</v>
      </c>
      <c r="E37" s="32" t="s">
        <v>9</v>
      </c>
      <c r="F37" s="46">
        <v>8000038</v>
      </c>
      <c r="G37" s="4" t="str">
        <f>IFERROR(VLOOKUP(F37,Lists!$C:$D,2,0), "N/A")</f>
        <v>TURTLES MILK CHOC PEC BITE SZ</v>
      </c>
      <c r="H37" s="26">
        <f>IFERROR(VLOOKUP(F37,Lists!$C:$F,4,0),0)</f>
        <v>1.96</v>
      </c>
      <c r="I37" s="61">
        <f>J37+K37</f>
        <v>8251</v>
      </c>
      <c r="J37" s="20">
        <v>7956</v>
      </c>
      <c r="K37" s="33">
        <v>295</v>
      </c>
      <c r="L37" s="5">
        <f>IFERROR((K37/J37),1)</f>
        <v>3.7078934137757667E-2</v>
      </c>
      <c r="N37" s="16" t="str">
        <f t="shared" si="11"/>
        <v>February</v>
      </c>
      <c r="O37" s="31">
        <v>43886</v>
      </c>
      <c r="P37" s="32" t="s">
        <v>26</v>
      </c>
      <c r="Q37" s="9" t="str">
        <f t="shared" si="12"/>
        <v>43886 - 2S</v>
      </c>
      <c r="R37" s="32" t="s">
        <v>9</v>
      </c>
      <c r="S37" s="2">
        <v>8000035</v>
      </c>
      <c r="T37" s="4" t="str">
        <f>IFERROR(VLOOKUP(S37,Lists!$C:$D,2,0), "N/A")</f>
        <v>TURTLES MILK CHOC ORIGINAL</v>
      </c>
      <c r="U37" s="26">
        <f>IFERROR(VLOOKUP(S37,Lists!$C:$F,4,0),0)</f>
        <v>1.91178</v>
      </c>
      <c r="V37" s="61">
        <f t="shared" si="13"/>
        <v>13057</v>
      </c>
      <c r="W37" s="45">
        <v>12791</v>
      </c>
      <c r="X37" s="33">
        <v>266</v>
      </c>
      <c r="Y37" s="5">
        <f>IFERROR((X37/W37),1)</f>
        <v>2.0795872097568602E-2</v>
      </c>
    </row>
    <row r="38" spans="1:25" x14ac:dyDescent="0.25">
      <c r="A38" s="16" t="str">
        <f>TEXT(B38,"mmmm")</f>
        <v>March</v>
      </c>
      <c r="B38" s="31">
        <v>43895</v>
      </c>
      <c r="C38" s="32" t="s">
        <v>25</v>
      </c>
      <c r="D38" s="9" t="str">
        <f>CONCATENATE(B38," - ",C38)</f>
        <v>43895 - 1S</v>
      </c>
      <c r="E38" s="32" t="s">
        <v>9</v>
      </c>
      <c r="F38" s="2">
        <v>8000038</v>
      </c>
      <c r="G38" s="4" t="str">
        <f>IFERROR(VLOOKUP(F38,Lists!$C:$D,2,0), "N/A")</f>
        <v>TURTLES MILK CHOC PEC BITE SZ</v>
      </c>
      <c r="H38" s="26">
        <f>IFERROR(VLOOKUP(F38,Lists!$C:$F,4,0),0)</f>
        <v>1.96</v>
      </c>
      <c r="I38" s="61">
        <f>J38+K38</f>
        <v>4359</v>
      </c>
      <c r="J38" s="45">
        <v>4178</v>
      </c>
      <c r="K38" s="33">
        <v>181</v>
      </c>
      <c r="L38" s="5">
        <f>IFERROR((K38/J38),1)</f>
        <v>4.3322163714696028E-2</v>
      </c>
      <c r="N38" s="16" t="str">
        <f t="shared" si="11"/>
        <v>February</v>
      </c>
      <c r="O38" s="31">
        <v>43887</v>
      </c>
      <c r="P38" s="32" t="s">
        <v>26</v>
      </c>
      <c r="Q38" s="9" t="str">
        <f t="shared" si="12"/>
        <v>43887 - 2S</v>
      </c>
      <c r="R38" s="32" t="s">
        <v>9</v>
      </c>
      <c r="S38" s="2">
        <v>8000035</v>
      </c>
      <c r="T38" s="4" t="str">
        <f>IFERROR(VLOOKUP(S38,Lists!$C:$D,2,0), "N/A")</f>
        <v>TURTLES MILK CHOC ORIGINAL</v>
      </c>
      <c r="U38" s="26">
        <f>IFERROR(VLOOKUP(S38,Lists!$C:$F,4,0),0)</f>
        <v>1.91178</v>
      </c>
      <c r="V38" s="61">
        <f t="shared" si="13"/>
        <v>9846</v>
      </c>
      <c r="W38" s="45">
        <v>9526</v>
      </c>
      <c r="X38" s="33">
        <v>320</v>
      </c>
    </row>
    <row r="39" spans="1:25" x14ac:dyDescent="0.25">
      <c r="N39" s="16" t="str">
        <f t="shared" si="11"/>
        <v>February</v>
      </c>
      <c r="O39" s="31">
        <v>43888</v>
      </c>
      <c r="P39" s="32" t="s">
        <v>26</v>
      </c>
      <c r="Q39" s="9" t="str">
        <f t="shared" si="12"/>
        <v>43888 - 2S</v>
      </c>
      <c r="R39" s="32" t="s">
        <v>9</v>
      </c>
      <c r="S39" s="2">
        <v>8000035</v>
      </c>
      <c r="T39" s="4" t="str">
        <f>IFERROR(VLOOKUP(S39,Lists!$C:$D,2,0), "N/A")</f>
        <v>TURTLES MILK CHOC ORIGINAL</v>
      </c>
      <c r="U39" s="26">
        <f>IFERROR(VLOOKUP(S39,Lists!$C:$F,4,0),0)</f>
        <v>1.91178</v>
      </c>
      <c r="V39" s="61">
        <f t="shared" si="13"/>
        <v>11309</v>
      </c>
      <c r="W39" s="45">
        <v>10951</v>
      </c>
      <c r="X39" s="33">
        <v>358</v>
      </c>
    </row>
    <row r="40" spans="1:25" x14ac:dyDescent="0.25">
      <c r="J40" s="18">
        <f>SUM(J35:J39)</f>
        <v>25814</v>
      </c>
      <c r="K40" s="18">
        <f>SUM(K35:K39)</f>
        <v>1131</v>
      </c>
      <c r="L40" s="62">
        <f>K40/J40</f>
        <v>4.3813434570388159E-2</v>
      </c>
      <c r="W40" s="18">
        <f>SUM(W24:W39)</f>
        <v>121521</v>
      </c>
      <c r="X40" s="18">
        <f>SUM(X24:X39)</f>
        <v>4576</v>
      </c>
      <c r="Y40" s="62">
        <f>X40/W40</f>
        <v>3.7656042988454673E-2</v>
      </c>
    </row>
    <row r="42" spans="1:25" x14ac:dyDescent="0.25">
      <c r="M42" s="16"/>
      <c r="N42" s="31">
        <v>43892</v>
      </c>
      <c r="O42" s="32" t="s">
        <v>26</v>
      </c>
      <c r="P42" s="9" t="str">
        <f>CONCATENATE(N42," - ",O42)</f>
        <v>43892 - 2S</v>
      </c>
      <c r="Q42" s="32" t="s">
        <v>9</v>
      </c>
      <c r="R42" s="2">
        <v>8000038</v>
      </c>
      <c r="S42" s="4" t="str">
        <f>IFERROR(VLOOKUP(R42,Lists!$C:$D,2,0), "N/A")</f>
        <v>TURTLES MILK CHOC PEC BITE SZ</v>
      </c>
      <c r="T42" s="26">
        <f>IFERROR(VLOOKUP(R42,Lists!$C:$F,4,0),0)</f>
        <v>1.96</v>
      </c>
      <c r="U42" s="61">
        <f>V42+W42</f>
        <v>7071</v>
      </c>
      <c r="V42" s="45">
        <v>6480</v>
      </c>
      <c r="W42" s="33">
        <v>591</v>
      </c>
    </row>
    <row r="43" spans="1:25" x14ac:dyDescent="0.25">
      <c r="N43" s="31">
        <v>43893</v>
      </c>
      <c r="O43" s="32" t="s">
        <v>26</v>
      </c>
      <c r="P43" s="9" t="str">
        <f>CONCATENATE(N43," - ",O43)</f>
        <v>43893 - 2S</v>
      </c>
      <c r="Q43" s="32" t="s">
        <v>9</v>
      </c>
      <c r="R43" s="46">
        <v>8000038</v>
      </c>
      <c r="S43" s="4" t="str">
        <f>IFERROR(VLOOKUP(R43,Lists!$C:$D,2,0), "N/A")</f>
        <v>TURTLES MILK CHOC PEC BITE SZ</v>
      </c>
      <c r="T43" s="26">
        <f>IFERROR(VLOOKUP(R43,Lists!$C:$F,4,0),0)</f>
        <v>1.96</v>
      </c>
      <c r="U43" s="61">
        <f>V43+W43</f>
        <v>7681</v>
      </c>
      <c r="V43" s="45">
        <v>7200</v>
      </c>
      <c r="W43" s="33">
        <v>481</v>
      </c>
      <c r="X43" s="5"/>
    </row>
    <row r="44" spans="1:25" x14ac:dyDescent="0.25">
      <c r="N44" s="31">
        <v>43894</v>
      </c>
      <c r="O44" s="32" t="s">
        <v>26</v>
      </c>
      <c r="P44" s="9" t="str">
        <f>CONCATENATE(N44," - ",O44)</f>
        <v>43894 - 2S</v>
      </c>
      <c r="Q44" s="32" t="s">
        <v>9</v>
      </c>
      <c r="R44" s="46">
        <v>8000038</v>
      </c>
      <c r="S44" s="4" t="str">
        <f>IFERROR(VLOOKUP(R44,Lists!$C:$D,2,0), "N/A")</f>
        <v>TURTLES MILK CHOC PEC BITE SZ</v>
      </c>
      <c r="T44" s="26">
        <f>IFERROR(VLOOKUP(R44,Lists!$C:$F,4,0),0)</f>
        <v>1.96</v>
      </c>
      <c r="U44" s="61">
        <f>V44+W44</f>
        <v>7611</v>
      </c>
      <c r="V44" s="45">
        <v>7200</v>
      </c>
      <c r="W44" s="33">
        <v>411</v>
      </c>
    </row>
    <row r="45" spans="1:25" x14ac:dyDescent="0.25">
      <c r="N45" s="31">
        <v>43895</v>
      </c>
      <c r="O45" s="32" t="s">
        <v>26</v>
      </c>
      <c r="P45" s="9" t="str">
        <f>CONCATENATE(N45," - ",O45)</f>
        <v>43895 - 2S</v>
      </c>
      <c r="Q45" s="32" t="s">
        <v>9</v>
      </c>
      <c r="R45" s="2">
        <v>8000038</v>
      </c>
      <c r="S45" s="4" t="str">
        <f>IFERROR(VLOOKUP(R45,Lists!$C:$D,2,0), "N/A")</f>
        <v>TURTLES MILK CHOC PEC BITE SZ</v>
      </c>
      <c r="T45" s="26">
        <f>IFERROR(VLOOKUP(R45,Lists!$C:$F,4,0),0)</f>
        <v>1.96</v>
      </c>
      <c r="U45" s="61">
        <f>V45+W45</f>
        <v>3213</v>
      </c>
      <c r="V45" s="45">
        <v>2839</v>
      </c>
      <c r="W45" s="33">
        <v>374</v>
      </c>
    </row>
    <row r="46" spans="1:25" x14ac:dyDescent="0.25">
      <c r="A46" s="31">
        <v>43836</v>
      </c>
      <c r="B46" s="32" t="s">
        <v>24</v>
      </c>
      <c r="C46" s="9" t="str">
        <f t="shared" ref="C46:C63" si="14">CONCATENATE(A46," - ",B46)</f>
        <v>43836 - 3S</v>
      </c>
      <c r="D46" s="32" t="s">
        <v>9</v>
      </c>
      <c r="E46" s="2">
        <v>8000035</v>
      </c>
      <c r="F46" s="4" t="str">
        <f>IFERROR(VLOOKUP(E46,Lists!$C:$D,2,0), "N/A")</f>
        <v>TURTLES MILK CHOC ORIGINAL</v>
      </c>
      <c r="G46" s="26">
        <f>IFERROR(VLOOKUP(E46,Lists!$C:$E,3,0),0)</f>
        <v>1.89697</v>
      </c>
      <c r="H46" s="61">
        <f t="shared" ref="H46:H63" si="15">I46</f>
        <v>5164</v>
      </c>
      <c r="I46" s="45">
        <v>5164</v>
      </c>
      <c r="J46" s="33">
        <v>240</v>
      </c>
      <c r="V46" s="18">
        <f>SUM(V42:V45)</f>
        <v>23719</v>
      </c>
      <c r="W46" s="18">
        <f>SUM(W42:W45)</f>
        <v>1857</v>
      </c>
      <c r="X46" s="62">
        <f>W46/V46</f>
        <v>7.8291664909987776E-2</v>
      </c>
    </row>
    <row r="47" spans="1:25" x14ac:dyDescent="0.25">
      <c r="A47" s="31">
        <v>43837</v>
      </c>
      <c r="B47" s="32" t="s">
        <v>24</v>
      </c>
      <c r="C47" s="9" t="str">
        <f t="shared" si="14"/>
        <v>43837 - 3S</v>
      </c>
      <c r="D47" s="32" t="s">
        <v>9</v>
      </c>
      <c r="E47" s="2">
        <v>8000035</v>
      </c>
      <c r="F47" s="4" t="str">
        <f>IFERROR(VLOOKUP(E47,Lists!$C:$D,2,0), "N/A")</f>
        <v>TURTLES MILK CHOC ORIGINAL</v>
      </c>
      <c r="G47" s="26">
        <f>IFERROR(VLOOKUP(E47,Lists!$C:$E,3,0),0)</f>
        <v>1.89697</v>
      </c>
      <c r="H47" s="61">
        <f t="shared" si="15"/>
        <v>8902.4</v>
      </c>
      <c r="I47" s="45">
        <v>8902.4</v>
      </c>
      <c r="J47" s="33">
        <v>321</v>
      </c>
    </row>
    <row r="48" spans="1:25" x14ac:dyDescent="0.25">
      <c r="A48" s="31">
        <v>43838</v>
      </c>
      <c r="B48" s="32" t="s">
        <v>24</v>
      </c>
      <c r="C48" s="9" t="str">
        <f t="shared" si="14"/>
        <v>43838 - 3S</v>
      </c>
      <c r="D48" s="32" t="s">
        <v>9</v>
      </c>
      <c r="E48" s="2">
        <v>8000035</v>
      </c>
      <c r="F48" s="4" t="str">
        <f>IFERROR(VLOOKUP(E48,Lists!$C:$D,2,0), "N/A")</f>
        <v>TURTLES MILK CHOC ORIGINAL</v>
      </c>
      <c r="G48" s="26">
        <f>IFERROR(VLOOKUP(E48,Lists!$C:$E,3,0),0)</f>
        <v>1.89697</v>
      </c>
      <c r="H48" s="61">
        <f t="shared" si="15"/>
        <v>10502.4</v>
      </c>
      <c r="I48" s="45">
        <v>10502.4</v>
      </c>
      <c r="J48" s="33">
        <v>439</v>
      </c>
    </row>
    <row r="49" spans="1:11" x14ac:dyDescent="0.25">
      <c r="A49" s="31">
        <v>43839</v>
      </c>
      <c r="B49" s="32" t="s">
        <v>24</v>
      </c>
      <c r="C49" s="9" t="str">
        <f t="shared" si="14"/>
        <v>43839 - 3S</v>
      </c>
      <c r="D49" s="32" t="s">
        <v>9</v>
      </c>
      <c r="E49" s="2">
        <v>8000035</v>
      </c>
      <c r="F49" s="4" t="str">
        <f>IFERROR(VLOOKUP(E49,Lists!$C:$D,2,0), "N/A")</f>
        <v>TURTLES MILK CHOC ORIGINAL</v>
      </c>
      <c r="G49" s="26">
        <f>IFERROR(VLOOKUP(E49,Lists!$C:$E,3,0),0)</f>
        <v>1.89697</v>
      </c>
      <c r="H49" s="61">
        <f t="shared" si="15"/>
        <v>10502.4</v>
      </c>
      <c r="I49" s="45">
        <v>10502.4</v>
      </c>
      <c r="J49" s="33">
        <v>491</v>
      </c>
    </row>
    <row r="50" spans="1:11" x14ac:dyDescent="0.25">
      <c r="A50" s="31">
        <v>43840</v>
      </c>
      <c r="B50" s="32" t="s">
        <v>24</v>
      </c>
      <c r="C50" s="9" t="str">
        <f t="shared" si="14"/>
        <v>43840 - 3S</v>
      </c>
      <c r="D50" s="32" t="s">
        <v>9</v>
      </c>
      <c r="E50" s="2">
        <v>8000035</v>
      </c>
      <c r="F50" s="4" t="str">
        <f>IFERROR(VLOOKUP(E50,Lists!$C:$D,2,0), "N/A")</f>
        <v>TURTLES MILK CHOC ORIGINAL</v>
      </c>
      <c r="G50" s="26">
        <f>IFERROR(VLOOKUP(E50,Lists!$C:$E,3,0),0)</f>
        <v>1.89697</v>
      </c>
      <c r="H50" s="61">
        <f t="shared" si="15"/>
        <v>9876.7999999999993</v>
      </c>
      <c r="I50" s="45">
        <v>9876.7999999999993</v>
      </c>
      <c r="J50" s="33">
        <v>420</v>
      </c>
    </row>
    <row r="51" spans="1:11" x14ac:dyDescent="0.25">
      <c r="A51" s="31">
        <v>43843</v>
      </c>
      <c r="B51" s="32" t="s">
        <v>24</v>
      </c>
      <c r="C51" s="9" t="str">
        <f t="shared" si="14"/>
        <v>43843 - 3S</v>
      </c>
      <c r="D51" s="32" t="s">
        <v>9</v>
      </c>
      <c r="E51" s="2">
        <v>8000035</v>
      </c>
      <c r="F51" s="4" t="str">
        <f>IFERROR(VLOOKUP(E51,Lists!$C:$D,2,0), "N/A")</f>
        <v>TURTLES MILK CHOC ORIGINAL</v>
      </c>
      <c r="G51" s="26">
        <f>IFERROR(VLOOKUP(E51,Lists!$C:$E,3,0),0)</f>
        <v>1.89697</v>
      </c>
      <c r="H51" s="61">
        <f t="shared" si="15"/>
        <v>4356</v>
      </c>
      <c r="I51" s="45">
        <v>4356</v>
      </c>
      <c r="J51" s="33">
        <v>243</v>
      </c>
    </row>
    <row r="52" spans="1:11" x14ac:dyDescent="0.25">
      <c r="A52" s="31">
        <v>43844</v>
      </c>
      <c r="B52" s="32" t="s">
        <v>24</v>
      </c>
      <c r="C52" s="9" t="str">
        <f t="shared" si="14"/>
        <v>43844 - 3S</v>
      </c>
      <c r="D52" s="32" t="s">
        <v>9</v>
      </c>
      <c r="E52" s="2">
        <v>8000035</v>
      </c>
      <c r="F52" s="4" t="str">
        <f>IFERROR(VLOOKUP(E52,Lists!$C:$D,2,0), "N/A")</f>
        <v>TURTLES MILK CHOC ORIGINAL</v>
      </c>
      <c r="G52" s="26">
        <f>IFERROR(VLOOKUP(E52,Lists!$C:$E,3,0),0)</f>
        <v>1.89697</v>
      </c>
      <c r="H52" s="61">
        <f t="shared" si="15"/>
        <v>3912.48</v>
      </c>
      <c r="I52" s="45">
        <v>3912.48</v>
      </c>
      <c r="J52" s="33">
        <v>324</v>
      </c>
    </row>
    <row r="53" spans="1:11" x14ac:dyDescent="0.25">
      <c r="A53" s="31">
        <v>43845</v>
      </c>
      <c r="B53" s="32" t="s">
        <v>24</v>
      </c>
      <c r="C53" s="9" t="str">
        <f t="shared" si="14"/>
        <v>43845 - 3S</v>
      </c>
      <c r="D53" s="32" t="s">
        <v>9</v>
      </c>
      <c r="E53" s="2">
        <v>8000035</v>
      </c>
      <c r="F53" s="4" t="str">
        <f>IFERROR(VLOOKUP(E53,Lists!$C:$D,2,0), "N/A")</f>
        <v>TURTLES MILK CHOC ORIGINAL</v>
      </c>
      <c r="G53" s="26">
        <f>IFERROR(VLOOKUP(E53,Lists!$C:$E,3,0),0)</f>
        <v>1.89697</v>
      </c>
      <c r="H53" s="61">
        <f t="shared" si="15"/>
        <v>4989.6000000000004</v>
      </c>
      <c r="I53" s="45">
        <v>4989.6000000000004</v>
      </c>
      <c r="J53" s="33">
        <v>347</v>
      </c>
    </row>
    <row r="54" spans="1:11" x14ac:dyDescent="0.25">
      <c r="A54" s="31">
        <v>43846</v>
      </c>
      <c r="B54" s="32" t="s">
        <v>24</v>
      </c>
      <c r="C54" s="9" t="str">
        <f t="shared" si="14"/>
        <v>43846 - 3S</v>
      </c>
      <c r="D54" s="32" t="s">
        <v>9</v>
      </c>
      <c r="E54" s="2">
        <v>8000035</v>
      </c>
      <c r="F54" s="4" t="str">
        <f>IFERROR(VLOOKUP(E54,Lists!$C:$D,2,0), "N/A")</f>
        <v>TURTLES MILK CHOC ORIGINAL</v>
      </c>
      <c r="G54" s="26">
        <f>IFERROR(VLOOKUP(E54,Lists!$C:$E,3,0),0)</f>
        <v>1.89697</v>
      </c>
      <c r="H54" s="61">
        <f t="shared" si="15"/>
        <v>4989.6000000000004</v>
      </c>
      <c r="I54" s="45">
        <v>4989.6000000000004</v>
      </c>
      <c r="J54" s="33">
        <v>546</v>
      </c>
    </row>
    <row r="55" spans="1:11" x14ac:dyDescent="0.25">
      <c r="A55" s="31">
        <v>43847</v>
      </c>
      <c r="B55" s="32" t="s">
        <v>24</v>
      </c>
      <c r="C55" s="9" t="str">
        <f t="shared" si="14"/>
        <v>43847 - 3S</v>
      </c>
      <c r="D55" s="32" t="s">
        <v>9</v>
      </c>
      <c r="E55" s="2">
        <v>8000035</v>
      </c>
      <c r="F55" s="4" t="str">
        <f>IFERROR(VLOOKUP(E55,Lists!$C:$D,2,0), "N/A")</f>
        <v>TURTLES MILK CHOC ORIGINAL</v>
      </c>
      <c r="G55" s="26">
        <f>IFERROR(VLOOKUP(E55,Lists!$C:$E,3,0),0)</f>
        <v>1.89697</v>
      </c>
      <c r="H55" s="61">
        <f t="shared" si="15"/>
        <v>5480.64</v>
      </c>
      <c r="I55" s="45">
        <v>5480.64</v>
      </c>
      <c r="J55" s="33">
        <v>546</v>
      </c>
    </row>
    <row r="56" spans="1:11" x14ac:dyDescent="0.25">
      <c r="A56" s="31">
        <v>43851</v>
      </c>
      <c r="B56" s="32" t="s">
        <v>24</v>
      </c>
      <c r="C56" s="9" t="str">
        <f t="shared" si="14"/>
        <v>43851 - 3S</v>
      </c>
      <c r="D56" s="32" t="s">
        <v>9</v>
      </c>
      <c r="E56" s="2">
        <v>8000035</v>
      </c>
      <c r="F56" s="4" t="str">
        <f>IFERROR(VLOOKUP(E56,Lists!$C:$D,2,0), "N/A")</f>
        <v>TURTLES MILK CHOC ORIGINAL</v>
      </c>
      <c r="G56" s="26">
        <f>IFERROR(VLOOKUP(E56,Lists!$C:$E,3,0),0)</f>
        <v>1.89697</v>
      </c>
      <c r="H56" s="61">
        <f t="shared" si="15"/>
        <v>1425.6</v>
      </c>
      <c r="I56" s="45">
        <v>1425.6</v>
      </c>
      <c r="J56" s="33">
        <v>250</v>
      </c>
    </row>
    <row r="57" spans="1:11" x14ac:dyDescent="0.25">
      <c r="A57" s="31">
        <v>43852</v>
      </c>
      <c r="B57" s="32" t="s">
        <v>24</v>
      </c>
      <c r="C57" s="9" t="str">
        <f t="shared" si="14"/>
        <v>43852 - 3S</v>
      </c>
      <c r="D57" s="32" t="s">
        <v>9</v>
      </c>
      <c r="E57" s="2">
        <v>8000038</v>
      </c>
      <c r="F57" s="4" t="str">
        <f>IFERROR(VLOOKUP(E57,Lists!$C:$D,2,0), "N/A")</f>
        <v>TURTLES MILK CHOC PEC BITE SZ</v>
      </c>
      <c r="G57" s="26">
        <f>IFERROR(VLOOKUP(E57,Lists!$C:$E,3,0),0)</f>
        <v>1.9453399999999998</v>
      </c>
      <c r="H57" s="61">
        <f t="shared" si="15"/>
        <v>5110.5600000000004</v>
      </c>
      <c r="I57" s="45">
        <v>5110.5600000000004</v>
      </c>
      <c r="J57" s="33">
        <v>674</v>
      </c>
    </row>
    <row r="58" spans="1:11" x14ac:dyDescent="0.25">
      <c r="A58" s="31">
        <v>43853</v>
      </c>
      <c r="B58" s="32" t="s">
        <v>24</v>
      </c>
      <c r="C58" s="9" t="str">
        <f t="shared" si="14"/>
        <v>43853 - 3S</v>
      </c>
      <c r="D58" s="32" t="s">
        <v>9</v>
      </c>
      <c r="E58" s="2">
        <v>8000038</v>
      </c>
      <c r="F58" s="4" t="str">
        <f>IFERROR(VLOOKUP(E58,Lists!$C:$D,2,0), "N/A")</f>
        <v>TURTLES MILK CHOC PEC BITE SZ</v>
      </c>
      <c r="G58" s="26">
        <f>IFERROR(VLOOKUP(E58,Lists!$C:$E,3,0),0)</f>
        <v>1.9453399999999998</v>
      </c>
      <c r="H58" s="61">
        <f t="shared" si="15"/>
        <v>2880</v>
      </c>
      <c r="I58" s="45">
        <v>2880</v>
      </c>
      <c r="J58" s="33">
        <v>394</v>
      </c>
    </row>
    <row r="59" spans="1:11" x14ac:dyDescent="0.25">
      <c r="A59" s="31">
        <v>43854</v>
      </c>
      <c r="B59" s="32" t="s">
        <v>24</v>
      </c>
      <c r="C59" s="9" t="str">
        <f t="shared" si="14"/>
        <v>43854 - 3S</v>
      </c>
      <c r="D59" s="32" t="s">
        <v>9</v>
      </c>
      <c r="E59" s="2">
        <v>8000038</v>
      </c>
      <c r="F59" s="4" t="str">
        <f>IFERROR(VLOOKUP(E59,Lists!$C:$D,2,0), "N/A")</f>
        <v>TURTLES MILK CHOC PEC BITE SZ</v>
      </c>
      <c r="G59" s="26">
        <f>IFERROR(VLOOKUP(E59,Lists!$C:$E,3,0),0)</f>
        <v>1.9453399999999998</v>
      </c>
      <c r="H59" s="61">
        <f t="shared" si="15"/>
        <v>3974.88</v>
      </c>
      <c r="I59" s="45">
        <v>3974.88</v>
      </c>
      <c r="J59" s="33">
        <v>268</v>
      </c>
    </row>
    <row r="60" spans="1:11" x14ac:dyDescent="0.25">
      <c r="A60" s="31">
        <v>43858</v>
      </c>
      <c r="B60" s="32" t="s">
        <v>24</v>
      </c>
      <c r="C60" s="9" t="str">
        <f t="shared" si="14"/>
        <v>43858 - 3S</v>
      </c>
      <c r="D60" s="32" t="s">
        <v>9</v>
      </c>
      <c r="E60" s="2">
        <v>8000038</v>
      </c>
      <c r="F60" s="4" t="str">
        <f>IFERROR(VLOOKUP(E60,Lists!$C:$D,2,0), "N/A")</f>
        <v>TURTLES MILK CHOC PEC BITE SZ</v>
      </c>
      <c r="G60" s="26">
        <f>IFERROR(VLOOKUP(E60,Lists!$C:$E,3,0),0)</f>
        <v>1.9453399999999998</v>
      </c>
      <c r="H60" s="61">
        <f t="shared" si="15"/>
        <v>3600</v>
      </c>
      <c r="I60" s="45">
        <v>3600</v>
      </c>
      <c r="J60" s="33">
        <v>316</v>
      </c>
    </row>
    <row r="61" spans="1:11" x14ac:dyDescent="0.25">
      <c r="A61" s="31">
        <v>43859</v>
      </c>
      <c r="B61" s="32" t="s">
        <v>24</v>
      </c>
      <c r="C61" s="9" t="str">
        <f t="shared" si="14"/>
        <v>43859 - 3S</v>
      </c>
      <c r="D61" s="32" t="s">
        <v>9</v>
      </c>
      <c r="E61" s="2">
        <v>8000038</v>
      </c>
      <c r="F61" s="4" t="str">
        <f>IFERROR(VLOOKUP(E61,Lists!$C:$D,2,0), "N/A")</f>
        <v>TURTLES MILK CHOC PEC BITE SZ</v>
      </c>
      <c r="G61" s="26">
        <f>IFERROR(VLOOKUP(E61,Lists!$C:$E,3,0),0)</f>
        <v>1.9453399999999998</v>
      </c>
      <c r="H61" s="61">
        <f t="shared" si="15"/>
        <v>7920</v>
      </c>
      <c r="I61" s="45">
        <v>7920</v>
      </c>
      <c r="J61" s="33">
        <v>310</v>
      </c>
    </row>
    <row r="62" spans="1:11" x14ac:dyDescent="0.25">
      <c r="A62" s="31">
        <v>43860</v>
      </c>
      <c r="B62" s="32" t="s">
        <v>24</v>
      </c>
      <c r="C62" s="9" t="str">
        <f t="shared" si="14"/>
        <v>43860 - 3S</v>
      </c>
      <c r="D62" s="32" t="s">
        <v>9</v>
      </c>
      <c r="E62" s="2">
        <v>8000038</v>
      </c>
      <c r="F62" s="4" t="str">
        <f>IFERROR(VLOOKUP(E62,Lists!$C:$D,2,0), "N/A")</f>
        <v>TURTLES MILK CHOC PEC BITE SZ</v>
      </c>
      <c r="G62" s="26">
        <f>IFERROR(VLOOKUP(E62,Lists!$C:$E,3,0),0)</f>
        <v>1.9453399999999998</v>
      </c>
      <c r="H62" s="61">
        <f t="shared" si="15"/>
        <v>3600</v>
      </c>
      <c r="I62" s="45">
        <v>3600</v>
      </c>
      <c r="J62" s="33">
        <v>241</v>
      </c>
    </row>
    <row r="63" spans="1:11" x14ac:dyDescent="0.25">
      <c r="A63" s="31">
        <v>43861</v>
      </c>
      <c r="B63" s="32" t="s">
        <v>24</v>
      </c>
      <c r="C63" s="9" t="str">
        <f t="shared" si="14"/>
        <v>43861 - 3S</v>
      </c>
      <c r="D63" s="32" t="s">
        <v>9</v>
      </c>
      <c r="E63" s="2">
        <v>8000038</v>
      </c>
      <c r="F63" s="4" t="str">
        <f>IFERROR(VLOOKUP(E63,Lists!$C:$D,2,0), "N/A")</f>
        <v>TURTLES MILK CHOC PEC BITE SZ</v>
      </c>
      <c r="G63" s="26">
        <f>IFERROR(VLOOKUP(E63,Lists!$C:$E,3,0),0)</f>
        <v>1.9453399999999998</v>
      </c>
      <c r="H63" s="61">
        <f t="shared" si="15"/>
        <v>5040</v>
      </c>
      <c r="I63" s="45">
        <v>5040</v>
      </c>
      <c r="J63" s="33">
        <v>204</v>
      </c>
    </row>
    <row r="64" spans="1:11" x14ac:dyDescent="0.25">
      <c r="I64" s="18">
        <f>SUM(I46:I63)</f>
        <v>102227.36000000002</v>
      </c>
      <c r="J64" s="18">
        <f>SUM(J46:J63)</f>
        <v>6574</v>
      </c>
      <c r="K64" s="62">
        <f>J64/I64</f>
        <v>6.4307637407441595E-2</v>
      </c>
    </row>
    <row r="66" spans="1:10" x14ac:dyDescent="0.25">
      <c r="A66" s="31">
        <v>43865</v>
      </c>
      <c r="B66" s="32" t="s">
        <v>24</v>
      </c>
      <c r="C66" s="9" t="str">
        <f t="shared" ref="C66:C77" si="16">CONCATENATE(A66," - ",B66)</f>
        <v>43865 - 3S</v>
      </c>
      <c r="D66" s="32" t="s">
        <v>9</v>
      </c>
      <c r="E66" s="2">
        <v>8000035</v>
      </c>
      <c r="F66" s="4" t="str">
        <f>IFERROR(VLOOKUP(E66,Lists!$C:$D,2,0), "N/A")</f>
        <v>TURTLES MILK CHOC ORIGINAL</v>
      </c>
      <c r="G66" s="26">
        <f>IFERROR(VLOOKUP(E66,Lists!$C:$F,4,0),0)</f>
        <v>1.91178</v>
      </c>
      <c r="H66" s="61">
        <f t="shared" ref="H66:H77" si="17">I66+J66</f>
        <v>10879</v>
      </c>
      <c r="I66" s="45">
        <v>10646</v>
      </c>
      <c r="J66" s="33">
        <v>233</v>
      </c>
    </row>
    <row r="67" spans="1:10" x14ac:dyDescent="0.25">
      <c r="A67" s="31">
        <v>43866</v>
      </c>
      <c r="B67" s="32" t="s">
        <v>24</v>
      </c>
      <c r="C67" s="9" t="str">
        <f t="shared" si="16"/>
        <v>43866 - 3S</v>
      </c>
      <c r="D67" s="32" t="s">
        <v>9</v>
      </c>
      <c r="E67" s="2">
        <v>8000035</v>
      </c>
      <c r="F67" s="4" t="str">
        <f>IFERROR(VLOOKUP(E67,Lists!$C:$D,2,0), "N/A")</f>
        <v>TURTLES MILK CHOC ORIGINAL</v>
      </c>
      <c r="G67" s="26">
        <f>IFERROR(VLOOKUP(E67,Lists!$C:$F,4,0),0)</f>
        <v>1.91178</v>
      </c>
      <c r="H67" s="61">
        <f t="shared" si="17"/>
        <v>9390</v>
      </c>
      <c r="I67" s="45">
        <v>9165</v>
      </c>
      <c r="J67" s="33">
        <v>225</v>
      </c>
    </row>
    <row r="68" spans="1:10" x14ac:dyDescent="0.25">
      <c r="A68" s="31">
        <v>43867</v>
      </c>
      <c r="B68" s="32" t="s">
        <v>24</v>
      </c>
      <c r="C68" s="9" t="str">
        <f t="shared" si="16"/>
        <v>43867 - 3S</v>
      </c>
      <c r="D68" s="32" t="s">
        <v>9</v>
      </c>
      <c r="E68" s="2">
        <v>8000035</v>
      </c>
      <c r="F68" s="4" t="str">
        <f>IFERROR(VLOOKUP(E68,Lists!$C:$D,2,0), "N/A")</f>
        <v>TURTLES MILK CHOC ORIGINAL</v>
      </c>
      <c r="G68" s="26">
        <f>IFERROR(VLOOKUP(E68,Lists!$C:$F,4,0),0)</f>
        <v>1.91178</v>
      </c>
      <c r="H68" s="61">
        <f t="shared" si="17"/>
        <v>8363</v>
      </c>
      <c r="I68" s="45">
        <v>8077</v>
      </c>
      <c r="J68" s="33">
        <v>286</v>
      </c>
    </row>
    <row r="69" spans="1:10" x14ac:dyDescent="0.25">
      <c r="A69" s="31">
        <v>43868</v>
      </c>
      <c r="B69" s="32" t="s">
        <v>24</v>
      </c>
      <c r="C69" s="9" t="str">
        <f t="shared" si="16"/>
        <v>43868 - 3S</v>
      </c>
      <c r="D69" s="32" t="s">
        <v>9</v>
      </c>
      <c r="E69" s="2">
        <v>8000035</v>
      </c>
      <c r="F69" s="4" t="str">
        <f>IFERROR(VLOOKUP(E69,Lists!$C:$D,2,0), "N/A")</f>
        <v>TURTLES MILK CHOC ORIGINAL</v>
      </c>
      <c r="G69" s="26">
        <f>IFERROR(VLOOKUP(E69,Lists!$C:$F,4,0),0)</f>
        <v>1.91178</v>
      </c>
      <c r="H69" s="61">
        <f t="shared" si="17"/>
        <v>3878</v>
      </c>
      <c r="I69" s="45">
        <v>3623</v>
      </c>
      <c r="J69" s="33">
        <v>255</v>
      </c>
    </row>
    <row r="70" spans="1:10" x14ac:dyDescent="0.25">
      <c r="A70" s="31">
        <v>43871</v>
      </c>
      <c r="B70" s="32" t="s">
        <v>24</v>
      </c>
      <c r="C70" s="9" t="str">
        <f t="shared" si="16"/>
        <v>43871 - 3S</v>
      </c>
      <c r="D70" s="32" t="s">
        <v>9</v>
      </c>
      <c r="E70" s="2">
        <v>8000035</v>
      </c>
      <c r="F70" s="4" t="str">
        <f>IFERROR(VLOOKUP(E70,Lists!$C:$D,2,0), "N/A")</f>
        <v>TURTLES MILK CHOC ORIGINAL</v>
      </c>
      <c r="G70" s="26">
        <f>IFERROR(VLOOKUP(E70,Lists!$C:$F,4,0),0)</f>
        <v>1.91178</v>
      </c>
      <c r="H70" s="61">
        <f t="shared" si="17"/>
        <v>57</v>
      </c>
      <c r="I70" s="45">
        <v>0</v>
      </c>
      <c r="J70" s="33">
        <v>57</v>
      </c>
    </row>
    <row r="71" spans="1:10" x14ac:dyDescent="0.25">
      <c r="A71" s="31">
        <v>43872</v>
      </c>
      <c r="B71" s="32" t="s">
        <v>24</v>
      </c>
      <c r="C71" s="9" t="str">
        <f t="shared" si="16"/>
        <v>43872 - 3S</v>
      </c>
      <c r="D71" s="32" t="s">
        <v>9</v>
      </c>
      <c r="E71" s="2">
        <v>8000046</v>
      </c>
      <c r="F71" s="4" t="str">
        <f>IFERROR(VLOOKUP(E71,Lists!$C:$D,2,0), "N/A")</f>
        <v>TURTLES MC SEA SALT PECAN</v>
      </c>
      <c r="G71" s="26">
        <f>IFERROR(VLOOKUP(E71,Lists!$C:$F,4,0),0)</f>
        <v>1.9184100000000002</v>
      </c>
      <c r="H71" s="61">
        <f t="shared" si="17"/>
        <v>6589</v>
      </c>
      <c r="I71" s="45">
        <v>6415</v>
      </c>
      <c r="J71" s="33">
        <v>174</v>
      </c>
    </row>
    <row r="72" spans="1:10" x14ac:dyDescent="0.25">
      <c r="A72" s="31">
        <v>43873</v>
      </c>
      <c r="B72" s="32" t="s">
        <v>24</v>
      </c>
      <c r="C72" s="9" t="str">
        <f t="shared" si="16"/>
        <v>43873 - 3S</v>
      </c>
      <c r="D72" s="32" t="s">
        <v>9</v>
      </c>
      <c r="E72" s="2">
        <v>8000046</v>
      </c>
      <c r="F72" s="4" t="str">
        <f>IFERROR(VLOOKUP(E72,Lists!$C:$D,2,0), "N/A")</f>
        <v>TURTLES MC SEA SALT PECAN</v>
      </c>
      <c r="G72" s="26">
        <f>IFERROR(VLOOKUP(E72,Lists!$C:$F,4,0),0)</f>
        <v>1.9184100000000002</v>
      </c>
      <c r="H72" s="61">
        <f t="shared" si="17"/>
        <v>7699</v>
      </c>
      <c r="I72" s="45">
        <v>7461</v>
      </c>
      <c r="J72" s="33">
        <v>238</v>
      </c>
    </row>
    <row r="73" spans="1:10" x14ac:dyDescent="0.25">
      <c r="A73" s="31">
        <v>43874</v>
      </c>
      <c r="B73" s="32" t="s">
        <v>24</v>
      </c>
      <c r="C73" s="9" t="str">
        <f t="shared" si="16"/>
        <v>43874 - 3S</v>
      </c>
      <c r="D73" s="32" t="s">
        <v>9</v>
      </c>
      <c r="E73" s="2">
        <v>8000035</v>
      </c>
      <c r="F73" s="4" t="str">
        <f>IFERROR(VLOOKUP(E73,Lists!$C:$D,2,0), "N/A")</f>
        <v>TURTLES MILK CHOC ORIGINAL</v>
      </c>
      <c r="G73" s="26">
        <f>IFERROR(VLOOKUP(E73,Lists!$C:$F,4,0),0)</f>
        <v>1.91178</v>
      </c>
      <c r="H73" s="61">
        <f t="shared" si="17"/>
        <v>8120</v>
      </c>
      <c r="I73" s="45">
        <v>8014</v>
      </c>
      <c r="J73" s="33">
        <v>106</v>
      </c>
    </row>
    <row r="74" spans="1:10" x14ac:dyDescent="0.25">
      <c r="A74" s="31">
        <v>43875</v>
      </c>
      <c r="B74" s="32" t="s">
        <v>24</v>
      </c>
      <c r="C74" s="9" t="str">
        <f t="shared" si="16"/>
        <v>43875 - 3S</v>
      </c>
      <c r="D74" s="32" t="s">
        <v>9</v>
      </c>
      <c r="E74" s="2">
        <v>8000035</v>
      </c>
      <c r="F74" s="4" t="str">
        <f>IFERROR(VLOOKUP(E74,Lists!$C:$D,2,0), "N/A")</f>
        <v>TURTLES MILK CHOC ORIGINAL</v>
      </c>
      <c r="G74" s="26">
        <f>IFERROR(VLOOKUP(E74,Lists!$C:$F,4,0),0)</f>
        <v>1.91178</v>
      </c>
      <c r="H74" s="61">
        <f t="shared" si="17"/>
        <v>7502</v>
      </c>
      <c r="I74" s="45">
        <v>7301</v>
      </c>
      <c r="J74" s="33">
        <v>201</v>
      </c>
    </row>
    <row r="75" spans="1:10" x14ac:dyDescent="0.25">
      <c r="A75" s="31">
        <v>43880</v>
      </c>
      <c r="B75" s="32" t="s">
        <v>24</v>
      </c>
      <c r="C75" s="9" t="str">
        <f t="shared" si="16"/>
        <v>43880 - 3S</v>
      </c>
      <c r="D75" s="32" t="s">
        <v>9</v>
      </c>
      <c r="E75" s="2">
        <v>8000035</v>
      </c>
      <c r="F75" s="4" t="str">
        <f>IFERROR(VLOOKUP(E75,Lists!$C:$D,2,0), "N/A")</f>
        <v>TURTLES MILK CHOC ORIGINAL</v>
      </c>
      <c r="G75" s="26">
        <f>IFERROR(VLOOKUP(E75,Lists!$C:$F,4,0),0)</f>
        <v>1.91178</v>
      </c>
      <c r="H75" s="61">
        <f t="shared" si="17"/>
        <v>9390</v>
      </c>
      <c r="I75" s="45">
        <v>9121</v>
      </c>
      <c r="J75" s="33">
        <v>269</v>
      </c>
    </row>
    <row r="76" spans="1:10" x14ac:dyDescent="0.25">
      <c r="A76" s="31">
        <v>43881</v>
      </c>
      <c r="B76" s="32" t="s">
        <v>24</v>
      </c>
      <c r="C76" s="9" t="str">
        <f t="shared" si="16"/>
        <v>43881 - 3S</v>
      </c>
      <c r="D76" s="32" t="s">
        <v>9</v>
      </c>
      <c r="E76" s="2">
        <v>8000035</v>
      </c>
      <c r="F76" s="4" t="str">
        <f>IFERROR(VLOOKUP(E76,Lists!$C:$D,2,0), "N/A")</f>
        <v>TURTLES MILK CHOC ORIGINAL</v>
      </c>
      <c r="G76" s="26">
        <f>IFERROR(VLOOKUP(E76,Lists!$C:$F,4,0),0)</f>
        <v>1.91178</v>
      </c>
      <c r="H76" s="61">
        <f t="shared" si="17"/>
        <v>8930</v>
      </c>
      <c r="I76" s="45">
        <v>8727</v>
      </c>
      <c r="J76" s="33">
        <v>203</v>
      </c>
    </row>
    <row r="77" spans="1:10" x14ac:dyDescent="0.25">
      <c r="A77" s="31">
        <v>43882</v>
      </c>
      <c r="B77" s="32" t="s">
        <v>24</v>
      </c>
      <c r="C77" s="9" t="str">
        <f t="shared" si="16"/>
        <v>43882 - 3S</v>
      </c>
      <c r="D77" s="32" t="s">
        <v>9</v>
      </c>
      <c r="E77" s="2">
        <v>8000035</v>
      </c>
      <c r="F77" s="4" t="str">
        <f>IFERROR(VLOOKUP(E77,Lists!$C:$D,2,0), "N/A")</f>
        <v>TURTLES MILK CHOC ORIGINAL</v>
      </c>
      <c r="G77" s="26">
        <f>IFERROR(VLOOKUP(E77,Lists!$C:$F,4,0),0)</f>
        <v>1.91178</v>
      </c>
      <c r="H77" s="61">
        <f t="shared" si="17"/>
        <v>11360</v>
      </c>
      <c r="I77" s="45">
        <v>11163</v>
      </c>
      <c r="J77" s="33">
        <v>197</v>
      </c>
    </row>
    <row r="78" spans="1:10" x14ac:dyDescent="0.25">
      <c r="A78" s="31">
        <v>43886</v>
      </c>
      <c r="B78" s="32" t="s">
        <v>24</v>
      </c>
      <c r="C78" s="9" t="s">
        <v>233</v>
      </c>
      <c r="D78" s="32" t="s">
        <v>9</v>
      </c>
      <c r="E78" s="2">
        <v>8000035</v>
      </c>
      <c r="F78" s="4" t="s">
        <v>22</v>
      </c>
      <c r="G78" s="26">
        <v>1.91178</v>
      </c>
      <c r="H78" s="61">
        <v>9383</v>
      </c>
      <c r="I78" s="45">
        <v>8931</v>
      </c>
      <c r="J78" s="33">
        <v>452</v>
      </c>
    </row>
    <row r="79" spans="1:10" x14ac:dyDescent="0.25">
      <c r="A79" s="31">
        <v>43887</v>
      </c>
      <c r="B79" s="32" t="s">
        <v>24</v>
      </c>
      <c r="C79" s="9" t="s">
        <v>236</v>
      </c>
      <c r="D79" s="32" t="s">
        <v>9</v>
      </c>
      <c r="E79" s="2">
        <v>8000035</v>
      </c>
      <c r="F79" s="4" t="s">
        <v>22</v>
      </c>
      <c r="G79" s="26">
        <v>1.91178</v>
      </c>
      <c r="H79" s="61">
        <v>11228</v>
      </c>
      <c r="I79" s="45">
        <v>10882</v>
      </c>
      <c r="J79" s="33">
        <v>346</v>
      </c>
    </row>
    <row r="80" spans="1:10" x14ac:dyDescent="0.25">
      <c r="A80" s="31">
        <v>43888</v>
      </c>
      <c r="B80" s="32" t="s">
        <v>24</v>
      </c>
      <c r="C80" s="9" t="str">
        <f>CONCATENATE(A80," - ",B80)</f>
        <v>43888 - 3S</v>
      </c>
      <c r="D80" s="32" t="s">
        <v>9</v>
      </c>
      <c r="E80" s="2">
        <v>8000035</v>
      </c>
      <c r="F80" s="4" t="str">
        <f>IFERROR(VLOOKUP(E80,Lists!$C:$D,2,0), "N/A")</f>
        <v>TURTLES MILK CHOC ORIGINAL</v>
      </c>
      <c r="G80" s="26">
        <f>IFERROR(VLOOKUP(E80,Lists!$C:$F,4,0),0)</f>
        <v>1.91178</v>
      </c>
      <c r="H80" s="61">
        <f>I80+J80</f>
        <v>7684</v>
      </c>
      <c r="I80" s="20">
        <f>860+6329</f>
        <v>7189</v>
      </c>
      <c r="J80" s="33">
        <v>495</v>
      </c>
    </row>
    <row r="81" spans="1:11" x14ac:dyDescent="0.25">
      <c r="A81" s="31">
        <v>43889</v>
      </c>
      <c r="B81" s="32" t="s">
        <v>24</v>
      </c>
      <c r="C81" s="9" t="str">
        <f>CONCATENATE(A81," - ",B81)</f>
        <v>43889 - 3S</v>
      </c>
      <c r="D81" s="32" t="s">
        <v>9</v>
      </c>
      <c r="E81" s="2">
        <v>8000035</v>
      </c>
      <c r="F81" s="4" t="str">
        <f>IFERROR(VLOOKUP(E81,Lists!$C:$D,2,0), "N/A")</f>
        <v>TURTLES MILK CHOC ORIGINAL</v>
      </c>
      <c r="G81" s="26">
        <f>IFERROR(VLOOKUP(E81,Lists!$C:$F,4,0),0)</f>
        <v>1.91178</v>
      </c>
      <c r="H81" s="61">
        <f>I81+J81</f>
        <v>14013</v>
      </c>
      <c r="I81" s="45">
        <v>13637</v>
      </c>
      <c r="J81" s="33">
        <v>376</v>
      </c>
    </row>
    <row r="82" spans="1:11" x14ac:dyDescent="0.25">
      <c r="I82" s="18">
        <f>SUM(I66:I81)</f>
        <v>130352</v>
      </c>
      <c r="J82" s="18">
        <f>SUM(J66:J81)</f>
        <v>4113</v>
      </c>
      <c r="K82" s="62">
        <f>J82/I82</f>
        <v>3.1553025653614827E-2</v>
      </c>
    </row>
    <row r="85" spans="1:11" x14ac:dyDescent="0.25">
      <c r="A85" s="31">
        <v>43893</v>
      </c>
      <c r="B85" s="32" t="s">
        <v>24</v>
      </c>
      <c r="C85" s="9" t="s">
        <v>262</v>
      </c>
      <c r="D85" s="32" t="s">
        <v>9</v>
      </c>
      <c r="E85" s="46">
        <v>8000038</v>
      </c>
      <c r="F85" s="4" t="s">
        <v>21</v>
      </c>
      <c r="G85" s="26">
        <v>1.96</v>
      </c>
      <c r="H85" s="61">
        <v>4517</v>
      </c>
      <c r="I85" s="20">
        <v>4320</v>
      </c>
      <c r="J85" s="33">
        <v>197</v>
      </c>
    </row>
    <row r="86" spans="1:11" x14ac:dyDescent="0.25">
      <c r="A86" s="31">
        <v>43894</v>
      </c>
      <c r="B86" s="32" t="s">
        <v>24</v>
      </c>
      <c r="C86" s="9" t="s">
        <v>268</v>
      </c>
      <c r="D86" s="32" t="s">
        <v>9</v>
      </c>
      <c r="E86" s="46">
        <v>8000038</v>
      </c>
      <c r="F86" s="4" t="s">
        <v>21</v>
      </c>
      <c r="G86" s="26">
        <v>1.96</v>
      </c>
      <c r="H86" s="61">
        <v>3909</v>
      </c>
      <c r="I86" s="20">
        <v>3600</v>
      </c>
      <c r="J86" s="33">
        <v>309</v>
      </c>
    </row>
    <row r="87" spans="1:11" x14ac:dyDescent="0.25">
      <c r="A87" s="31">
        <v>43895</v>
      </c>
      <c r="B87" s="32" t="s">
        <v>24</v>
      </c>
      <c r="C87" s="9" t="str">
        <f>CONCATENATE(A87," - ",B87)</f>
        <v>43895 - 3S</v>
      </c>
      <c r="D87" s="32" t="s">
        <v>9</v>
      </c>
      <c r="E87" s="2">
        <v>8000038</v>
      </c>
      <c r="F87" s="4" t="str">
        <f>IFERROR(VLOOKUP(E87,Lists!$C:$D,2,0), "N/A")</f>
        <v>TURTLES MILK CHOC PEC BITE SZ</v>
      </c>
      <c r="G87" s="26">
        <f>IFERROR(VLOOKUP(E87,Lists!$C:$F,4,0),0)</f>
        <v>1.96</v>
      </c>
      <c r="H87" s="61">
        <f>I87+J87</f>
        <v>8214</v>
      </c>
      <c r="I87" s="45">
        <v>7920</v>
      </c>
      <c r="J87" s="33">
        <v>294</v>
      </c>
    </row>
    <row r="88" spans="1:11" x14ac:dyDescent="0.25">
      <c r="I88" s="18">
        <f>SUM(I85:I87)</f>
        <v>15840</v>
      </c>
      <c r="J88" s="18">
        <f>SUM(J85:J87)</f>
        <v>800</v>
      </c>
      <c r="K88" s="62">
        <f>J88/I88</f>
        <v>5.0505050505050504E-2</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6" id="{2D4B4D9B-F446-4CE1-9D1A-4502D3B62C24}">
            <xm:f>L3=Lists!$Q$2</xm:f>
            <x14:dxf>
              <font>
                <color rgb="FF006100"/>
              </font>
              <fill>
                <patternFill>
                  <bgColor rgb="FFC6EFCE"/>
                </patternFill>
              </fill>
            </x14:dxf>
          </x14:cfRule>
          <x14:cfRule type="expression" priority="27" id="{00A24D82-877B-46F6-A955-9C6A7DBCB100}">
            <xm:f>L3&gt;Lists!$Q$2</xm:f>
            <x14:dxf>
              <font>
                <color rgb="FF9C0006"/>
              </font>
              <fill>
                <patternFill>
                  <bgColor rgb="FFFFC7CE"/>
                </patternFill>
              </fill>
            </x14:dxf>
          </x14:cfRule>
          <xm:sqref>L35:L38 L3:L22</xm:sqref>
        </x14:conditionalFormatting>
        <x14:conditionalFormatting xmlns:xm="http://schemas.microsoft.com/office/excel/2006/main">
          <x14:cfRule type="expression" priority="25" id="{61F9DC68-23C0-445F-A88B-6A6AFCC710BF}">
            <xm:f>L3&lt;Lists!$Q$2</xm:f>
            <x14:dxf>
              <font>
                <color rgb="FF006100"/>
              </font>
              <fill>
                <patternFill>
                  <bgColor rgb="FFC6EFCE"/>
                </patternFill>
              </fill>
            </x14:dxf>
          </x14:cfRule>
          <xm:sqref>L35:L38 L3:L22</xm:sqref>
        </x14:conditionalFormatting>
        <x14:conditionalFormatting xmlns:xm="http://schemas.microsoft.com/office/excel/2006/main">
          <x14:cfRule type="expression" priority="23" id="{D5B908D1-8ED2-4C18-A4F0-9F6C00648C45}">
            <xm:f>L24=Lists!$Q$2</xm:f>
            <x14:dxf>
              <font>
                <color rgb="FF006100"/>
              </font>
              <fill>
                <patternFill>
                  <bgColor rgb="FFC6EFCE"/>
                </patternFill>
              </fill>
            </x14:dxf>
          </x14:cfRule>
          <x14:cfRule type="expression" priority="24" id="{46C5FE83-5024-4122-96D6-ECC56B9883E9}">
            <xm:f>L24&gt;Lists!$Q$2</xm:f>
            <x14:dxf>
              <font>
                <color rgb="FF9C0006"/>
              </font>
              <fill>
                <patternFill>
                  <bgColor rgb="FFFFC7CE"/>
                </patternFill>
              </fill>
            </x14:dxf>
          </x14:cfRule>
          <xm:sqref>L24:L32</xm:sqref>
        </x14:conditionalFormatting>
        <x14:conditionalFormatting xmlns:xm="http://schemas.microsoft.com/office/excel/2006/main">
          <x14:cfRule type="expression" priority="22" id="{CF7DA0EB-52B4-4E31-A9C4-F248B038D9E0}">
            <xm:f>L24&lt;Lists!$Q$2</xm:f>
            <x14:dxf>
              <font>
                <color rgb="FF006100"/>
              </font>
              <fill>
                <patternFill>
                  <bgColor rgb="FFC6EFCE"/>
                </patternFill>
              </fill>
            </x14:dxf>
          </x14:cfRule>
          <xm:sqref>L24:L32</xm:sqref>
        </x14:conditionalFormatting>
        <x14:conditionalFormatting xmlns:xm="http://schemas.microsoft.com/office/excel/2006/main">
          <x14:cfRule type="expression" priority="17" id="{D8F77156-4876-4B6B-B26B-0FA0242FCB61}">
            <xm:f>Y33=Lists!$Q$2</xm:f>
            <x14:dxf>
              <font>
                <color rgb="FF006100"/>
              </font>
              <fill>
                <patternFill>
                  <bgColor rgb="FFC6EFCE"/>
                </patternFill>
              </fill>
            </x14:dxf>
          </x14:cfRule>
          <x14:cfRule type="expression" priority="18" id="{10621BD7-CD66-4607-99D0-C18653610B9B}">
            <xm:f>Y33&gt;Lists!$Q$2</xm:f>
            <x14:dxf>
              <font>
                <color rgb="FF9C0006"/>
              </font>
              <fill>
                <patternFill>
                  <bgColor rgb="FFFFC7CE"/>
                </patternFill>
              </fill>
            </x14:dxf>
          </x14:cfRule>
          <xm:sqref>Y33</xm:sqref>
        </x14:conditionalFormatting>
        <x14:conditionalFormatting xmlns:xm="http://schemas.microsoft.com/office/excel/2006/main">
          <x14:cfRule type="expression" priority="16" id="{76540672-AE67-4BD0-BE8A-5901DAD2E59B}">
            <xm:f>Y33&lt;Lists!$Q$2</xm:f>
            <x14:dxf>
              <font>
                <color rgb="FF006100"/>
              </font>
              <fill>
                <patternFill>
                  <bgColor rgb="FFC6EFCE"/>
                </patternFill>
              </fill>
            </x14:dxf>
          </x14:cfRule>
          <xm:sqref>Y33</xm:sqref>
        </x14:conditionalFormatting>
        <x14:conditionalFormatting xmlns:xm="http://schemas.microsoft.com/office/excel/2006/main">
          <x14:cfRule type="expression" priority="14" id="{D14C9A70-8528-41C7-8AFB-CA83E6CAF6EC}">
            <xm:f>Y34=Lists!$Q$2</xm:f>
            <x14:dxf>
              <font>
                <color rgb="FF006100"/>
              </font>
              <fill>
                <patternFill>
                  <bgColor rgb="FFC6EFCE"/>
                </patternFill>
              </fill>
            </x14:dxf>
          </x14:cfRule>
          <x14:cfRule type="expression" priority="15" id="{4CD38F9F-B738-42AD-93AE-58ACDA2A3F2F}">
            <xm:f>Y34&gt;Lists!$Q$2</xm:f>
            <x14:dxf>
              <font>
                <color rgb="FF9C0006"/>
              </font>
              <fill>
                <patternFill>
                  <bgColor rgb="FFFFC7CE"/>
                </patternFill>
              </fill>
            </x14:dxf>
          </x14:cfRule>
          <xm:sqref>Y34</xm:sqref>
        </x14:conditionalFormatting>
        <x14:conditionalFormatting xmlns:xm="http://schemas.microsoft.com/office/excel/2006/main">
          <x14:cfRule type="expression" priority="13" id="{5CE9473B-043B-47A2-A4CC-7283AFB57606}">
            <xm:f>Y34&lt;Lists!$Q$2</xm:f>
            <x14:dxf>
              <font>
                <color rgb="FF006100"/>
              </font>
              <fill>
                <patternFill>
                  <bgColor rgb="FFC6EFCE"/>
                </patternFill>
              </fill>
            </x14:dxf>
          </x14:cfRule>
          <xm:sqref>Y34</xm:sqref>
        </x14:conditionalFormatting>
        <x14:conditionalFormatting xmlns:xm="http://schemas.microsoft.com/office/excel/2006/main">
          <x14:cfRule type="expression" priority="11" id="{6B2664ED-FB60-4F96-904C-04F83405FD2E}">
            <xm:f>Y35=Lists!$Q$2</xm:f>
            <x14:dxf>
              <font>
                <color rgb="FF006100"/>
              </font>
              <fill>
                <patternFill>
                  <bgColor rgb="FFC6EFCE"/>
                </patternFill>
              </fill>
            </x14:dxf>
          </x14:cfRule>
          <x14:cfRule type="expression" priority="12" id="{3F29152E-16BA-47E8-815D-93E0C5B9BA84}">
            <xm:f>Y35&gt;Lists!$Q$2</xm:f>
            <x14:dxf>
              <font>
                <color rgb="FF9C0006"/>
              </font>
              <fill>
                <patternFill>
                  <bgColor rgb="FFFFC7CE"/>
                </patternFill>
              </fill>
            </x14:dxf>
          </x14:cfRule>
          <xm:sqref>Y35</xm:sqref>
        </x14:conditionalFormatting>
        <x14:conditionalFormatting xmlns:xm="http://schemas.microsoft.com/office/excel/2006/main">
          <x14:cfRule type="expression" priority="10" id="{E7543767-46B2-4C42-A81A-82EBBAC94C99}">
            <xm:f>Y35&lt;Lists!$Q$2</xm:f>
            <x14:dxf>
              <font>
                <color rgb="FF006100"/>
              </font>
              <fill>
                <patternFill>
                  <bgColor rgb="FFC6EFCE"/>
                </patternFill>
              </fill>
            </x14:dxf>
          </x14:cfRule>
          <xm:sqref>Y35</xm:sqref>
        </x14:conditionalFormatting>
        <x14:conditionalFormatting xmlns:xm="http://schemas.microsoft.com/office/excel/2006/main">
          <x14:cfRule type="expression" priority="8" id="{F1FD63F6-7970-40FE-AFBA-AA88C7104C41}">
            <xm:f>Y36=Lists!$Q$2</xm:f>
            <x14:dxf>
              <font>
                <color rgb="FF006100"/>
              </font>
              <fill>
                <patternFill>
                  <bgColor rgb="FFC6EFCE"/>
                </patternFill>
              </fill>
            </x14:dxf>
          </x14:cfRule>
          <x14:cfRule type="expression" priority="9" id="{BAAB01E7-BC79-4F68-BF5A-5DCED036A63A}">
            <xm:f>Y36&gt;Lists!$Q$2</xm:f>
            <x14:dxf>
              <font>
                <color rgb="FF9C0006"/>
              </font>
              <fill>
                <patternFill>
                  <bgColor rgb="FFFFC7CE"/>
                </patternFill>
              </fill>
            </x14:dxf>
          </x14:cfRule>
          <xm:sqref>Y36</xm:sqref>
        </x14:conditionalFormatting>
        <x14:conditionalFormatting xmlns:xm="http://schemas.microsoft.com/office/excel/2006/main">
          <x14:cfRule type="expression" priority="7" id="{77E1BD59-A6B5-4569-946C-1D421BC583C9}">
            <xm:f>Y36&lt;Lists!$Q$2</xm:f>
            <x14:dxf>
              <font>
                <color rgb="FF006100"/>
              </font>
              <fill>
                <patternFill>
                  <bgColor rgb="FFC6EFCE"/>
                </patternFill>
              </fill>
            </x14:dxf>
          </x14:cfRule>
          <xm:sqref>Y36</xm:sqref>
        </x14:conditionalFormatting>
        <x14:conditionalFormatting xmlns:xm="http://schemas.microsoft.com/office/excel/2006/main">
          <x14:cfRule type="expression" priority="5" id="{63B83774-5A35-4781-A1E2-FB92A8DECC0A}">
            <xm:f>Y37=Lists!$Q$2</xm:f>
            <x14:dxf>
              <font>
                <color rgb="FF006100"/>
              </font>
              <fill>
                <patternFill>
                  <bgColor rgb="FFC6EFCE"/>
                </patternFill>
              </fill>
            </x14:dxf>
          </x14:cfRule>
          <x14:cfRule type="expression" priority="6" id="{4350DEAA-3F95-4EA7-B555-ECA3F5C524A3}">
            <xm:f>Y37&gt;Lists!$Q$2</xm:f>
            <x14:dxf>
              <font>
                <color rgb="FF9C0006"/>
              </font>
              <fill>
                <patternFill>
                  <bgColor rgb="FFFFC7CE"/>
                </patternFill>
              </fill>
            </x14:dxf>
          </x14:cfRule>
          <xm:sqref>Y37</xm:sqref>
        </x14:conditionalFormatting>
        <x14:conditionalFormatting xmlns:xm="http://schemas.microsoft.com/office/excel/2006/main">
          <x14:cfRule type="expression" priority="4" id="{11C1C386-47C4-4E24-AB18-211E07170BE1}">
            <xm:f>Y37&lt;Lists!$Q$2</xm:f>
            <x14:dxf>
              <font>
                <color rgb="FF006100"/>
              </font>
              <fill>
                <patternFill>
                  <bgColor rgb="FFC6EFCE"/>
                </patternFill>
              </fill>
            </x14:dxf>
          </x14:cfRule>
          <xm:sqref>Y37</xm:sqref>
        </x14:conditionalFormatting>
        <x14:conditionalFormatting xmlns:xm="http://schemas.microsoft.com/office/excel/2006/main">
          <x14:cfRule type="expression" priority="2" id="{84D2D363-4BBB-483A-A02F-4DC7BC160770}">
            <xm:f>X43=Lists!$Q$2</xm:f>
            <x14:dxf>
              <font>
                <color rgb="FF006100"/>
              </font>
              <fill>
                <patternFill>
                  <bgColor rgb="FFC6EFCE"/>
                </patternFill>
              </fill>
            </x14:dxf>
          </x14:cfRule>
          <x14:cfRule type="expression" priority="3" id="{0C3C29DF-07F1-431C-884F-3BEC3BE0B3A3}">
            <xm:f>X43&gt;Lists!$Q$2</xm:f>
            <x14:dxf>
              <font>
                <color rgb="FF9C0006"/>
              </font>
              <fill>
                <patternFill>
                  <bgColor rgb="FFFFC7CE"/>
                </patternFill>
              </fill>
            </x14:dxf>
          </x14:cfRule>
          <xm:sqref>X43</xm:sqref>
        </x14:conditionalFormatting>
        <x14:conditionalFormatting xmlns:xm="http://schemas.microsoft.com/office/excel/2006/main">
          <x14:cfRule type="expression" priority="1" id="{8CC87B46-A87A-450F-9AA1-82006638AE30}">
            <xm:f>X43&lt;Lists!$Q$2</xm:f>
            <x14:dxf>
              <font>
                <color rgb="FF006100"/>
              </font>
              <fill>
                <patternFill>
                  <bgColor rgb="FFC6EFCE"/>
                </patternFill>
              </fill>
            </x14:dxf>
          </x14:cfRule>
          <xm:sqref>X43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531E6E6-0FD8-4C34-AE42-AFEBE35E872C}">
          <x14:formula1>
            <xm:f>Lists!$B$2:$B$52</xm:f>
          </x14:formula1>
          <xm:sqref>E3:E21 E24:E32 E35:E38 R3:R20 R24:R39 Q42:Q45 D46:D63 D66:D81 D85:D87</xm:sqref>
        </x14:dataValidation>
        <x14:dataValidation type="list" allowBlank="1" showInputMessage="1" showErrorMessage="1" xr:uid="{8993F5B4-0856-4310-A2C6-23ADFCAAEFED}">
          <x14:formula1>
            <xm:f>Lists!$A$2:$A$52</xm:f>
          </x14:formula1>
          <xm:sqref>C3:C21 C24:C32 C35:C38 P3:P20 P24:P39 O42:O45 B46:B63 B66:B81 B85:B87</xm:sqref>
        </x14:dataValidation>
        <x14:dataValidation type="list" allowBlank="1" showInputMessage="1" showErrorMessage="1" xr:uid="{2BC6E407-69A8-4EC8-BD76-4FEFC1092BA0}">
          <x14:formula1>
            <xm:f>Lists!$C$2:$C$52</xm:f>
          </x14:formula1>
          <xm:sqref>F3:F21 F24:F32 F35:F38 S3:S20 S24:S39 R42:R45 E46:E63 E66:E81 E85:E87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B9C93-0B61-4BE9-89C9-F04786D12A55}">
  <sheetPr>
    <tabColor rgb="FFFFFF99"/>
  </sheetPr>
  <dimension ref="A1:D4"/>
  <sheetViews>
    <sheetView workbookViewId="0">
      <selection activeCell="Y9" sqref="Y9"/>
    </sheetView>
  </sheetViews>
  <sheetFormatPr defaultRowHeight="15" x14ac:dyDescent="0.25"/>
  <sheetData>
    <row r="1" spans="1:4" x14ac:dyDescent="0.25">
      <c r="B1" t="s">
        <v>279</v>
      </c>
      <c r="C1" t="s">
        <v>280</v>
      </c>
      <c r="D1" t="s">
        <v>281</v>
      </c>
    </row>
    <row r="2" spans="1:4" x14ac:dyDescent="0.25">
      <c r="A2" t="s">
        <v>282</v>
      </c>
      <c r="B2">
        <v>4.79</v>
      </c>
      <c r="C2">
        <v>3.13</v>
      </c>
      <c r="D2">
        <v>4.3</v>
      </c>
    </row>
    <row r="3" spans="1:4" x14ac:dyDescent="0.25">
      <c r="A3" t="s">
        <v>283</v>
      </c>
      <c r="B3">
        <v>7.05</v>
      </c>
      <c r="C3">
        <v>3.77</v>
      </c>
      <c r="D3">
        <v>7.83</v>
      </c>
    </row>
    <row r="4" spans="1:4" x14ac:dyDescent="0.25">
      <c r="A4" t="s">
        <v>284</v>
      </c>
      <c r="B4">
        <v>6.43</v>
      </c>
      <c r="C4">
        <v>3.16</v>
      </c>
      <c r="D4">
        <v>5.05</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D1AD5-1552-47DF-A714-0B7AE9E132F2}">
  <dimension ref="A1:F145"/>
  <sheetViews>
    <sheetView tabSelected="1" workbookViewId="0"/>
  </sheetViews>
  <sheetFormatPr defaultRowHeight="15" x14ac:dyDescent="0.25"/>
  <cols>
    <col min="1" max="1" width="11.5703125" bestFit="1" customWidth="1"/>
    <col min="2" max="2" width="12" bestFit="1" customWidth="1"/>
    <col min="3" max="3" width="16.5703125" bestFit="1" customWidth="1"/>
    <col min="4" max="4" width="9.42578125" bestFit="1" customWidth="1"/>
    <col min="5" max="5" width="11.5703125" bestFit="1" customWidth="1"/>
    <col min="6" max="6" width="10.7109375" bestFit="1" customWidth="1"/>
  </cols>
  <sheetData>
    <row r="1" spans="1:6" ht="15.75" x14ac:dyDescent="0.25">
      <c r="A1" s="90" t="s">
        <v>0</v>
      </c>
      <c r="B1" s="90" t="s">
        <v>647</v>
      </c>
      <c r="C1" s="90" t="s">
        <v>648</v>
      </c>
      <c r="D1" s="90" t="s">
        <v>649</v>
      </c>
      <c r="E1" s="90" t="s">
        <v>651</v>
      </c>
      <c r="F1" s="90" t="s">
        <v>650</v>
      </c>
    </row>
    <row r="2" spans="1:6" ht="15.75" x14ac:dyDescent="0.25">
      <c r="A2" s="84">
        <v>43832</v>
      </c>
      <c r="B2" s="85">
        <v>1171</v>
      </c>
      <c r="C2" s="86">
        <v>0.15863081691484057</v>
      </c>
      <c r="D2" s="87">
        <v>7381.92</v>
      </c>
      <c r="E2" s="94">
        <v>2219.63294</v>
      </c>
      <c r="F2" s="89">
        <v>8000038</v>
      </c>
    </row>
    <row r="3" spans="1:6" ht="15.75" x14ac:dyDescent="0.25">
      <c r="A3" s="84">
        <v>43833</v>
      </c>
      <c r="B3" s="85">
        <v>1193</v>
      </c>
      <c r="C3" s="86">
        <v>8.504001442757661E-2</v>
      </c>
      <c r="D3" s="87">
        <v>14028.690000000002</v>
      </c>
      <c r="E3" s="94">
        <v>2320.7906199999998</v>
      </c>
      <c r="F3" s="89">
        <v>8000038</v>
      </c>
    </row>
    <row r="4" spans="1:6" ht="15.75" x14ac:dyDescent="0.25">
      <c r="A4" s="84">
        <v>43836</v>
      </c>
      <c r="B4" s="85">
        <v>866</v>
      </c>
      <c r="C4" s="86">
        <v>3.2111180326896263E-2</v>
      </c>
      <c r="D4" s="87">
        <v>26968.799999999999</v>
      </c>
      <c r="E4" s="94">
        <v>1642.77602</v>
      </c>
      <c r="F4" s="89">
        <v>8000035</v>
      </c>
    </row>
    <row r="5" spans="1:6" ht="15.75" x14ac:dyDescent="0.25">
      <c r="A5" s="84">
        <v>43837</v>
      </c>
      <c r="B5" s="85">
        <v>833</v>
      </c>
      <c r="C5" s="86">
        <v>2.7852824737855771E-2</v>
      </c>
      <c r="D5" s="87">
        <v>29907.199999999997</v>
      </c>
      <c r="E5" s="94">
        <v>1580.1760100000001</v>
      </c>
      <c r="F5" s="89">
        <v>8000035</v>
      </c>
    </row>
    <row r="6" spans="1:6" ht="15.75" x14ac:dyDescent="0.25">
      <c r="A6" s="84">
        <v>43838</v>
      </c>
      <c r="B6" s="85">
        <v>1364</v>
      </c>
      <c r="C6" s="86">
        <v>4.8966111430212525E-2</v>
      </c>
      <c r="D6" s="87">
        <v>27856</v>
      </c>
      <c r="E6" s="94">
        <v>2587.4670800000004</v>
      </c>
      <c r="F6" s="89">
        <v>8000035</v>
      </c>
    </row>
    <row r="7" spans="1:6" ht="15.75" x14ac:dyDescent="0.25">
      <c r="A7" s="84">
        <v>43839</v>
      </c>
      <c r="B7" s="85">
        <v>1001</v>
      </c>
      <c r="C7" s="86">
        <v>3.5934807581849512E-2</v>
      </c>
      <c r="D7" s="87">
        <v>27856</v>
      </c>
      <c r="E7" s="94">
        <v>1898.86697</v>
      </c>
      <c r="F7" s="89">
        <v>8000035</v>
      </c>
    </row>
    <row r="8" spans="1:6" ht="15.75" x14ac:dyDescent="0.25">
      <c r="A8" s="84">
        <v>43840</v>
      </c>
      <c r="B8" s="85">
        <v>918</v>
      </c>
      <c r="C8" s="86">
        <v>4.4854004612437944E-2</v>
      </c>
      <c r="D8" s="87">
        <v>20466.400000000001</v>
      </c>
      <c r="E8" s="94">
        <v>1741.4184600000001</v>
      </c>
      <c r="F8" s="89">
        <v>8000035</v>
      </c>
    </row>
    <row r="9" spans="1:6" ht="15.75" x14ac:dyDescent="0.25">
      <c r="A9" s="84">
        <v>43843</v>
      </c>
      <c r="B9" s="85">
        <v>1013</v>
      </c>
      <c r="C9" s="86">
        <v>4.7197062879719705E-2</v>
      </c>
      <c r="D9" s="87">
        <v>21463.200000000001</v>
      </c>
      <c r="E9" s="94">
        <v>1921.6306100000002</v>
      </c>
      <c r="F9" s="89">
        <v>8000035</v>
      </c>
    </row>
    <row r="10" spans="1:6" ht="15.75" x14ac:dyDescent="0.25">
      <c r="A10" s="84">
        <v>43844</v>
      </c>
      <c r="B10" s="85">
        <v>1262</v>
      </c>
      <c r="C10" s="86">
        <v>8.2390607209635133E-2</v>
      </c>
      <c r="D10" s="87">
        <v>15317.279999999999</v>
      </c>
      <c r="E10" s="94">
        <v>2393.9761400000002</v>
      </c>
      <c r="F10" s="89">
        <v>8000035</v>
      </c>
    </row>
    <row r="11" spans="1:6" ht="15.75" x14ac:dyDescent="0.25">
      <c r="A11" s="84">
        <v>43845</v>
      </c>
      <c r="B11" s="85">
        <v>1161</v>
      </c>
      <c r="C11" s="86">
        <v>6.2645687645687634E-2</v>
      </c>
      <c r="D11" s="87">
        <v>18532.800000000003</v>
      </c>
      <c r="E11" s="94">
        <v>2202.3821700000003</v>
      </c>
      <c r="F11" s="89">
        <v>8000035</v>
      </c>
    </row>
    <row r="12" spans="1:6" ht="15.75" x14ac:dyDescent="0.25">
      <c r="A12" s="84">
        <v>43846</v>
      </c>
      <c r="B12" s="85">
        <v>1443</v>
      </c>
      <c r="C12" s="86">
        <v>8.4350448933782282E-2</v>
      </c>
      <c r="D12" s="87">
        <v>17107.199999999997</v>
      </c>
      <c r="E12" s="94">
        <v>2737.3277099999996</v>
      </c>
      <c r="F12" s="89">
        <v>8000035</v>
      </c>
    </row>
    <row r="13" spans="1:6" ht="15.75" x14ac:dyDescent="0.25">
      <c r="A13" s="84">
        <v>43847</v>
      </c>
      <c r="B13" s="85">
        <v>904</v>
      </c>
      <c r="C13" s="86">
        <v>0.13089611713464924</v>
      </c>
      <c r="D13" s="87">
        <v>6906.24</v>
      </c>
      <c r="E13" s="94">
        <v>1714.86088</v>
      </c>
      <c r="F13" s="89">
        <v>8000035</v>
      </c>
    </row>
    <row r="14" spans="1:6" ht="15.75" x14ac:dyDescent="0.25">
      <c r="A14" s="84">
        <v>43852</v>
      </c>
      <c r="B14" s="85">
        <v>1377</v>
      </c>
      <c r="C14" s="86">
        <v>8.9814032121724424E-2</v>
      </c>
      <c r="D14" s="87">
        <v>15331.68</v>
      </c>
      <c r="E14" s="94">
        <v>2678.7331799999997</v>
      </c>
      <c r="F14" s="89">
        <v>8000038</v>
      </c>
    </row>
    <row r="15" spans="1:6" ht="15.75" x14ac:dyDescent="0.25">
      <c r="A15" s="84">
        <v>43853</v>
      </c>
      <c r="B15" s="85">
        <v>1127</v>
      </c>
      <c r="C15" s="86">
        <v>0.16060651404060053</v>
      </c>
      <c r="D15" s="87">
        <v>7017.15</v>
      </c>
      <c r="E15" s="94">
        <v>2192.3981799999997</v>
      </c>
      <c r="F15" s="89">
        <v>8000038</v>
      </c>
    </row>
    <row r="16" spans="1:6" ht="15.75" x14ac:dyDescent="0.25">
      <c r="A16" s="84">
        <v>43854</v>
      </c>
      <c r="B16" s="85">
        <v>388</v>
      </c>
      <c r="C16" s="86">
        <v>6.8329106790645258E-2</v>
      </c>
      <c r="D16" s="87">
        <v>5678.4</v>
      </c>
      <c r="E16" s="94">
        <v>754.79191999999989</v>
      </c>
      <c r="F16" s="89">
        <v>8000038</v>
      </c>
    </row>
    <row r="17" spans="1:6" ht="15.75" x14ac:dyDescent="0.25">
      <c r="A17" s="84">
        <v>43857</v>
      </c>
      <c r="B17" s="85">
        <v>598</v>
      </c>
      <c r="C17" s="86">
        <v>7.0685579196217499E-2</v>
      </c>
      <c r="D17" s="87">
        <v>8460</v>
      </c>
      <c r="E17" s="94">
        <v>1163.31332</v>
      </c>
      <c r="F17" s="89">
        <v>8000038</v>
      </c>
    </row>
    <row r="18" spans="1:6" ht="15.75" x14ac:dyDescent="0.25">
      <c r="A18" s="84">
        <v>43858</v>
      </c>
      <c r="B18" s="85">
        <v>1006</v>
      </c>
      <c r="C18" s="86">
        <v>5.5888888888888891E-2</v>
      </c>
      <c r="D18" s="87">
        <v>18000</v>
      </c>
      <c r="E18" s="94">
        <v>1957.0120400000001</v>
      </c>
      <c r="F18" s="89">
        <v>8000038</v>
      </c>
    </row>
    <row r="19" spans="1:6" ht="15.75" x14ac:dyDescent="0.25">
      <c r="A19" s="84">
        <v>43859</v>
      </c>
      <c r="B19" s="85">
        <v>1079</v>
      </c>
      <c r="C19" s="86">
        <v>5.3521825396825394E-2</v>
      </c>
      <c r="D19" s="87">
        <v>20160</v>
      </c>
      <c r="E19" s="94">
        <v>2099.0218599999998</v>
      </c>
      <c r="F19" s="89">
        <v>8000038</v>
      </c>
    </row>
    <row r="20" spans="1:6" ht="15.75" x14ac:dyDescent="0.25">
      <c r="A20" s="84">
        <v>43860</v>
      </c>
      <c r="B20" s="85">
        <v>806</v>
      </c>
      <c r="C20" s="86">
        <v>4.4777777777777777E-2</v>
      </c>
      <c r="D20" s="87">
        <v>18000</v>
      </c>
      <c r="E20" s="94">
        <v>1567.9440399999999</v>
      </c>
      <c r="F20" s="89">
        <v>8000038</v>
      </c>
    </row>
    <row r="21" spans="1:6" ht="15.75" x14ac:dyDescent="0.25">
      <c r="A21" s="84">
        <v>43861</v>
      </c>
      <c r="B21" s="85">
        <v>204</v>
      </c>
      <c r="C21" s="86">
        <v>4.0476190476190478E-2</v>
      </c>
      <c r="D21" s="87">
        <v>5040</v>
      </c>
      <c r="E21" s="94">
        <v>396.84935999999999</v>
      </c>
      <c r="F21" s="89">
        <v>8000038</v>
      </c>
    </row>
    <row r="22" spans="1:6" ht="15.75" x14ac:dyDescent="0.25">
      <c r="A22" s="84">
        <v>43864</v>
      </c>
      <c r="B22" s="85">
        <v>636</v>
      </c>
      <c r="C22" s="86">
        <v>4.6985815602836878E-2</v>
      </c>
      <c r="D22" s="87">
        <v>12900</v>
      </c>
      <c r="E22" s="94">
        <v>1215.8920800000001</v>
      </c>
      <c r="F22" s="89">
        <v>8000035</v>
      </c>
    </row>
    <row r="23" spans="1:6" ht="15.75" x14ac:dyDescent="0.25">
      <c r="A23" s="84">
        <v>43865</v>
      </c>
      <c r="B23" s="85">
        <v>548</v>
      </c>
      <c r="C23" s="86">
        <v>2.630820931349016E-2</v>
      </c>
      <c r="D23" s="87">
        <v>20282</v>
      </c>
      <c r="E23" s="94">
        <v>1047.65544</v>
      </c>
      <c r="F23" s="89">
        <v>8000035</v>
      </c>
    </row>
    <row r="24" spans="1:6" ht="15.75" x14ac:dyDescent="0.25">
      <c r="A24" s="84">
        <v>43866</v>
      </c>
      <c r="B24" s="85">
        <v>741</v>
      </c>
      <c r="C24" s="86">
        <v>2.6278459465210298E-2</v>
      </c>
      <c r="D24" s="87">
        <v>27457</v>
      </c>
      <c r="E24" s="94">
        <v>1416.62898</v>
      </c>
      <c r="F24" s="89">
        <v>8000035</v>
      </c>
    </row>
    <row r="25" spans="1:6" ht="15.75" x14ac:dyDescent="0.25">
      <c r="A25" s="84">
        <v>43867</v>
      </c>
      <c r="B25" s="85">
        <v>575</v>
      </c>
      <c r="C25" s="86">
        <v>3.0773347605030775E-2</v>
      </c>
      <c r="D25" s="87">
        <v>18110</v>
      </c>
      <c r="E25" s="94">
        <v>1099.2735</v>
      </c>
      <c r="F25" s="89">
        <v>8000035</v>
      </c>
    </row>
    <row r="26" spans="1:6" ht="15.75" x14ac:dyDescent="0.25">
      <c r="A26" s="84">
        <v>43868</v>
      </c>
      <c r="B26" s="85">
        <v>556</v>
      </c>
      <c r="C26" s="86">
        <v>4.9173078623861326E-2</v>
      </c>
      <c r="D26" s="87">
        <v>10751</v>
      </c>
      <c r="E26" s="94">
        <v>1062.9496799999999</v>
      </c>
      <c r="F26" s="89">
        <v>8000035</v>
      </c>
    </row>
    <row r="27" spans="1:6" ht="15.75" x14ac:dyDescent="0.25">
      <c r="A27" s="84">
        <v>43872</v>
      </c>
      <c r="B27" s="85">
        <v>511</v>
      </c>
      <c r="C27" s="86">
        <v>2.5865559829925087E-2</v>
      </c>
      <c r="D27" s="87">
        <v>19245</v>
      </c>
      <c r="E27" s="94">
        <v>980.30751000000009</v>
      </c>
      <c r="F27" s="89">
        <v>8000046</v>
      </c>
    </row>
    <row r="28" spans="1:6" ht="15.75" x14ac:dyDescent="0.25">
      <c r="A28" s="84">
        <v>43874</v>
      </c>
      <c r="B28" s="85">
        <v>507</v>
      </c>
      <c r="C28" s="86">
        <v>2.4426671805742917E-2</v>
      </c>
      <c r="D28" s="87">
        <v>20249</v>
      </c>
      <c r="E28" s="94">
        <v>969.27246000000002</v>
      </c>
      <c r="F28" s="89">
        <v>8000035</v>
      </c>
    </row>
    <row r="29" spans="1:6" ht="15.75" x14ac:dyDescent="0.25">
      <c r="A29" s="84">
        <v>43875</v>
      </c>
      <c r="B29" s="85">
        <v>545</v>
      </c>
      <c r="C29" s="86">
        <v>3.6301871711183639E-2</v>
      </c>
      <c r="D29" s="87">
        <v>14468</v>
      </c>
      <c r="E29" s="94">
        <v>1041.9201</v>
      </c>
      <c r="F29" s="89">
        <v>8000035</v>
      </c>
    </row>
    <row r="30" spans="1:6" ht="15.75" x14ac:dyDescent="0.25">
      <c r="A30" s="84">
        <v>43879</v>
      </c>
      <c r="B30" s="85">
        <v>743</v>
      </c>
      <c r="C30" s="86">
        <v>3.5375898681140792E-2</v>
      </c>
      <c r="D30" s="87">
        <v>20260</v>
      </c>
      <c r="E30" s="94">
        <v>1420.4525400000002</v>
      </c>
      <c r="F30" s="89">
        <v>8000035</v>
      </c>
    </row>
    <row r="31" spans="1:6" ht="15.75" x14ac:dyDescent="0.25">
      <c r="A31" s="84">
        <v>43880</v>
      </c>
      <c r="B31" s="85">
        <v>806</v>
      </c>
      <c r="C31" s="86">
        <v>2.960188041721757E-2</v>
      </c>
      <c r="D31" s="87">
        <v>26422</v>
      </c>
      <c r="E31" s="94">
        <v>1540.8946800000001</v>
      </c>
      <c r="F31" s="89">
        <v>8000035</v>
      </c>
    </row>
    <row r="32" spans="1:6" ht="15.75" x14ac:dyDescent="0.25">
      <c r="A32" s="84">
        <v>43881</v>
      </c>
      <c r="B32" s="85">
        <v>671</v>
      </c>
      <c r="C32" s="86">
        <v>2.2689615527677273E-2</v>
      </c>
      <c r="D32" s="87">
        <v>28902</v>
      </c>
      <c r="E32" s="94">
        <v>1282.80438</v>
      </c>
      <c r="F32" s="89">
        <v>8000035</v>
      </c>
    </row>
    <row r="33" spans="1:6" ht="15.75" x14ac:dyDescent="0.25">
      <c r="A33" s="84">
        <v>43882</v>
      </c>
      <c r="B33" s="85">
        <v>763</v>
      </c>
      <c r="C33" s="86">
        <v>3.7029847124484351E-2</v>
      </c>
      <c r="D33" s="87">
        <v>19842</v>
      </c>
      <c r="E33" s="94">
        <v>1458.6881400000002</v>
      </c>
      <c r="F33" s="89">
        <v>8000035</v>
      </c>
    </row>
    <row r="34" spans="1:6" ht="15.75" x14ac:dyDescent="0.25">
      <c r="A34" s="84">
        <v>43885</v>
      </c>
      <c r="B34" s="85">
        <v>1382</v>
      </c>
      <c r="C34" s="86">
        <v>7.104302678250142E-2</v>
      </c>
      <c r="D34" s="87">
        <v>18071</v>
      </c>
      <c r="E34" s="94">
        <v>2642.07996</v>
      </c>
      <c r="F34" s="89">
        <v>8000035</v>
      </c>
    </row>
    <row r="35" spans="1:6" ht="15.75" x14ac:dyDescent="0.25">
      <c r="A35" s="84">
        <v>43886</v>
      </c>
      <c r="B35" s="85">
        <v>1097</v>
      </c>
      <c r="C35" s="86">
        <v>3.1003589294293869E-2</v>
      </c>
      <c r="D35" s="87">
        <v>34286</v>
      </c>
      <c r="E35" s="94">
        <v>2097.2226599999999</v>
      </c>
      <c r="F35" s="89">
        <v>8000035</v>
      </c>
    </row>
    <row r="36" spans="1:6" ht="15.75" x14ac:dyDescent="0.25">
      <c r="A36" s="84">
        <v>43887</v>
      </c>
      <c r="B36" s="85">
        <v>1091</v>
      </c>
      <c r="C36" s="86">
        <v>3.1400201467837098E-2</v>
      </c>
      <c r="D36" s="87">
        <v>33654</v>
      </c>
      <c r="E36" s="94">
        <v>2085.75198</v>
      </c>
      <c r="F36" s="89">
        <v>8000035</v>
      </c>
    </row>
    <row r="37" spans="1:6" ht="15.75" x14ac:dyDescent="0.25">
      <c r="A37" s="84">
        <v>43888</v>
      </c>
      <c r="B37" s="85">
        <v>1526</v>
      </c>
      <c r="C37" s="86">
        <v>5.2391252102859887E-2</v>
      </c>
      <c r="D37" s="87">
        <v>27601</v>
      </c>
      <c r="E37" s="94">
        <v>2917.37628</v>
      </c>
      <c r="F37" s="89">
        <v>8000035</v>
      </c>
    </row>
    <row r="38" spans="1:6" ht="15.75" x14ac:dyDescent="0.25">
      <c r="A38" s="84">
        <v>43889</v>
      </c>
      <c r="B38" s="85">
        <v>376</v>
      </c>
      <c r="C38" s="86">
        <v>2.6832227217583673E-2</v>
      </c>
      <c r="D38" s="87">
        <v>13637</v>
      </c>
      <c r="E38" s="94">
        <v>718.82928000000004</v>
      </c>
      <c r="F38" s="89">
        <v>8000035</v>
      </c>
    </row>
    <row r="39" spans="1:6" ht="15.75" x14ac:dyDescent="0.25">
      <c r="A39" s="84">
        <v>43892</v>
      </c>
      <c r="B39" s="85">
        <v>812</v>
      </c>
      <c r="C39" s="86">
        <v>6.5844956211482328E-2</v>
      </c>
      <c r="D39" s="87">
        <v>11520</v>
      </c>
      <c r="E39" s="94">
        <v>1591.52</v>
      </c>
      <c r="F39" s="89">
        <v>8000038</v>
      </c>
    </row>
    <row r="40" spans="1:6" ht="15.75" x14ac:dyDescent="0.25">
      <c r="A40" s="84">
        <v>43893</v>
      </c>
      <c r="B40" s="85">
        <v>1112</v>
      </c>
      <c r="C40" s="86">
        <v>5.2275291462956001E-2</v>
      </c>
      <c r="D40" s="87">
        <v>20160</v>
      </c>
      <c r="E40" s="94">
        <v>2179.52</v>
      </c>
      <c r="F40" s="89">
        <v>8000038</v>
      </c>
    </row>
    <row r="41" spans="1:6" ht="15.75" x14ac:dyDescent="0.25">
      <c r="A41" s="84">
        <v>43894</v>
      </c>
      <c r="B41" s="85">
        <v>1015</v>
      </c>
      <c r="C41" s="86">
        <v>5.1337818016286479E-2</v>
      </c>
      <c r="D41" s="87">
        <v>18756</v>
      </c>
      <c r="E41" s="94">
        <v>1989.4</v>
      </c>
      <c r="F41" s="89">
        <v>8000038</v>
      </c>
    </row>
    <row r="42" spans="1:6" ht="15.75" x14ac:dyDescent="0.25">
      <c r="A42" s="84">
        <v>43895</v>
      </c>
      <c r="B42" s="85">
        <v>849</v>
      </c>
      <c r="C42" s="86">
        <v>5.3781832003040667E-2</v>
      </c>
      <c r="D42" s="87">
        <v>14937</v>
      </c>
      <c r="E42" s="94">
        <v>1664.04</v>
      </c>
      <c r="F42" s="89">
        <v>8000038</v>
      </c>
    </row>
    <row r="43" spans="1:6" ht="15.75" x14ac:dyDescent="0.25">
      <c r="A43" s="84">
        <v>43896</v>
      </c>
      <c r="B43" s="85">
        <v>648</v>
      </c>
      <c r="C43" s="86">
        <v>9.3994778067885115E-2</v>
      </c>
      <c r="D43" s="87">
        <v>6246</v>
      </c>
      <c r="E43" s="94">
        <v>1270.08</v>
      </c>
      <c r="F43" s="89">
        <v>8000038</v>
      </c>
    </row>
    <row r="44" spans="1:6" ht="15.75" x14ac:dyDescent="0.25">
      <c r="A44" s="84">
        <v>43899</v>
      </c>
      <c r="B44" s="85">
        <v>1186</v>
      </c>
      <c r="C44" s="86">
        <v>0.12221965737275141</v>
      </c>
      <c r="D44" s="87">
        <v>8517.84</v>
      </c>
      <c r="E44" s="94">
        <v>2324.56</v>
      </c>
      <c r="F44" s="89">
        <v>8000038</v>
      </c>
    </row>
    <row r="45" spans="1:6" ht="15.75" x14ac:dyDescent="0.25">
      <c r="A45" s="84">
        <v>43900</v>
      </c>
      <c r="B45" s="85">
        <v>1240</v>
      </c>
      <c r="C45" s="86">
        <v>8.3394982850225299E-2</v>
      </c>
      <c r="D45" s="87">
        <v>13629</v>
      </c>
      <c r="E45" s="94">
        <v>2430.3999999999996</v>
      </c>
      <c r="F45" s="89">
        <v>8000038</v>
      </c>
    </row>
    <row r="46" spans="1:6" ht="15.75" x14ac:dyDescent="0.25">
      <c r="A46" s="84">
        <v>43901</v>
      </c>
      <c r="B46" s="85">
        <v>1435</v>
      </c>
      <c r="C46" s="86">
        <v>0.16805246515985478</v>
      </c>
      <c r="D46" s="87">
        <v>7104</v>
      </c>
      <c r="E46" s="94">
        <v>2276.9299799999999</v>
      </c>
      <c r="F46" s="89">
        <v>8000035</v>
      </c>
    </row>
    <row r="47" spans="1:6" ht="15.75" x14ac:dyDescent="0.25">
      <c r="A47" s="84">
        <v>43902</v>
      </c>
      <c r="B47" s="85">
        <v>896</v>
      </c>
      <c r="C47" s="86">
        <v>3.5652893614312092E-2</v>
      </c>
      <c r="D47" s="87">
        <v>24235.200000000001</v>
      </c>
      <c r="E47" s="94">
        <v>1712.95488</v>
      </c>
      <c r="F47" s="89">
        <v>8000035</v>
      </c>
    </row>
    <row r="48" spans="1:6" ht="15.75" x14ac:dyDescent="0.25">
      <c r="A48" s="84">
        <v>43903</v>
      </c>
      <c r="B48" s="85">
        <v>768</v>
      </c>
      <c r="C48" s="86">
        <v>3.8373905744094022E-2</v>
      </c>
      <c r="D48" s="87">
        <v>19245.599999999999</v>
      </c>
      <c r="E48" s="94">
        <v>1468.24704</v>
      </c>
      <c r="F48" s="89">
        <v>8000035</v>
      </c>
    </row>
    <row r="49" spans="1:6" ht="15.75" x14ac:dyDescent="0.25">
      <c r="A49" s="84">
        <v>43906</v>
      </c>
      <c r="B49" s="85">
        <v>851</v>
      </c>
      <c r="C49" s="86">
        <v>8.4112519026627391E-2</v>
      </c>
      <c r="D49" s="87">
        <v>9266.4</v>
      </c>
      <c r="E49" s="94">
        <v>1632.56691</v>
      </c>
      <c r="F49" s="89">
        <v>8000046</v>
      </c>
    </row>
    <row r="50" spans="1:6" ht="15.75" x14ac:dyDescent="0.25">
      <c r="A50" s="84">
        <v>43908</v>
      </c>
      <c r="B50" s="85">
        <v>939</v>
      </c>
      <c r="C50" s="86">
        <v>3.305895690013308E-2</v>
      </c>
      <c r="D50" s="87">
        <v>27464.799999999999</v>
      </c>
      <c r="E50" s="94">
        <v>1795.1614199999999</v>
      </c>
      <c r="F50" s="89">
        <v>8000035</v>
      </c>
    </row>
    <row r="51" spans="1:6" ht="15.75" x14ac:dyDescent="0.25">
      <c r="A51" s="84">
        <v>43909</v>
      </c>
      <c r="B51" s="85">
        <v>1149</v>
      </c>
      <c r="C51" s="86">
        <v>3.7405996679363222E-2</v>
      </c>
      <c r="D51" s="87">
        <v>29567.999999999996</v>
      </c>
      <c r="E51" s="94">
        <v>2196.6352200000001</v>
      </c>
      <c r="F51" s="89">
        <v>8000035</v>
      </c>
    </row>
    <row r="52" spans="1:6" ht="15.75" x14ac:dyDescent="0.25">
      <c r="A52" s="84">
        <v>43910</v>
      </c>
      <c r="B52" s="85">
        <v>735</v>
      </c>
      <c r="C52" s="86">
        <v>2.3812455047916493E-2</v>
      </c>
      <c r="D52" s="87">
        <v>30131.199999999997</v>
      </c>
      <c r="E52" s="94">
        <v>1405.1583000000001</v>
      </c>
      <c r="F52" s="89">
        <v>8000035</v>
      </c>
    </row>
    <row r="53" spans="1:6" ht="15.75" x14ac:dyDescent="0.25">
      <c r="A53" s="84">
        <v>43911</v>
      </c>
      <c r="B53" s="85">
        <v>888</v>
      </c>
      <c r="C53" s="86">
        <v>3.6929096135419989E-2</v>
      </c>
      <c r="D53" s="87">
        <v>23158.080000000002</v>
      </c>
      <c r="E53" s="94">
        <v>1697.6606400000001</v>
      </c>
      <c r="F53" s="89">
        <v>8000035</v>
      </c>
    </row>
    <row r="54" spans="1:6" ht="15.75" x14ac:dyDescent="0.25">
      <c r="A54" s="84">
        <v>43913</v>
      </c>
      <c r="B54" s="85">
        <v>941</v>
      </c>
      <c r="C54" s="86">
        <v>5.1087163060886558E-2</v>
      </c>
      <c r="D54" s="87">
        <v>17478.5</v>
      </c>
      <c r="E54" s="94">
        <v>1798.9849800000002</v>
      </c>
      <c r="F54" s="89">
        <v>8000035</v>
      </c>
    </row>
    <row r="55" spans="1:6" ht="15.75" x14ac:dyDescent="0.25">
      <c r="A55" s="84">
        <v>43914</v>
      </c>
      <c r="B55" s="85">
        <v>992</v>
      </c>
      <c r="C55" s="86">
        <v>3.3420815912620742E-2</v>
      </c>
      <c r="D55" s="87">
        <v>28690.1</v>
      </c>
      <c r="E55" s="94">
        <v>1896.48576</v>
      </c>
      <c r="F55" s="89">
        <v>8000035</v>
      </c>
    </row>
    <row r="56" spans="1:6" ht="15.75" x14ac:dyDescent="0.25">
      <c r="A56" s="84">
        <v>43915</v>
      </c>
      <c r="B56" s="85">
        <v>828</v>
      </c>
      <c r="C56" s="86">
        <v>2.9938041271108485E-2</v>
      </c>
      <c r="D56" s="87">
        <v>26829.120000000003</v>
      </c>
      <c r="E56" s="94">
        <v>1582.9538400000001</v>
      </c>
      <c r="F56" s="89">
        <v>8000035</v>
      </c>
    </row>
    <row r="57" spans="1:6" ht="15.75" x14ac:dyDescent="0.25">
      <c r="A57" s="84">
        <v>43916</v>
      </c>
      <c r="B57" s="85">
        <v>1054</v>
      </c>
      <c r="C57" s="86">
        <v>3.7591839646194447E-2</v>
      </c>
      <c r="D57" s="87">
        <v>26984.000000000004</v>
      </c>
      <c r="E57" s="94">
        <v>2015.0161199999998</v>
      </c>
      <c r="F57" s="89">
        <v>8000035</v>
      </c>
    </row>
    <row r="58" spans="1:6" ht="15.75" x14ac:dyDescent="0.25">
      <c r="A58" s="84">
        <v>43917</v>
      </c>
      <c r="B58" s="85">
        <v>846</v>
      </c>
      <c r="C58" s="86">
        <v>4.2324548237978023E-2</v>
      </c>
      <c r="D58" s="87">
        <v>19142.400000000001</v>
      </c>
      <c r="E58" s="94">
        <v>1617.3658799999998</v>
      </c>
      <c r="F58" s="89">
        <v>8000035</v>
      </c>
    </row>
    <row r="59" spans="1:6" ht="15.75" x14ac:dyDescent="0.25">
      <c r="A59" s="84">
        <v>43918</v>
      </c>
      <c r="B59" s="85">
        <v>737</v>
      </c>
      <c r="C59" s="86">
        <v>5.8207309637614085E-2</v>
      </c>
      <c r="D59" s="87">
        <v>11924.64</v>
      </c>
      <c r="E59" s="94">
        <v>1444.52</v>
      </c>
      <c r="F59" s="89">
        <v>8000038</v>
      </c>
    </row>
    <row r="60" spans="1:6" ht="15.75" x14ac:dyDescent="0.25">
      <c r="A60" s="84">
        <v>43919</v>
      </c>
      <c r="B60" s="85">
        <v>4.75</v>
      </c>
      <c r="C60" s="86">
        <v>1.6702122048559223E-3</v>
      </c>
      <c r="D60" s="87">
        <v>2839.2</v>
      </c>
      <c r="E60" s="94">
        <v>9.31</v>
      </c>
      <c r="F60" s="89">
        <v>8000038</v>
      </c>
    </row>
    <row r="61" spans="1:6" ht="15.75" x14ac:dyDescent="0.25">
      <c r="A61" s="84">
        <v>43920</v>
      </c>
      <c r="B61" s="85">
        <v>1134</v>
      </c>
      <c r="C61" s="86">
        <v>7.2345605291564266E-2</v>
      </c>
      <c r="D61" s="87">
        <v>14540.760000000002</v>
      </c>
      <c r="E61" s="94">
        <v>2222.6400000000003</v>
      </c>
      <c r="F61" s="89">
        <v>8000038</v>
      </c>
    </row>
    <row r="62" spans="1:6" ht="15.75" x14ac:dyDescent="0.25">
      <c r="A62" s="84">
        <v>43921</v>
      </c>
      <c r="B62" s="85">
        <v>2022</v>
      </c>
      <c r="C62" s="86">
        <v>0.11651707303580566</v>
      </c>
      <c r="D62" s="87">
        <v>15331.68</v>
      </c>
      <c r="E62" s="94">
        <v>3963.1200000000003</v>
      </c>
      <c r="F62" s="89">
        <v>8000038</v>
      </c>
    </row>
    <row r="63" spans="1:6" ht="15.75" x14ac:dyDescent="0.25">
      <c r="A63" s="84">
        <v>43922</v>
      </c>
      <c r="B63" s="85">
        <v>834</v>
      </c>
      <c r="C63" s="86">
        <v>6.2388165099731288E-2</v>
      </c>
      <c r="D63" s="87">
        <v>12533.920000000002</v>
      </c>
      <c r="E63" s="94">
        <v>1619.4506999999999</v>
      </c>
      <c r="F63" s="89">
        <v>8000037</v>
      </c>
    </row>
    <row r="64" spans="1:6" ht="15.75" x14ac:dyDescent="0.25">
      <c r="A64" s="84">
        <v>43923</v>
      </c>
      <c r="B64" s="85">
        <v>1427</v>
      </c>
      <c r="C64" s="86">
        <v>5.5875327929832803E-2</v>
      </c>
      <c r="D64" s="87">
        <v>24112</v>
      </c>
      <c r="E64" s="94">
        <v>2728.11006</v>
      </c>
      <c r="F64" s="89">
        <v>8000035</v>
      </c>
    </row>
    <row r="65" spans="1:6" ht="15.75" x14ac:dyDescent="0.25">
      <c r="A65" s="84">
        <v>43924</v>
      </c>
      <c r="B65" s="85">
        <v>1149</v>
      </c>
      <c r="C65" s="86">
        <v>5.7078419489125787E-2</v>
      </c>
      <c r="D65" s="87">
        <v>18981.2</v>
      </c>
      <c r="E65" s="94">
        <v>2196.6352200000001</v>
      </c>
      <c r="F65" s="89">
        <v>8000035</v>
      </c>
    </row>
    <row r="66" spans="1:6" ht="15.75" x14ac:dyDescent="0.25">
      <c r="A66" s="84">
        <v>43927</v>
      </c>
      <c r="B66" s="85">
        <v>1088</v>
      </c>
      <c r="C66" s="86">
        <v>4.043527383005293E-2</v>
      </c>
      <c r="D66" s="87">
        <v>25819.199999999997</v>
      </c>
      <c r="E66" s="94">
        <v>2080.0166399999998</v>
      </c>
      <c r="F66" s="89">
        <v>8000035</v>
      </c>
    </row>
    <row r="67" spans="1:6" ht="15.75" x14ac:dyDescent="0.25">
      <c r="A67" s="84">
        <v>43928</v>
      </c>
      <c r="B67" s="85">
        <v>1269</v>
      </c>
      <c r="C67" s="86">
        <v>3.785867288793953E-2</v>
      </c>
      <c r="D67" s="87">
        <v>32250.399999999998</v>
      </c>
      <c r="E67" s="94">
        <v>2426.04882</v>
      </c>
      <c r="F67" s="89">
        <v>8000035</v>
      </c>
    </row>
    <row r="68" spans="1:6" ht="15.75" x14ac:dyDescent="0.25">
      <c r="A68" s="84">
        <v>43929</v>
      </c>
      <c r="B68" s="85">
        <v>2130</v>
      </c>
      <c r="C68" s="86">
        <v>8.4891673442058446E-2</v>
      </c>
      <c r="D68" s="87">
        <v>22960.799999999999</v>
      </c>
      <c r="E68" s="94">
        <v>4072.0914000000002</v>
      </c>
      <c r="F68" s="89">
        <v>8000035</v>
      </c>
    </row>
    <row r="69" spans="1:6" ht="15.75" x14ac:dyDescent="0.25">
      <c r="A69" s="84">
        <v>43930</v>
      </c>
      <c r="B69" s="85">
        <v>2852</v>
      </c>
      <c r="C69" s="86">
        <v>0.12806236080178174</v>
      </c>
      <c r="D69" s="87">
        <v>19418.400000000001</v>
      </c>
      <c r="E69" s="94">
        <v>5452.3965600000001</v>
      </c>
      <c r="F69" s="89">
        <v>8000035</v>
      </c>
    </row>
    <row r="70" spans="1:6" ht="15.75" x14ac:dyDescent="0.25">
      <c r="A70" s="84">
        <v>43931</v>
      </c>
      <c r="B70" s="85">
        <v>429</v>
      </c>
      <c r="C70" s="86">
        <v>2.7539190386318992E-2</v>
      </c>
      <c r="D70" s="87">
        <v>15148.8</v>
      </c>
      <c r="E70" s="94">
        <v>820.15362000000005</v>
      </c>
      <c r="F70" s="89">
        <v>8000035</v>
      </c>
    </row>
    <row r="71" spans="1:6" ht="15.75" x14ac:dyDescent="0.25">
      <c r="A71" s="84">
        <v>43934</v>
      </c>
      <c r="B71" s="85">
        <v>1063</v>
      </c>
      <c r="C71" s="86">
        <v>0.11053802799326166</v>
      </c>
      <c r="D71" s="87">
        <v>8553.5999999999985</v>
      </c>
      <c r="E71" s="94">
        <v>2039.2698300000002</v>
      </c>
      <c r="F71" s="89">
        <v>8000046</v>
      </c>
    </row>
    <row r="72" spans="1:6" ht="15.75" x14ac:dyDescent="0.25">
      <c r="A72" s="84">
        <v>43935</v>
      </c>
      <c r="B72" s="85">
        <v>1290</v>
      </c>
      <c r="C72" s="86">
        <v>9.0986034701650439E-2</v>
      </c>
      <c r="D72" s="87">
        <v>12888</v>
      </c>
      <c r="E72" s="94">
        <v>2519.8324600000005</v>
      </c>
      <c r="F72" s="89">
        <v>8000040.666666667</v>
      </c>
    </row>
    <row r="73" spans="1:6" ht="15.75" x14ac:dyDescent="0.25">
      <c r="A73" s="84">
        <v>43936</v>
      </c>
      <c r="B73" s="85">
        <v>1858</v>
      </c>
      <c r="C73" s="86">
        <v>0.15478689726415409</v>
      </c>
      <c r="D73" s="87">
        <v>10145.6</v>
      </c>
      <c r="E73" s="94">
        <v>3601.1751999999997</v>
      </c>
      <c r="F73" s="89">
        <v>8000037</v>
      </c>
    </row>
    <row r="74" spans="1:6" ht="15.75" x14ac:dyDescent="0.25">
      <c r="A74" s="84">
        <v>43937</v>
      </c>
      <c r="B74" s="85">
        <v>1347</v>
      </c>
      <c r="C74" s="86">
        <v>6.077916452337765E-2</v>
      </c>
      <c r="D74" s="87">
        <v>20815.199999999997</v>
      </c>
      <c r="E74" s="94">
        <v>2575.1676600000001</v>
      </c>
      <c r="F74" s="89">
        <v>8000035</v>
      </c>
    </row>
    <row r="75" spans="1:6" ht="15.75" x14ac:dyDescent="0.25">
      <c r="A75" s="84">
        <v>43938</v>
      </c>
      <c r="B75" s="85">
        <v>1025</v>
      </c>
      <c r="C75" s="86">
        <v>5.6241426611796985E-2</v>
      </c>
      <c r="D75" s="87">
        <v>17200</v>
      </c>
      <c r="E75" s="94">
        <v>1959.5745000000002</v>
      </c>
      <c r="F75" s="89">
        <v>8000035</v>
      </c>
    </row>
    <row r="76" spans="1:6" ht="15.75" x14ac:dyDescent="0.25">
      <c r="A76" s="84">
        <v>43940</v>
      </c>
      <c r="B76" s="85">
        <v>90</v>
      </c>
      <c r="C76" s="86">
        <v>1</v>
      </c>
      <c r="D76" s="87">
        <v>0</v>
      </c>
      <c r="E76" s="94">
        <v>172.06020000000001</v>
      </c>
      <c r="F76" s="89">
        <v>8000035</v>
      </c>
    </row>
    <row r="77" spans="1:6" ht="15.75" x14ac:dyDescent="0.25">
      <c r="A77" s="84">
        <v>43941</v>
      </c>
      <c r="B77" s="85">
        <v>1049</v>
      </c>
      <c r="C77" s="86">
        <v>6.0361594144522579E-2</v>
      </c>
      <c r="D77" s="87">
        <v>16329.599999999999</v>
      </c>
      <c r="E77" s="94">
        <v>2005.45722</v>
      </c>
      <c r="F77" s="89">
        <v>8000035</v>
      </c>
    </row>
    <row r="78" spans="1:6" ht="15.75" x14ac:dyDescent="0.25">
      <c r="A78" s="84">
        <v>43942</v>
      </c>
      <c r="B78" s="85">
        <v>966</v>
      </c>
      <c r="C78" s="86">
        <v>5.2198835414802421E-2</v>
      </c>
      <c r="D78" s="87">
        <v>17540.16</v>
      </c>
      <c r="E78" s="94">
        <v>1846.7794799999999</v>
      </c>
      <c r="F78" s="89">
        <v>8000035</v>
      </c>
    </row>
    <row r="79" spans="1:6" ht="15.75" x14ac:dyDescent="0.25">
      <c r="A79" s="84">
        <v>43943</v>
      </c>
      <c r="B79" s="85">
        <v>1346</v>
      </c>
      <c r="C79" s="86">
        <v>5.7416349582814344E-2</v>
      </c>
      <c r="D79" s="87">
        <v>22096.799999999999</v>
      </c>
      <c r="E79" s="94">
        <v>2573.2558799999997</v>
      </c>
      <c r="F79" s="89">
        <v>8000035</v>
      </c>
    </row>
    <row r="80" spans="1:6" ht="15.75" x14ac:dyDescent="0.25">
      <c r="A80" s="84">
        <v>43944</v>
      </c>
      <c r="B80" s="85">
        <v>538</v>
      </c>
      <c r="C80" s="86">
        <v>5.1154299623473926E-2</v>
      </c>
      <c r="D80" s="87">
        <v>9979.2000000000007</v>
      </c>
      <c r="E80" s="94">
        <v>1028.53764</v>
      </c>
      <c r="F80" s="89">
        <v>8000035</v>
      </c>
    </row>
    <row r="81" spans="1:6" ht="15.75" x14ac:dyDescent="0.25">
      <c r="A81" s="84">
        <v>43951</v>
      </c>
      <c r="B81" s="85">
        <v>506</v>
      </c>
      <c r="C81" s="86">
        <v>0.12432432432432433</v>
      </c>
      <c r="D81" s="87">
        <v>3564</v>
      </c>
      <c r="E81" s="94">
        <v>967.36068</v>
      </c>
      <c r="F81" s="89">
        <v>8000035</v>
      </c>
    </row>
    <row r="82" spans="1:6" ht="15.75" x14ac:dyDescent="0.25">
      <c r="A82" s="84">
        <v>43945</v>
      </c>
      <c r="B82" s="85">
        <v>66</v>
      </c>
      <c r="C82" s="86">
        <v>1</v>
      </c>
      <c r="D82" s="87">
        <v>0</v>
      </c>
      <c r="E82" s="94">
        <v>126.17748</v>
      </c>
      <c r="F82" s="89">
        <v>8000035</v>
      </c>
    </row>
    <row r="83" spans="1:6" ht="15.75" x14ac:dyDescent="0.25">
      <c r="A83" s="84">
        <v>43952</v>
      </c>
      <c r="B83" s="85">
        <v>3745</v>
      </c>
      <c r="C83" s="86">
        <v>0.17366424603285013</v>
      </c>
      <c r="D83" s="87">
        <v>17819.599999999999</v>
      </c>
      <c r="E83" s="94">
        <v>4465.9180800000004</v>
      </c>
      <c r="F83" s="89">
        <v>8000035</v>
      </c>
    </row>
    <row r="84" spans="1:6" ht="15.75" x14ac:dyDescent="0.25">
      <c r="A84" s="84">
        <v>43955</v>
      </c>
      <c r="B84" s="85">
        <v>1159</v>
      </c>
      <c r="C84" s="86">
        <v>9.7797654206396079E-2</v>
      </c>
      <c r="D84" s="87">
        <v>10692</v>
      </c>
      <c r="E84" s="88">
        <v>2215.7530200000001</v>
      </c>
      <c r="F84" s="89">
        <v>8000035</v>
      </c>
    </row>
    <row r="85" spans="1:6" ht="15.75" x14ac:dyDescent="0.25">
      <c r="A85" s="84">
        <v>43956</v>
      </c>
      <c r="B85" s="85">
        <v>709</v>
      </c>
      <c r="C85" s="86">
        <v>7.1074844116526661E-2</v>
      </c>
      <c r="D85" s="87">
        <v>9266.4</v>
      </c>
      <c r="E85" s="88">
        <v>1355.4520200000002</v>
      </c>
      <c r="F85" s="89">
        <v>8000035</v>
      </c>
    </row>
    <row r="86" spans="1:6" ht="15.75" x14ac:dyDescent="0.25">
      <c r="A86" s="84">
        <v>43957</v>
      </c>
      <c r="B86" s="85">
        <v>526</v>
      </c>
      <c r="C86" s="86">
        <v>9.5365871346725639E-2</v>
      </c>
      <c r="D86" s="87">
        <v>4989.6000000000004</v>
      </c>
      <c r="E86" s="88">
        <v>1005.59628</v>
      </c>
      <c r="F86" s="89">
        <v>8000035</v>
      </c>
    </row>
    <row r="87" spans="1:6" ht="15.75" x14ac:dyDescent="0.25">
      <c r="A87" s="84">
        <v>43958</v>
      </c>
      <c r="B87" s="85">
        <v>243</v>
      </c>
      <c r="C87" s="86">
        <v>5.3763440860215055E-2</v>
      </c>
      <c r="D87" s="87">
        <v>4276.8</v>
      </c>
      <c r="E87" s="88">
        <v>464.56254000000001</v>
      </c>
      <c r="F87" s="89">
        <v>8000035</v>
      </c>
    </row>
    <row r="88" spans="1:6" ht="15.75" x14ac:dyDescent="0.25">
      <c r="A88" s="84">
        <v>43959</v>
      </c>
      <c r="B88" s="85">
        <v>1031</v>
      </c>
      <c r="C88" s="86">
        <v>0.11588175789591998</v>
      </c>
      <c r="D88" s="87">
        <v>7866</v>
      </c>
      <c r="E88" s="88">
        <v>2020.7599999999998</v>
      </c>
      <c r="F88" s="89">
        <v>8000038</v>
      </c>
    </row>
    <row r="89" spans="1:6" ht="15.75" x14ac:dyDescent="0.25">
      <c r="A89" s="84">
        <v>43962</v>
      </c>
      <c r="B89" s="85">
        <v>1374</v>
      </c>
      <c r="C89" s="86">
        <v>0.17585624328060204</v>
      </c>
      <c r="D89" s="87">
        <v>6439.2000000000007</v>
      </c>
      <c r="E89" s="88">
        <v>2693.04</v>
      </c>
      <c r="F89" s="89">
        <v>8000038</v>
      </c>
    </row>
    <row r="90" spans="1:6" ht="15.75" x14ac:dyDescent="0.25">
      <c r="A90" s="84">
        <v>43963</v>
      </c>
      <c r="B90" s="85">
        <v>1625</v>
      </c>
      <c r="C90" s="86">
        <v>0.12806852178189418</v>
      </c>
      <c r="D90" s="87">
        <v>11063.52</v>
      </c>
      <c r="E90" s="88">
        <v>3185</v>
      </c>
      <c r="F90" s="89">
        <v>8000038</v>
      </c>
    </row>
    <row r="91" spans="1:6" ht="15.75" x14ac:dyDescent="0.25">
      <c r="A91" s="84">
        <v>43964</v>
      </c>
      <c r="B91" s="85">
        <v>636</v>
      </c>
      <c r="C91" s="86">
        <v>6.2924443178040551E-2</v>
      </c>
      <c r="D91" s="87">
        <v>9471.36</v>
      </c>
      <c r="E91" s="88">
        <v>1246.56</v>
      </c>
      <c r="F91" s="89">
        <v>8000038</v>
      </c>
    </row>
    <row r="92" spans="1:6" ht="15.75" x14ac:dyDescent="0.25">
      <c r="A92" s="84">
        <v>43965</v>
      </c>
      <c r="B92" s="85">
        <v>1207</v>
      </c>
      <c r="C92" s="86">
        <v>7.9882353875518536E-2</v>
      </c>
      <c r="D92" s="87">
        <v>13902.720000000001</v>
      </c>
      <c r="E92" s="88">
        <v>2365.7200000000003</v>
      </c>
      <c r="F92" s="89">
        <v>8000038</v>
      </c>
    </row>
    <row r="93" spans="1:6" ht="15.75" x14ac:dyDescent="0.25">
      <c r="A93" s="84">
        <v>43966</v>
      </c>
      <c r="B93" s="85">
        <v>1098</v>
      </c>
      <c r="C93" s="86">
        <v>0.12230985162411441</v>
      </c>
      <c r="D93" s="87">
        <v>7879.2</v>
      </c>
      <c r="E93" s="88">
        <v>2152.08</v>
      </c>
      <c r="F93" s="89">
        <v>8000038</v>
      </c>
    </row>
    <row r="94" spans="1:6" ht="15.75" x14ac:dyDescent="0.25">
      <c r="A94" s="84">
        <v>43969</v>
      </c>
      <c r="B94" s="85">
        <v>680</v>
      </c>
      <c r="C94" s="86">
        <v>0.12621013244639781</v>
      </c>
      <c r="D94" s="87">
        <v>4707.84</v>
      </c>
      <c r="E94" s="88">
        <v>1361.39094</v>
      </c>
      <c r="F94" s="89">
        <v>8000038.666666667</v>
      </c>
    </row>
    <row r="95" spans="1:6" ht="15.75" x14ac:dyDescent="0.25">
      <c r="A95" s="84">
        <v>43970</v>
      </c>
      <c r="B95" s="85">
        <v>993</v>
      </c>
      <c r="C95" s="86">
        <v>0.13716909509838049</v>
      </c>
      <c r="D95" s="87">
        <v>6246.24</v>
      </c>
      <c r="E95" s="88">
        <v>1946.28</v>
      </c>
      <c r="F95" s="89">
        <v>8000038</v>
      </c>
    </row>
    <row r="96" spans="1:6" ht="15.75" x14ac:dyDescent="0.25">
      <c r="A96" s="84">
        <v>43971</v>
      </c>
      <c r="B96" s="85">
        <v>696</v>
      </c>
      <c r="C96" s="86">
        <v>6.1101512789178705E-2</v>
      </c>
      <c r="D96" s="87">
        <v>10694.880000000001</v>
      </c>
      <c r="E96" s="88">
        <v>1378.5756000000001</v>
      </c>
      <c r="F96" s="89">
        <v>8000038.333333333</v>
      </c>
    </row>
    <row r="97" spans="1:6" ht="15.75" x14ac:dyDescent="0.25">
      <c r="A97" s="84">
        <v>43972</v>
      </c>
      <c r="B97" s="85">
        <v>277</v>
      </c>
      <c r="C97" s="86">
        <v>1.7714395344375519E-2</v>
      </c>
      <c r="D97" s="87">
        <v>15360</v>
      </c>
      <c r="E97" s="88">
        <v>576.19601</v>
      </c>
      <c r="F97" s="89">
        <v>8000039</v>
      </c>
    </row>
    <row r="98" spans="1:6" ht="15.75" x14ac:dyDescent="0.25">
      <c r="A98" s="84">
        <v>43973</v>
      </c>
      <c r="B98" s="85">
        <v>345</v>
      </c>
      <c r="C98" s="86">
        <v>2.1967526265520534E-2</v>
      </c>
      <c r="D98" s="87">
        <v>15360</v>
      </c>
      <c r="E98" s="88">
        <v>717.64485000000002</v>
      </c>
      <c r="F98" s="89">
        <v>8000039</v>
      </c>
    </row>
    <row r="99" spans="1:6" ht="15.75" x14ac:dyDescent="0.25">
      <c r="A99" s="84">
        <v>43976</v>
      </c>
      <c r="B99" s="85">
        <v>1644</v>
      </c>
      <c r="C99" s="86">
        <v>0.10073881256882133</v>
      </c>
      <c r="D99" s="87">
        <v>14675.43</v>
      </c>
      <c r="E99" s="88">
        <v>3142.96632</v>
      </c>
      <c r="F99" s="89">
        <v>8000035</v>
      </c>
    </row>
    <row r="100" spans="1:6" ht="15.75" x14ac:dyDescent="0.25">
      <c r="A100" s="84">
        <v>43977</v>
      </c>
      <c r="B100" s="85">
        <v>1703</v>
      </c>
      <c r="C100" s="86">
        <v>6.3889828874300988E-2</v>
      </c>
      <c r="D100" s="87">
        <v>24952.26</v>
      </c>
      <c r="E100" s="88">
        <v>3255.76134</v>
      </c>
      <c r="F100" s="89">
        <v>8000035</v>
      </c>
    </row>
    <row r="101" spans="1:6" ht="15.75" x14ac:dyDescent="0.25">
      <c r="A101" s="84">
        <v>43978</v>
      </c>
      <c r="B101" s="85">
        <v>1610</v>
      </c>
      <c r="C101" s="86">
        <v>8.4931603682760939E-2</v>
      </c>
      <c r="D101" s="87">
        <v>17346.43</v>
      </c>
      <c r="E101" s="88">
        <v>3077.9657999999999</v>
      </c>
      <c r="F101" s="89">
        <v>8000035</v>
      </c>
    </row>
    <row r="102" spans="1:6" ht="15.75" x14ac:dyDescent="0.25">
      <c r="A102" s="84">
        <v>43979</v>
      </c>
      <c r="B102" s="85">
        <v>1366</v>
      </c>
      <c r="C102" s="86">
        <v>5.2656351007390002E-2</v>
      </c>
      <c r="D102" s="87">
        <v>24575.79</v>
      </c>
      <c r="E102" s="88">
        <v>2611.4914800000001</v>
      </c>
      <c r="F102" s="89">
        <v>8000035</v>
      </c>
    </row>
    <row r="103" spans="1:6" ht="15.75" x14ac:dyDescent="0.25">
      <c r="A103" s="84">
        <v>43980</v>
      </c>
      <c r="B103" s="85">
        <v>586</v>
      </c>
      <c r="C103" s="86">
        <v>7.5599246587713193E-2</v>
      </c>
      <c r="D103" s="87">
        <v>7165.4</v>
      </c>
      <c r="E103" s="88">
        <v>1120.3030799999999</v>
      </c>
      <c r="F103" s="89">
        <v>8000035</v>
      </c>
    </row>
    <row r="104" spans="1:6" ht="15.75" x14ac:dyDescent="0.25">
      <c r="A104" s="84">
        <v>43984</v>
      </c>
      <c r="B104" s="85">
        <v>998</v>
      </c>
      <c r="C104" s="86">
        <v>0.25734914904589995</v>
      </c>
      <c r="D104" s="87">
        <v>2880</v>
      </c>
      <c r="E104" s="88">
        <v>1907.9564399999999</v>
      </c>
      <c r="F104" s="89">
        <v>8000035</v>
      </c>
    </row>
    <row r="105" spans="1:6" ht="15.75" x14ac:dyDescent="0.25">
      <c r="A105" s="84">
        <v>43987</v>
      </c>
      <c r="B105" s="85">
        <v>748</v>
      </c>
      <c r="C105" s="86">
        <v>0.17348548102792466</v>
      </c>
      <c r="D105" s="87">
        <v>3563.6</v>
      </c>
      <c r="E105" s="88">
        <v>1430.01144</v>
      </c>
      <c r="F105" s="89">
        <v>8000035</v>
      </c>
    </row>
    <row r="106" spans="1:6" ht="15.75" x14ac:dyDescent="0.25">
      <c r="A106" s="84">
        <v>43990</v>
      </c>
      <c r="B106" s="85">
        <v>1256</v>
      </c>
      <c r="C106" s="86">
        <v>7.6195098277117207E-2</v>
      </c>
      <c r="D106" s="87">
        <v>15228</v>
      </c>
      <c r="E106" s="88">
        <v>2401.1956800000003</v>
      </c>
      <c r="F106" s="89">
        <v>8000035</v>
      </c>
    </row>
    <row r="107" spans="1:6" ht="15.75" x14ac:dyDescent="0.25">
      <c r="A107" s="84">
        <v>43991</v>
      </c>
      <c r="B107" s="85">
        <v>1730</v>
      </c>
      <c r="C107" s="86">
        <v>8.0649672739478234E-2</v>
      </c>
      <c r="D107" s="87">
        <v>19720.800000000003</v>
      </c>
      <c r="E107" s="88">
        <v>3307.3794000000003</v>
      </c>
      <c r="F107" s="89">
        <v>8000035</v>
      </c>
    </row>
    <row r="108" spans="1:6" ht="15.75" x14ac:dyDescent="0.25">
      <c r="A108" s="84">
        <v>43992</v>
      </c>
      <c r="B108" s="85">
        <v>1546</v>
      </c>
      <c r="C108" s="86">
        <v>8.3656197917793981E-2</v>
      </c>
      <c r="D108" s="87">
        <v>16934.400000000001</v>
      </c>
      <c r="E108" s="88">
        <v>2955.6118799999999</v>
      </c>
      <c r="F108" s="89">
        <v>8000035</v>
      </c>
    </row>
    <row r="109" spans="1:6" ht="15.75" x14ac:dyDescent="0.25">
      <c r="A109" s="84">
        <v>43993</v>
      </c>
      <c r="B109" s="85">
        <v>1375</v>
      </c>
      <c r="C109" s="86">
        <v>5.5961189388944517E-2</v>
      </c>
      <c r="D109" s="87">
        <v>23195.599999999999</v>
      </c>
      <c r="E109" s="88">
        <v>2628.6975000000002</v>
      </c>
      <c r="F109" s="89">
        <v>8000035</v>
      </c>
    </row>
    <row r="110" spans="1:6" ht="15.75" x14ac:dyDescent="0.25">
      <c r="A110" s="84">
        <v>43994</v>
      </c>
      <c r="B110" s="85">
        <v>1537</v>
      </c>
      <c r="C110" s="86">
        <v>5.4969421694503057E-2</v>
      </c>
      <c r="D110" s="87">
        <v>26424</v>
      </c>
      <c r="E110" s="88">
        <v>2938.4058600000003</v>
      </c>
      <c r="F110" s="89">
        <v>8000035</v>
      </c>
    </row>
    <row r="111" spans="1:6" ht="15.75" x14ac:dyDescent="0.25">
      <c r="A111" s="84">
        <v>43995</v>
      </c>
      <c r="B111" s="85">
        <v>106</v>
      </c>
      <c r="C111" s="86">
        <v>1.2119826206265722E-2</v>
      </c>
      <c r="D111" s="87">
        <v>8640</v>
      </c>
      <c r="E111" s="88">
        <v>220.49378000000002</v>
      </c>
      <c r="F111" s="89">
        <v>8000039</v>
      </c>
    </row>
    <row r="112" spans="1:6" ht="15.75" x14ac:dyDescent="0.25">
      <c r="A112" s="84">
        <v>43996</v>
      </c>
      <c r="B112" s="85">
        <v>691</v>
      </c>
      <c r="C112" s="86">
        <v>3.3139897367032753E-2</v>
      </c>
      <c r="D112" s="87">
        <v>20160</v>
      </c>
      <c r="E112" s="88">
        <v>1437.3698300000001</v>
      </c>
      <c r="F112" s="89">
        <v>8000039</v>
      </c>
    </row>
    <row r="113" spans="1:6" ht="15.75" x14ac:dyDescent="0.25">
      <c r="A113" s="84">
        <v>43997</v>
      </c>
      <c r="B113" s="85">
        <v>547</v>
      </c>
      <c r="C113" s="86">
        <v>3.9107742904125262E-2</v>
      </c>
      <c r="D113" s="87">
        <v>13440</v>
      </c>
      <c r="E113" s="88">
        <v>1137.8311100000001</v>
      </c>
      <c r="F113" s="89">
        <v>8000039</v>
      </c>
    </row>
    <row r="114" spans="1:6" ht="15.75" x14ac:dyDescent="0.25">
      <c r="A114" s="84">
        <v>43998</v>
      </c>
      <c r="B114" s="85">
        <v>597</v>
      </c>
      <c r="C114" s="86">
        <v>2.6326233628786878E-2</v>
      </c>
      <c r="D114" s="87">
        <v>22080</v>
      </c>
      <c r="E114" s="88">
        <v>1241.83761</v>
      </c>
      <c r="F114" s="89">
        <v>8000039</v>
      </c>
    </row>
    <row r="115" spans="1:6" ht="15.75" x14ac:dyDescent="0.25">
      <c r="A115" s="84">
        <v>43999</v>
      </c>
      <c r="B115" s="85">
        <v>203</v>
      </c>
      <c r="C115" s="86">
        <v>1.1006886081440112E-2</v>
      </c>
      <c r="D115" s="87">
        <v>18240</v>
      </c>
      <c r="E115" s="88">
        <v>422.26639</v>
      </c>
      <c r="F115" s="89">
        <v>8000039</v>
      </c>
    </row>
    <row r="116" spans="1:6" ht="15.75" x14ac:dyDescent="0.25">
      <c r="A116" s="84">
        <v>44000</v>
      </c>
      <c r="B116" s="85">
        <v>1241</v>
      </c>
      <c r="C116" s="86">
        <v>0.12611532285929147</v>
      </c>
      <c r="D116" s="87">
        <v>8599.1999999999989</v>
      </c>
      <c r="E116" s="88">
        <v>2432.36</v>
      </c>
      <c r="F116" s="89">
        <v>8000038</v>
      </c>
    </row>
    <row r="117" spans="1:6" ht="15.75" x14ac:dyDescent="0.25">
      <c r="A117" s="84">
        <v>44001</v>
      </c>
      <c r="B117" s="85">
        <v>915</v>
      </c>
      <c r="C117" s="86">
        <v>4.251661168161331E-2</v>
      </c>
      <c r="D117" s="87">
        <v>20606</v>
      </c>
      <c r="E117" s="88">
        <v>1793.4</v>
      </c>
      <c r="F117" s="89">
        <v>8000038</v>
      </c>
    </row>
    <row r="118" spans="1:6" ht="15.75" x14ac:dyDescent="0.25">
      <c r="A118" s="84">
        <v>44002</v>
      </c>
      <c r="B118" s="85">
        <v>403</v>
      </c>
      <c r="C118" s="86">
        <v>3.9145216124332201E-2</v>
      </c>
      <c r="D118" s="87">
        <v>9892</v>
      </c>
      <c r="E118" s="88">
        <v>789.88</v>
      </c>
      <c r="F118" s="89">
        <v>8000038</v>
      </c>
    </row>
    <row r="119" spans="1:6" ht="15.75" x14ac:dyDescent="0.25">
      <c r="A119" s="84">
        <v>44003</v>
      </c>
      <c r="B119" s="85">
        <v>500</v>
      </c>
      <c r="C119" s="86">
        <v>0.11873664212776062</v>
      </c>
      <c r="D119" s="87">
        <v>3711</v>
      </c>
      <c r="E119" s="88">
        <v>980</v>
      </c>
      <c r="F119" s="89">
        <v>8000038</v>
      </c>
    </row>
    <row r="120" spans="1:6" ht="15.75" x14ac:dyDescent="0.25">
      <c r="A120" s="84">
        <v>44004</v>
      </c>
      <c r="B120" s="85">
        <v>910</v>
      </c>
      <c r="C120" s="86">
        <v>4.7013845835916515E-2</v>
      </c>
      <c r="D120" s="87">
        <v>18446</v>
      </c>
      <c r="E120" s="88">
        <v>1783.6</v>
      </c>
      <c r="F120" s="89">
        <v>8000038</v>
      </c>
    </row>
    <row r="121" spans="1:6" ht="15.75" x14ac:dyDescent="0.25">
      <c r="A121" s="84">
        <v>44005</v>
      </c>
      <c r="B121" s="85">
        <v>849</v>
      </c>
      <c r="C121" s="86">
        <v>4.5951504654687163E-2</v>
      </c>
      <c r="D121" s="87">
        <v>17627</v>
      </c>
      <c r="E121" s="88">
        <v>1664.04</v>
      </c>
      <c r="F121" s="89">
        <v>8000038</v>
      </c>
    </row>
    <row r="122" spans="1:6" ht="15.75" x14ac:dyDescent="0.25">
      <c r="A122" s="84">
        <v>44006</v>
      </c>
      <c r="B122" s="85">
        <v>962</v>
      </c>
      <c r="C122" s="86">
        <v>4.8731067321817534E-2</v>
      </c>
      <c r="D122" s="87">
        <v>18779</v>
      </c>
      <c r="E122" s="88">
        <v>1839.1323600000001</v>
      </c>
      <c r="F122" s="89">
        <v>8000035</v>
      </c>
    </row>
    <row r="123" spans="1:6" ht="15.75" x14ac:dyDescent="0.25">
      <c r="A123" s="84">
        <v>44007</v>
      </c>
      <c r="B123" s="85">
        <v>1253</v>
      </c>
      <c r="C123" s="86">
        <v>4.3221800620903757E-2</v>
      </c>
      <c r="D123" s="87">
        <v>27737</v>
      </c>
      <c r="E123" s="88">
        <v>2395.4603400000001</v>
      </c>
      <c r="F123" s="89">
        <v>8000035</v>
      </c>
    </row>
    <row r="124" spans="1:6" ht="15.75" x14ac:dyDescent="0.25">
      <c r="A124" s="84">
        <v>44008</v>
      </c>
      <c r="B124" s="85">
        <v>1171</v>
      </c>
      <c r="C124" s="86">
        <v>4.7483881432220917E-2</v>
      </c>
      <c r="D124" s="87">
        <v>23490</v>
      </c>
      <c r="E124" s="88">
        <v>2238.6943799999999</v>
      </c>
      <c r="F124" s="89">
        <v>8000035</v>
      </c>
    </row>
    <row r="125" spans="1:6" ht="15.75" x14ac:dyDescent="0.25">
      <c r="A125" s="84">
        <v>44009</v>
      </c>
      <c r="B125" s="85">
        <v>1315</v>
      </c>
      <c r="C125" s="86">
        <v>4.5560059591865015E-2</v>
      </c>
      <c r="D125" s="87">
        <v>27548</v>
      </c>
      <c r="E125" s="88">
        <v>2513.9907000000003</v>
      </c>
      <c r="F125" s="89">
        <v>8000035</v>
      </c>
    </row>
    <row r="126" spans="1:6" ht="15.75" x14ac:dyDescent="0.25">
      <c r="A126" s="84">
        <v>44010</v>
      </c>
      <c r="B126" s="85">
        <v>1747</v>
      </c>
      <c r="C126" s="86">
        <v>5.9128139172815272E-2</v>
      </c>
      <c r="D126" s="87">
        <v>27799</v>
      </c>
      <c r="E126" s="88">
        <v>3339.8796600000001</v>
      </c>
      <c r="F126" s="89">
        <v>8000035</v>
      </c>
    </row>
    <row r="127" spans="1:6" ht="15.75" x14ac:dyDescent="0.25">
      <c r="A127" s="84">
        <v>44011</v>
      </c>
      <c r="B127" s="85">
        <v>810</v>
      </c>
      <c r="C127" s="86">
        <v>2.3023791250959325E-2</v>
      </c>
      <c r="D127" s="87">
        <v>34371</v>
      </c>
      <c r="E127" s="88">
        <v>1548.5418</v>
      </c>
      <c r="F127" s="89">
        <v>8000035</v>
      </c>
    </row>
    <row r="128" spans="1:6" ht="15.75" x14ac:dyDescent="0.25">
      <c r="A128" s="84">
        <v>44019</v>
      </c>
      <c r="B128" s="85">
        <v>1339</v>
      </c>
      <c r="C128" s="86">
        <v>8.8382604930416026E-2</v>
      </c>
      <c r="D128" s="87">
        <v>13811.039999999999</v>
      </c>
      <c r="E128" s="88">
        <v>2559.8734199999999</v>
      </c>
      <c r="F128" s="88">
        <v>8000035</v>
      </c>
    </row>
    <row r="129" spans="1:6" ht="15.75" x14ac:dyDescent="0.25">
      <c r="A129" s="84">
        <v>44020</v>
      </c>
      <c r="B129" s="85">
        <v>1232</v>
      </c>
      <c r="C129" s="86">
        <v>6.4369396740672324E-2</v>
      </c>
      <c r="D129" s="87">
        <v>17907.53</v>
      </c>
      <c r="E129" s="88">
        <v>2355.3129600000002</v>
      </c>
      <c r="F129" s="88">
        <v>8000035</v>
      </c>
    </row>
    <row r="130" spans="1:6" ht="15.75" x14ac:dyDescent="0.25">
      <c r="A130" s="84">
        <v>44021</v>
      </c>
      <c r="B130" s="85">
        <v>1294</v>
      </c>
      <c r="C130" s="86">
        <v>4.6171412260044245E-2</v>
      </c>
      <c r="D130" s="87">
        <v>26732</v>
      </c>
      <c r="E130" s="88">
        <v>2473.8433199999999</v>
      </c>
      <c r="F130" s="88">
        <v>8000035</v>
      </c>
    </row>
    <row r="131" spans="1:6" ht="15.75" x14ac:dyDescent="0.25">
      <c r="A131" s="84">
        <v>44022</v>
      </c>
      <c r="B131" s="85">
        <v>1300</v>
      </c>
      <c r="C131" s="86">
        <v>3.6003899499268847E-2</v>
      </c>
      <c r="D131" s="87">
        <v>34807.199999999997</v>
      </c>
      <c r="E131" s="88">
        <v>2485.3139999999999</v>
      </c>
      <c r="F131" s="88">
        <v>8000035</v>
      </c>
    </row>
    <row r="132" spans="1:6" ht="15.75" x14ac:dyDescent="0.25">
      <c r="A132" s="84">
        <v>44023</v>
      </c>
      <c r="B132" s="85">
        <v>1367</v>
      </c>
      <c r="C132" s="86">
        <v>5.1003275850489888E-2</v>
      </c>
      <c r="D132" s="87">
        <v>25435.199999999997</v>
      </c>
      <c r="E132" s="88">
        <v>2613.40326</v>
      </c>
      <c r="F132" s="88">
        <v>8000035</v>
      </c>
    </row>
    <row r="133" spans="1:6" ht="15.75" x14ac:dyDescent="0.25">
      <c r="A133" s="84">
        <v>44024</v>
      </c>
      <c r="B133" s="85">
        <v>1094</v>
      </c>
      <c r="C133" s="86">
        <v>3.5348476525897447E-2</v>
      </c>
      <c r="D133" s="87">
        <v>29855</v>
      </c>
      <c r="E133" s="88">
        <v>2091.4873200000002</v>
      </c>
      <c r="F133" s="88">
        <v>8000035</v>
      </c>
    </row>
    <row r="134" spans="1:6" ht="15.75" x14ac:dyDescent="0.25">
      <c r="A134" s="84">
        <v>44025</v>
      </c>
      <c r="B134" s="85">
        <v>1096</v>
      </c>
      <c r="C134" s="86">
        <v>5.0180737647686352E-2</v>
      </c>
      <c r="D134" s="87">
        <v>20745.05</v>
      </c>
      <c r="E134" s="88">
        <v>2095.31088</v>
      </c>
      <c r="F134" s="88">
        <v>8000035</v>
      </c>
    </row>
    <row r="135" spans="1:6" ht="15.75" x14ac:dyDescent="0.25">
      <c r="A135" s="84">
        <v>44026</v>
      </c>
      <c r="B135" s="85">
        <v>1104</v>
      </c>
      <c r="C135" s="86">
        <v>4.380808092431876E-2</v>
      </c>
      <c r="D135" s="87">
        <v>24096.83</v>
      </c>
      <c r="E135" s="88">
        <v>2110.6051200000002</v>
      </c>
      <c r="F135" s="88">
        <v>8000035</v>
      </c>
    </row>
    <row r="136" spans="1:6" ht="15.75" x14ac:dyDescent="0.25">
      <c r="A136" s="84">
        <v>44027</v>
      </c>
      <c r="B136" s="85">
        <v>1655</v>
      </c>
      <c r="C136" s="86">
        <v>7.9184329636469777E-2</v>
      </c>
      <c r="D136" s="87">
        <v>19245.599999999999</v>
      </c>
      <c r="E136" s="88">
        <v>3163.9959000000003</v>
      </c>
      <c r="F136" s="88">
        <v>8000035</v>
      </c>
    </row>
    <row r="137" spans="1:6" ht="15.75" x14ac:dyDescent="0.25">
      <c r="A137" s="84">
        <v>44028</v>
      </c>
      <c r="B137" s="85">
        <v>1574</v>
      </c>
      <c r="C137" s="86">
        <v>5.7700062318999962E-2</v>
      </c>
      <c r="D137" s="87">
        <v>25705</v>
      </c>
      <c r="E137" s="88">
        <v>3009.1417200000001</v>
      </c>
      <c r="F137" s="88">
        <v>8000035</v>
      </c>
    </row>
    <row r="138" spans="1:6" ht="15.75" x14ac:dyDescent="0.25">
      <c r="A138" s="84">
        <v>44029</v>
      </c>
      <c r="B138" s="85">
        <v>746</v>
      </c>
      <c r="C138" s="86">
        <v>2.6133991003741436E-2</v>
      </c>
      <c r="D138" s="87">
        <v>27799.199999999997</v>
      </c>
      <c r="E138" s="88">
        <v>1426.18788</v>
      </c>
      <c r="F138" s="88">
        <v>8000035</v>
      </c>
    </row>
    <row r="139" spans="1:6" ht="15.75" x14ac:dyDescent="0.25">
      <c r="A139" s="84">
        <v>44030</v>
      </c>
      <c r="B139" s="85">
        <v>891</v>
      </c>
      <c r="C139" s="86">
        <v>3.4483559353520342E-2</v>
      </c>
      <c r="D139" s="87">
        <v>24947.4</v>
      </c>
      <c r="E139" s="88">
        <v>1703.39598</v>
      </c>
      <c r="F139" s="88">
        <v>8000035</v>
      </c>
    </row>
    <row r="140" spans="1:6" ht="15.75" x14ac:dyDescent="0.25">
      <c r="A140" s="84">
        <v>44031</v>
      </c>
      <c r="B140" s="85">
        <v>539</v>
      </c>
      <c r="C140" s="86">
        <v>5.6416869376630235E-2</v>
      </c>
      <c r="D140" s="87">
        <v>9014.8799999999992</v>
      </c>
      <c r="E140" s="88">
        <v>1056.44</v>
      </c>
      <c r="F140" s="88">
        <v>8000038</v>
      </c>
    </row>
    <row r="141" spans="1:6" ht="15.75" x14ac:dyDescent="0.25">
      <c r="A141" s="84">
        <v>44032</v>
      </c>
      <c r="B141" s="85">
        <v>1037</v>
      </c>
      <c r="C141" s="86">
        <v>4.7915114931588121E-2</v>
      </c>
      <c r="D141" s="87">
        <v>20605.439999999999</v>
      </c>
      <c r="E141" s="88">
        <v>2032.52</v>
      </c>
      <c r="F141" s="88">
        <v>8000038</v>
      </c>
    </row>
    <row r="142" spans="1:6" ht="15.75" x14ac:dyDescent="0.25">
      <c r="A142" s="84">
        <v>44033</v>
      </c>
      <c r="B142" s="85">
        <v>851</v>
      </c>
      <c r="C142" s="86">
        <v>6.3973225964559885E-2</v>
      </c>
      <c r="D142" s="87">
        <v>12451.439999999999</v>
      </c>
      <c r="E142" s="88">
        <v>1667.96</v>
      </c>
      <c r="F142" s="88">
        <v>8000038</v>
      </c>
    </row>
    <row r="143" spans="1:6" ht="15.75" x14ac:dyDescent="0.25">
      <c r="A143" s="84">
        <v>44035</v>
      </c>
      <c r="B143" s="85">
        <v>276</v>
      </c>
      <c r="C143" s="86">
        <v>4.5125320863920994E-2</v>
      </c>
      <c r="D143" s="87">
        <v>5840.3</v>
      </c>
      <c r="E143" s="88">
        <v>534.9325</v>
      </c>
      <c r="F143" s="88">
        <v>8000036.5</v>
      </c>
    </row>
    <row r="144" spans="1:6" ht="15.75" x14ac:dyDescent="0.25">
      <c r="A144" s="84">
        <v>44036</v>
      </c>
      <c r="B144" s="85">
        <v>133</v>
      </c>
      <c r="C144" s="86">
        <v>5.7760792148006605E-2</v>
      </c>
      <c r="D144" s="87">
        <v>2169.6</v>
      </c>
      <c r="E144" s="88">
        <v>254.26674</v>
      </c>
      <c r="F144" s="88">
        <v>8000035</v>
      </c>
    </row>
    <row r="145" spans="1:6" ht="15.75" x14ac:dyDescent="0.25">
      <c r="A145" s="84">
        <v>44039</v>
      </c>
      <c r="B145" s="85">
        <v>1243</v>
      </c>
      <c r="C145" s="86">
        <v>6.6275659824046915E-2</v>
      </c>
      <c r="D145" s="87">
        <v>17512</v>
      </c>
      <c r="E145" s="88">
        <v>2376.3425400000001</v>
      </c>
      <c r="F145" s="88">
        <v>8000035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MTD &amp; YTD Scrap</vt:lpstr>
      <vt:lpstr>Daily Scrap by Shift</vt:lpstr>
      <vt:lpstr>Scrap by Day by Line</vt:lpstr>
      <vt:lpstr>Scrap Tracking</vt:lpstr>
      <vt:lpstr>Warehouse Scrap</vt:lpstr>
      <vt:lpstr>Lists</vt:lpstr>
      <vt:lpstr>Sheet3</vt:lpstr>
      <vt:lpstr>Sheet2</vt:lpstr>
      <vt:lpstr>Sheet1</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Paturzo</dc:creator>
  <cp:lastModifiedBy>Derek Caramella</cp:lastModifiedBy>
  <dcterms:created xsi:type="dcterms:W3CDTF">2020-02-14T21:09:44Z</dcterms:created>
  <dcterms:modified xsi:type="dcterms:W3CDTF">2020-07-29T13:52:32Z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f516c85-e1c3-4dc4-b26d-41c52212205c_Enabled">
    <vt:lpwstr>True</vt:lpwstr>
  </property>
  <property fmtid="{D5CDD505-2E9C-101B-9397-08002B2CF9AE}" pid="3" name="MSIP_Label_6f516c85-e1c3-4dc4-b26d-41c52212205c_SiteId">
    <vt:lpwstr>12f553a5-690d-49f6-8961-4b92f700cf11</vt:lpwstr>
  </property>
  <property fmtid="{D5CDD505-2E9C-101B-9397-08002B2CF9AE}" pid="4" name="MSIP_Label_6f516c85-e1c3-4dc4-b26d-41c52212205c_Owner">
    <vt:lpwstr>Diana.Paturzo@pladisglobal.com</vt:lpwstr>
  </property>
  <property fmtid="{D5CDD505-2E9C-101B-9397-08002B2CF9AE}" pid="5" name="MSIP_Label_6f516c85-e1c3-4dc4-b26d-41c52212205c_SetDate">
    <vt:lpwstr>2020-02-14T21:29:35.2839818Z</vt:lpwstr>
  </property>
  <property fmtid="{D5CDD505-2E9C-101B-9397-08002B2CF9AE}" pid="6" name="MSIP_Label_6f516c85-e1c3-4dc4-b26d-41c52212205c_Name">
    <vt:lpwstr>PUBLIC</vt:lpwstr>
  </property>
  <property fmtid="{D5CDD505-2E9C-101B-9397-08002B2CF9AE}" pid="7" name="MSIP_Label_6f516c85-e1c3-4dc4-b26d-41c52212205c_Application">
    <vt:lpwstr>Microsoft Azure Information Protection</vt:lpwstr>
  </property>
  <property fmtid="{D5CDD505-2E9C-101B-9397-08002B2CF9AE}" pid="8" name="MSIP_Label_6f516c85-e1c3-4dc4-b26d-41c52212205c_Extended_MSFT_Method">
    <vt:lpwstr>Manual</vt:lpwstr>
  </property>
  <property fmtid="{D5CDD505-2E9C-101B-9397-08002B2CF9AE}" pid="9" name="Sensitivity">
    <vt:lpwstr>PUBLIC</vt:lpwstr>
  </property>
</Properties>
</file>