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2.0\UofE MSc\final-thesis-2022-03-03\supplementary\"/>
    </mc:Choice>
  </mc:AlternateContent>
  <xr:revisionPtr revIDLastSave="0" documentId="13_ncr:1_{A2434B4C-4135-41E8-ABD4-9448621664C6}" xr6:coauthVersionLast="47" xr6:coauthVersionMax="47" xr10:uidLastSave="{00000000-0000-0000-0000-000000000000}"/>
  <bookViews>
    <workbookView xWindow="-135" yWindow="-135" windowWidth="29070" windowHeight="15870" firstSheet="4" activeTab="8" xr2:uid="{2C71B67F-20F4-4FCF-B1B6-F662AE90DE1C}"/>
  </bookViews>
  <sheets>
    <sheet name="1.1" sheetId="1" r:id="rId1"/>
    <sheet name="1.2" sheetId="3" r:id="rId2"/>
    <sheet name="1.3" sheetId="2" r:id="rId3"/>
    <sheet name="1.4" sheetId="4" r:id="rId4"/>
    <sheet name="1.5" sheetId="5" r:id="rId5"/>
    <sheet name="1.6" sheetId="6" r:id="rId6"/>
    <sheet name="1.7" sheetId="7" r:id="rId7"/>
    <sheet name="1.8" sheetId="8" r:id="rId8"/>
    <sheet name="2.13" sheetId="15" r:id="rId9"/>
    <sheet name="velocity" sheetId="11" r:id="rId10"/>
    <sheet name="impact" sheetId="16" r:id="rId11"/>
    <sheet name="contact" sheetId="13" r:id="rId12"/>
    <sheet name="mass-dims" sheetId="14" r:id="rId13"/>
    <sheet name="stone-dia-calib" sheetId="9" r:id="rId14"/>
    <sheet name="angles" sheetId="10" r:id="rId15"/>
  </sheets>
  <externalReferences>
    <externalReference r:id="rId16"/>
    <externalReference r:id="rId17"/>
  </externalReferences>
  <definedNames>
    <definedName name="_xlnm._FilterDatabase" localSheetId="11" hidden="1">contact!$A$1:$Y$11</definedName>
    <definedName name="_xlnm._FilterDatabase" localSheetId="9" hidden="1">velocity!$A$2:$N$19</definedName>
    <definedName name="solver_adj" localSheetId="9" hidden="1">velocity!$Y$3</definedName>
    <definedName name="solver_cvg" localSheetId="9" hidden="1">0.0001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1</definedName>
    <definedName name="solver_nod" localSheetId="9" hidden="1">2147483647</definedName>
    <definedName name="solver_num" localSheetId="9" hidden="1">0</definedName>
    <definedName name="solver_nwt" localSheetId="9" hidden="1">1</definedName>
    <definedName name="solver_opt" localSheetId="9" hidden="1">velocity!$AH$3</definedName>
    <definedName name="solver_pre" localSheetId="9" hidden="1">0.000001</definedName>
    <definedName name="solver_rbv" localSheetId="9" hidden="1">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2</definedName>
    <definedName name="solver_val" localSheetId="9" hidden="1">0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21" i="11" l="1"/>
  <c r="AS21" i="11"/>
  <c r="BU8" i="15"/>
  <c r="BT3" i="15"/>
  <c r="BR3" i="15"/>
  <c r="BT8" i="15"/>
  <c r="BU7" i="15"/>
  <c r="BU5" i="15"/>
  <c r="BU3" i="15"/>
  <c r="BT7" i="15"/>
  <c r="BT5" i="15"/>
  <c r="BR7" i="15"/>
  <c r="BS7" i="15" s="1"/>
  <c r="BR5" i="15"/>
  <c r="BS5" i="15" s="1"/>
  <c r="BS3" i="15"/>
  <c r="AR21" i="11"/>
  <c r="AR17" i="11"/>
  <c r="AQ21" i="11"/>
  <c r="AP21" i="11"/>
  <c r="AO21" i="11"/>
  <c r="AR15" i="11"/>
  <c r="AQ15" i="11"/>
  <c r="AQ17" i="11"/>
  <c r="BL7" i="15"/>
  <c r="BL5" i="15"/>
  <c r="BL3" i="15"/>
  <c r="AN21" i="11"/>
  <c r="BK12" i="11"/>
  <c r="BC3" i="8"/>
  <c r="AR3" i="11" l="1"/>
  <c r="AQ3" i="11"/>
  <c r="AM3" i="11"/>
  <c r="AS3" i="11"/>
  <c r="AQ13" i="11"/>
  <c r="AQ14" i="11"/>
  <c r="AQ16" i="11"/>
  <c r="AQ12" i="11"/>
  <c r="AQ4" i="11"/>
  <c r="AQ5" i="11"/>
  <c r="AQ6" i="11"/>
  <c r="AQ7" i="11"/>
  <c r="AR7" i="11" s="1"/>
  <c r="AQ8" i="11"/>
  <c r="AR8" i="11" s="1"/>
  <c r="AR12" i="11"/>
  <c r="AR13" i="11"/>
  <c r="AR14" i="11"/>
  <c r="AR16" i="11"/>
  <c r="AR4" i="11"/>
  <c r="AR5" i="11"/>
  <c r="AR6" i="11"/>
  <c r="AO4" i="11"/>
  <c r="AP4" i="11"/>
  <c r="AO5" i="11"/>
  <c r="AP5" i="11"/>
  <c r="AO6" i="11"/>
  <c r="AP6" i="11"/>
  <c r="AO7" i="11"/>
  <c r="AP7" i="11"/>
  <c r="AO8" i="11"/>
  <c r="AP8" i="11"/>
  <c r="AO12" i="11"/>
  <c r="AP12" i="11"/>
  <c r="AO13" i="11"/>
  <c r="AP13" i="11"/>
  <c r="AO14" i="11"/>
  <c r="AP14" i="11"/>
  <c r="AO15" i="11"/>
  <c r="AP15" i="11"/>
  <c r="AO16" i="11"/>
  <c r="AP16" i="11"/>
  <c r="AO17" i="11"/>
  <c r="AP17" i="11"/>
  <c r="AP3" i="11"/>
  <c r="AO3" i="11"/>
  <c r="BK3" i="11" l="1"/>
  <c r="X12" i="11"/>
  <c r="BF4" i="11" l="1"/>
  <c r="AY4" i="11"/>
  <c r="BE4" i="11"/>
  <c r="BE5" i="11"/>
  <c r="BF5" i="11"/>
  <c r="BE6" i="11"/>
  <c r="BF6" i="11"/>
  <c r="BE7" i="11"/>
  <c r="BF7" i="11"/>
  <c r="BE8" i="11"/>
  <c r="BF8" i="11"/>
  <c r="BE9" i="11"/>
  <c r="BF9" i="11"/>
  <c r="BE10" i="11"/>
  <c r="BF10" i="11"/>
  <c r="BE12" i="11"/>
  <c r="BF12" i="11"/>
  <c r="BE13" i="11"/>
  <c r="BF13" i="11"/>
  <c r="BE14" i="11"/>
  <c r="BF14" i="11"/>
  <c r="BE15" i="11"/>
  <c r="BF15" i="11"/>
  <c r="BE16" i="11"/>
  <c r="BF16" i="11"/>
  <c r="BE17" i="11"/>
  <c r="BF17" i="11"/>
  <c r="BE18" i="11"/>
  <c r="BF18" i="11"/>
  <c r="BE19" i="11"/>
  <c r="BF19" i="11"/>
  <c r="BE21" i="11"/>
  <c r="BF21" i="11"/>
  <c r="BF3" i="11"/>
  <c r="BE3" i="11"/>
  <c r="BK21" i="11"/>
  <c r="AV4" i="11"/>
  <c r="AW4" i="11"/>
  <c r="AZ4" i="11"/>
  <c r="BA4" i="11"/>
  <c r="BB4" i="11"/>
  <c r="BC4" i="11"/>
  <c r="BD4" i="11"/>
  <c r="BG4" i="11"/>
  <c r="BH4" i="11"/>
  <c r="BI4" i="11"/>
  <c r="BJ4" i="11"/>
  <c r="BK4" i="11"/>
  <c r="BL4" i="11"/>
  <c r="AV5" i="11"/>
  <c r="AW5" i="11"/>
  <c r="AY5" i="11"/>
  <c r="AZ5" i="11"/>
  <c r="BA5" i="11"/>
  <c r="BB5" i="11"/>
  <c r="BC5" i="11"/>
  <c r="BD5" i="11"/>
  <c r="BG5" i="11"/>
  <c r="BH5" i="11"/>
  <c r="BI5" i="11"/>
  <c r="BJ5" i="11"/>
  <c r="BK5" i="11"/>
  <c r="BL5" i="11"/>
  <c r="AV6" i="11"/>
  <c r="AW6" i="11"/>
  <c r="AY6" i="11"/>
  <c r="AZ6" i="11"/>
  <c r="BA6" i="11"/>
  <c r="BB6" i="11"/>
  <c r="BC6" i="11"/>
  <c r="BD6" i="11"/>
  <c r="BG6" i="11"/>
  <c r="BH6" i="11"/>
  <c r="BI6" i="11"/>
  <c r="BJ6" i="11"/>
  <c r="BK6" i="11"/>
  <c r="BL6" i="11"/>
  <c r="AV7" i="11"/>
  <c r="AW7" i="11"/>
  <c r="AY7" i="11"/>
  <c r="AZ7" i="11"/>
  <c r="BA7" i="11"/>
  <c r="BB7" i="11"/>
  <c r="BC7" i="11"/>
  <c r="BD7" i="11"/>
  <c r="BG7" i="11"/>
  <c r="BH7" i="11"/>
  <c r="BI7" i="11"/>
  <c r="BJ7" i="11"/>
  <c r="BK7" i="11"/>
  <c r="BL7" i="11"/>
  <c r="AV8" i="11"/>
  <c r="AW8" i="11"/>
  <c r="AY8" i="11"/>
  <c r="AZ8" i="11"/>
  <c r="BA8" i="11"/>
  <c r="BB8" i="11"/>
  <c r="BC8" i="11"/>
  <c r="BD8" i="11"/>
  <c r="BG8" i="11"/>
  <c r="BH8" i="11"/>
  <c r="BI8" i="11"/>
  <c r="BJ8" i="11"/>
  <c r="BK8" i="11"/>
  <c r="BL8" i="11"/>
  <c r="AV9" i="11"/>
  <c r="AW9" i="11"/>
  <c r="AY9" i="11"/>
  <c r="AZ9" i="11"/>
  <c r="BA9" i="11"/>
  <c r="BB9" i="11"/>
  <c r="BC9" i="11"/>
  <c r="BD9" i="11"/>
  <c r="BG9" i="11"/>
  <c r="BH9" i="11"/>
  <c r="AV10" i="11"/>
  <c r="AW10" i="11"/>
  <c r="AY10" i="11"/>
  <c r="AZ10" i="11"/>
  <c r="BA10" i="11"/>
  <c r="BB10" i="11"/>
  <c r="BC10" i="11"/>
  <c r="BD10" i="11"/>
  <c r="BG10" i="11"/>
  <c r="BH10" i="11"/>
  <c r="AV12" i="11"/>
  <c r="AW12" i="11"/>
  <c r="AY12" i="11"/>
  <c r="AZ12" i="11"/>
  <c r="BA12" i="11"/>
  <c r="BB12" i="11"/>
  <c r="BC12" i="11"/>
  <c r="BD12" i="11"/>
  <c r="BG12" i="11"/>
  <c r="BH12" i="11"/>
  <c r="BI12" i="11"/>
  <c r="BJ12" i="11"/>
  <c r="BL12" i="11"/>
  <c r="AV13" i="11"/>
  <c r="AW13" i="11"/>
  <c r="AY13" i="11"/>
  <c r="AZ13" i="11"/>
  <c r="BA13" i="11"/>
  <c r="BB13" i="11"/>
  <c r="BC13" i="11"/>
  <c r="BD13" i="11"/>
  <c r="BG13" i="11"/>
  <c r="BH13" i="11"/>
  <c r="BI13" i="11"/>
  <c r="BJ13" i="11"/>
  <c r="BK13" i="11"/>
  <c r="BL13" i="11"/>
  <c r="AV14" i="11"/>
  <c r="AW14" i="11"/>
  <c r="AY14" i="11"/>
  <c r="AZ14" i="11"/>
  <c r="BA14" i="11"/>
  <c r="BB14" i="11"/>
  <c r="BC14" i="11"/>
  <c r="BD14" i="11"/>
  <c r="BG14" i="11"/>
  <c r="BH14" i="11"/>
  <c r="BI14" i="11"/>
  <c r="BJ14" i="11"/>
  <c r="BK14" i="11"/>
  <c r="BL14" i="11"/>
  <c r="AV15" i="11"/>
  <c r="AW15" i="11"/>
  <c r="AY15" i="11"/>
  <c r="AZ15" i="11"/>
  <c r="BA15" i="11"/>
  <c r="BB15" i="11"/>
  <c r="BC15" i="11"/>
  <c r="BD15" i="11"/>
  <c r="BG15" i="11"/>
  <c r="BH15" i="11"/>
  <c r="BI15" i="11"/>
  <c r="BJ15" i="11"/>
  <c r="BK15" i="11"/>
  <c r="BL15" i="11"/>
  <c r="AV16" i="11"/>
  <c r="AW16" i="11"/>
  <c r="AY16" i="11"/>
  <c r="AZ16" i="11"/>
  <c r="BA16" i="11"/>
  <c r="BB16" i="11"/>
  <c r="BC16" i="11"/>
  <c r="BD16" i="11"/>
  <c r="BG16" i="11"/>
  <c r="BH16" i="11"/>
  <c r="BI16" i="11"/>
  <c r="BJ16" i="11"/>
  <c r="BK16" i="11"/>
  <c r="BL16" i="11"/>
  <c r="AV17" i="11"/>
  <c r="AW17" i="11"/>
  <c r="AY17" i="11"/>
  <c r="AZ17" i="11"/>
  <c r="BA17" i="11"/>
  <c r="BB17" i="11"/>
  <c r="BC17" i="11"/>
  <c r="BD17" i="11"/>
  <c r="BG17" i="11"/>
  <c r="BH17" i="11"/>
  <c r="BI17" i="11"/>
  <c r="BJ17" i="11"/>
  <c r="BK17" i="11"/>
  <c r="BL17" i="11"/>
  <c r="AV18" i="11"/>
  <c r="AW18" i="11"/>
  <c r="AY18" i="11"/>
  <c r="AZ18" i="11"/>
  <c r="BA18" i="11"/>
  <c r="BB18" i="11"/>
  <c r="BC18" i="11"/>
  <c r="BD18" i="11"/>
  <c r="BG18" i="11"/>
  <c r="BH18" i="11"/>
  <c r="AV19" i="11"/>
  <c r="AW19" i="11"/>
  <c r="AY19" i="11"/>
  <c r="AZ19" i="11"/>
  <c r="BA19" i="11"/>
  <c r="BB19" i="11"/>
  <c r="BC19" i="11"/>
  <c r="BD19" i="11"/>
  <c r="BG19" i="11"/>
  <c r="BH19" i="11"/>
  <c r="AV21" i="11"/>
  <c r="AW21" i="11"/>
  <c r="AY21" i="11"/>
  <c r="AZ21" i="11"/>
  <c r="BA21" i="11"/>
  <c r="BB21" i="11"/>
  <c r="BC21" i="11"/>
  <c r="BD21" i="11"/>
  <c r="BG21" i="11"/>
  <c r="BH21" i="11"/>
  <c r="BI21" i="11"/>
  <c r="BJ21" i="11"/>
  <c r="BL3" i="11"/>
  <c r="BJ3" i="11"/>
  <c r="BI3" i="11"/>
  <c r="BH3" i="11"/>
  <c r="BG3" i="11"/>
  <c r="BD3" i="11"/>
  <c r="BC3" i="11"/>
  <c r="BB3" i="11"/>
  <c r="BA3" i="11"/>
  <c r="AZ3" i="11"/>
  <c r="AY3" i="11"/>
  <c r="AW3" i="11"/>
  <c r="AV3" i="11"/>
  <c r="AT21" i="11" l="1"/>
  <c r="BL21" i="11" l="1"/>
  <c r="BN21" i="11" l="1"/>
  <c r="BM21" i="11"/>
  <c r="D75" i="16" l="1"/>
  <c r="E75" i="16" s="1"/>
  <c r="D76" i="16" l="1"/>
  <c r="Y3" i="11"/>
  <c r="AH3" i="11"/>
  <c r="AE3" i="11"/>
  <c r="R3" i="11"/>
  <c r="AG3" i="11"/>
  <c r="W24" i="11"/>
  <c r="Z3" i="11"/>
  <c r="S3" i="11"/>
  <c r="Q3" i="11"/>
  <c r="AB3" i="11"/>
  <c r="Q21" i="11"/>
  <c r="AK21" i="11"/>
  <c r="Z21" i="11"/>
  <c r="AE21" i="11" s="1"/>
  <c r="V21" i="11"/>
  <c r="U21" i="11"/>
  <c r="T21" i="11"/>
  <c r="S21" i="11"/>
  <c r="R21" i="11"/>
  <c r="AA21" i="11" s="1"/>
  <c r="AH3" i="3"/>
  <c r="AL3" i="3" s="1"/>
  <c r="AI3" i="3"/>
  <c r="AM3" i="3" s="1"/>
  <c r="AH5" i="3"/>
  <c r="AI5" i="3"/>
  <c r="AM5" i="3"/>
  <c r="AH7" i="3"/>
  <c r="AL5" i="3" s="1"/>
  <c r="AI7" i="3"/>
  <c r="AH11" i="3"/>
  <c r="AI11" i="3"/>
  <c r="AK11" i="3" s="1"/>
  <c r="AJ11" i="3"/>
  <c r="AH18" i="3"/>
  <c r="AI18" i="3"/>
  <c r="AJ18" i="3"/>
  <c r="AL18" i="3"/>
  <c r="AM18" i="3"/>
  <c r="AH20" i="3"/>
  <c r="AI20" i="3"/>
  <c r="AJ20" i="3"/>
  <c r="AL20" i="3"/>
  <c r="AM20" i="3"/>
  <c r="AH22" i="3"/>
  <c r="AI22" i="3"/>
  <c r="AJ22" i="3"/>
  <c r="AH26" i="3"/>
  <c r="AI26" i="3"/>
  <c r="AK26" i="3" s="1"/>
  <c r="AJ26" i="3"/>
  <c r="AL3" i="2"/>
  <c r="BC2" i="15"/>
  <c r="AN3" i="11"/>
  <c r="AD21" i="11" l="1"/>
  <c r="AC21" i="11"/>
  <c r="AF21" i="11" s="1"/>
  <c r="AB21" i="11"/>
  <c r="AG21" i="11" s="1"/>
  <c r="D40" i="16"/>
  <c r="D39" i="16"/>
  <c r="D38" i="16"/>
  <c r="D37" i="16"/>
  <c r="C44" i="16"/>
  <c r="D44" i="16" s="1"/>
  <c r="B44" i="16"/>
  <c r="B43" i="16"/>
  <c r="C43" i="16" s="1"/>
  <c r="D43" i="16" s="1"/>
  <c r="B42" i="16"/>
  <c r="C42" i="16" s="1"/>
  <c r="D42" i="16" s="1"/>
  <c r="B41" i="16"/>
  <c r="C41" i="16" s="1"/>
  <c r="D41" i="16" s="1"/>
  <c r="E32" i="16"/>
  <c r="D32" i="16"/>
  <c r="C36" i="16" s="1"/>
  <c r="D36" i="16" s="1"/>
  <c r="E31" i="16"/>
  <c r="D31" i="16"/>
  <c r="C35" i="16" s="1"/>
  <c r="D35" i="16" s="1"/>
  <c r="S21" i="16"/>
  <c r="P21" i="16"/>
  <c r="N21" i="16"/>
  <c r="M21" i="16"/>
  <c r="D21" i="16"/>
  <c r="Q21" i="16" s="1"/>
  <c r="N20" i="16"/>
  <c r="M20" i="16"/>
  <c r="D20" i="16"/>
  <c r="N19" i="16"/>
  <c r="D19" i="16"/>
  <c r="N18" i="16"/>
  <c r="D18" i="16"/>
  <c r="S17" i="16"/>
  <c r="P17" i="16"/>
  <c r="O17" i="16"/>
  <c r="N17" i="16"/>
  <c r="M17" i="16"/>
  <c r="D17" i="16"/>
  <c r="Q17" i="16" s="1"/>
  <c r="O16" i="16"/>
  <c r="N16" i="16"/>
  <c r="M16" i="16"/>
  <c r="D16" i="16"/>
  <c r="O15" i="16"/>
  <c r="N15" i="16"/>
  <c r="M15" i="16"/>
  <c r="D15" i="16"/>
  <c r="O14" i="16"/>
  <c r="N14" i="16"/>
  <c r="M14" i="16"/>
  <c r="D14" i="16"/>
  <c r="O13" i="16"/>
  <c r="N13" i="16"/>
  <c r="M13" i="16"/>
  <c r="D13" i="16"/>
  <c r="O12" i="16"/>
  <c r="N12" i="16"/>
  <c r="M12" i="16"/>
  <c r="D12" i="16"/>
  <c r="N11" i="16"/>
  <c r="M11" i="16"/>
  <c r="U15" i="16" s="1"/>
  <c r="D11" i="16"/>
  <c r="N10" i="16"/>
  <c r="D10" i="16"/>
  <c r="S9" i="16"/>
  <c r="P9" i="16"/>
  <c r="O9" i="16"/>
  <c r="N9" i="16"/>
  <c r="M9" i="16"/>
  <c r="D9" i="16"/>
  <c r="Q9" i="16" s="1"/>
  <c r="O8" i="16"/>
  <c r="N8" i="16"/>
  <c r="M8" i="16"/>
  <c r="T9" i="16" s="1"/>
  <c r="D8" i="16"/>
  <c r="O7" i="16"/>
  <c r="N7" i="16"/>
  <c r="M7" i="16"/>
  <c r="D7" i="16"/>
  <c r="O6" i="16"/>
  <c r="N6" i="16"/>
  <c r="M6" i="16"/>
  <c r="D6" i="16"/>
  <c r="O5" i="16"/>
  <c r="N5" i="16"/>
  <c r="M5" i="16"/>
  <c r="D5" i="16"/>
  <c r="N4" i="16"/>
  <c r="M4" i="16"/>
  <c r="D4" i="16"/>
  <c r="N3" i="16"/>
  <c r="M3" i="16"/>
  <c r="D3" i="16"/>
  <c r="R21" i="16" l="1"/>
  <c r="U21" i="16" s="1"/>
  <c r="B39" i="16" s="1"/>
  <c r="R9" i="16"/>
  <c r="U9" i="16" s="1"/>
  <c r="O18" i="16"/>
  <c r="O10" i="16"/>
  <c r="D47" i="16"/>
  <c r="D49" i="16"/>
  <c r="U12" i="16"/>
  <c r="T16" i="16"/>
  <c r="U13" i="16"/>
  <c r="T21" i="16"/>
  <c r="U5" i="16"/>
  <c r="T6" i="16"/>
  <c r="U14" i="16"/>
  <c r="R17" i="16"/>
  <c r="U17" i="16" s="1"/>
  <c r="V17" i="16" s="1"/>
  <c r="D50" i="16"/>
  <c r="D51" i="16"/>
  <c r="D53" i="16" s="1"/>
  <c r="D56" i="16" s="1"/>
  <c r="D59" i="16" s="1"/>
  <c r="D66" i="16" s="1"/>
  <c r="D48" i="16"/>
  <c r="B37" i="16"/>
  <c r="X17" i="16"/>
  <c r="V9" i="16"/>
  <c r="V21" i="16"/>
  <c r="T12" i="16"/>
  <c r="T14" i="16"/>
  <c r="U6" i="16"/>
  <c r="B35" i="16"/>
  <c r="T8" i="16"/>
  <c r="U16" i="16"/>
  <c r="T5" i="16"/>
  <c r="T7" i="16"/>
  <c r="T13" i="16"/>
  <c r="T15" i="16"/>
  <c r="B36" i="16"/>
  <c r="U7" i="16"/>
  <c r="T17" i="16"/>
  <c r="U8" i="16"/>
  <c r="D69" i="16" l="1"/>
  <c r="D77" i="16"/>
  <c r="D78" i="16" s="1"/>
  <c r="D72" i="16"/>
  <c r="Z17" i="16"/>
  <c r="D52" i="16"/>
  <c r="D54" i="16" s="1"/>
  <c r="D57" i="16" s="1"/>
  <c r="D60" i="16" s="1"/>
  <c r="D67" i="16" s="1"/>
  <c r="D70" i="16" s="1"/>
  <c r="T18" i="16"/>
  <c r="B49" i="16"/>
  <c r="B50" i="16" s="1"/>
  <c r="B47" i="16"/>
  <c r="T10" i="16"/>
  <c r="Y17" i="16"/>
  <c r="AA17" i="16" s="1"/>
  <c r="D73" i="16" l="1"/>
  <c r="B51" i="16"/>
  <c r="B53" i="16" s="1"/>
  <c r="B48" i="16"/>
  <c r="B52" i="16" s="1"/>
  <c r="B56" i="16" l="1"/>
  <c r="B59" i="16" s="1"/>
  <c r="B66" i="16" s="1"/>
  <c r="B69" i="16" s="1"/>
  <c r="B54" i="16"/>
  <c r="B72" i="16" l="1"/>
  <c r="B57" i="16"/>
  <c r="B60" i="16" s="1"/>
  <c r="B67" i="16" s="1"/>
  <c r="B70" i="16" s="1"/>
  <c r="B73" i="16" l="1"/>
  <c r="AS13" i="11"/>
  <c r="BM13" i="11" s="1"/>
  <c r="AS14" i="11"/>
  <c r="BM14" i="11" s="1"/>
  <c r="AS15" i="11"/>
  <c r="BM15" i="11" s="1"/>
  <c r="AS16" i="11"/>
  <c r="BM16" i="11" s="1"/>
  <c r="AS17" i="11"/>
  <c r="BM17" i="11" s="1"/>
  <c r="AS12" i="11"/>
  <c r="BM12" i="11" s="1"/>
  <c r="AS8" i="11"/>
  <c r="BM8" i="11" s="1"/>
  <c r="AS7" i="11"/>
  <c r="BM7" i="11" s="1"/>
  <c r="AS6" i="11"/>
  <c r="BM6" i="11" s="1"/>
  <c r="AS5" i="11"/>
  <c r="BM5" i="11" s="1"/>
  <c r="AS4" i="11"/>
  <c r="BM4" i="11" s="1"/>
  <c r="BM3" i="11"/>
  <c r="BD2" i="1"/>
  <c r="BD19" i="8"/>
  <c r="BC19" i="8"/>
  <c r="X32" i="8"/>
  <c r="BD18" i="8"/>
  <c r="BC18" i="8"/>
  <c r="BD3" i="8"/>
  <c r="BC2" i="8"/>
  <c r="BD18" i="7"/>
  <c r="BC18" i="7"/>
  <c r="BD3" i="7"/>
  <c r="BC3" i="7"/>
  <c r="BC2" i="7"/>
  <c r="BE2" i="7"/>
  <c r="BF2" i="7"/>
  <c r="BE3" i="7"/>
  <c r="BF3" i="7"/>
  <c r="BE18" i="7"/>
  <c r="BF18" i="7"/>
  <c r="BD18" i="6"/>
  <c r="BC18" i="6"/>
  <c r="BD3" i="6"/>
  <c r="BC3" i="6"/>
  <c r="BC2" i="6"/>
  <c r="BD18" i="5"/>
  <c r="BC18" i="5"/>
  <c r="BD3" i="5"/>
  <c r="BC3" i="5"/>
  <c r="BC2" i="5"/>
  <c r="BD18" i="4"/>
  <c r="BC18" i="4"/>
  <c r="BD3" i="4"/>
  <c r="BC3" i="4"/>
  <c r="BC2" i="4"/>
  <c r="BE2" i="4"/>
  <c r="BF2" i="4"/>
  <c r="BE3" i="4"/>
  <c r="BF3" i="4"/>
  <c r="BE18" i="4"/>
  <c r="BF18" i="4"/>
  <c r="BD18" i="2"/>
  <c r="BC18" i="2"/>
  <c r="BD3" i="2"/>
  <c r="BC3" i="2"/>
  <c r="BC2" i="2"/>
  <c r="BD18" i="3"/>
  <c r="BC18" i="3"/>
  <c r="BD3" i="3"/>
  <c r="BC3" i="3"/>
  <c r="BC2" i="3"/>
  <c r="BC18" i="1"/>
  <c r="BD18" i="1"/>
  <c r="BD3" i="1"/>
  <c r="BC3" i="1"/>
  <c r="V30" i="1"/>
  <c r="BC2" i="1"/>
  <c r="BH2" i="15"/>
  <c r="BG2" i="15"/>
  <c r="V31" i="15"/>
  <c r="W31" i="15"/>
  <c r="P54" i="15"/>
  <c r="N54" i="15"/>
  <c r="L54" i="15"/>
  <c r="K54" i="15"/>
  <c r="P52" i="15"/>
  <c r="N52" i="15"/>
  <c r="L52" i="15"/>
  <c r="K52" i="15"/>
  <c r="P49" i="15"/>
  <c r="N49" i="15"/>
  <c r="L49" i="15"/>
  <c r="K49" i="15"/>
  <c r="P46" i="15"/>
  <c r="N46" i="15"/>
  <c r="L46" i="15"/>
  <c r="K46" i="15"/>
  <c r="P43" i="15"/>
  <c r="N43" i="15"/>
  <c r="L43" i="15"/>
  <c r="K43" i="15"/>
  <c r="P40" i="15"/>
  <c r="N40" i="15"/>
  <c r="L40" i="15"/>
  <c r="K40" i="15"/>
  <c r="P37" i="15"/>
  <c r="N37" i="15"/>
  <c r="L37" i="15"/>
  <c r="K37" i="15"/>
  <c r="P28" i="15"/>
  <c r="Q28" i="15" s="1"/>
  <c r="N28" i="15"/>
  <c r="U28" i="15" s="1"/>
  <c r="K28" i="15"/>
  <c r="L23" i="15"/>
  <c r="P22" i="15"/>
  <c r="N22" i="15"/>
  <c r="O22" i="15" s="1"/>
  <c r="L22" i="15"/>
  <c r="K22" i="15"/>
  <c r="L21" i="15"/>
  <c r="P20" i="15"/>
  <c r="N20" i="15"/>
  <c r="O20" i="15" s="1"/>
  <c r="L20" i="15"/>
  <c r="K20" i="15"/>
  <c r="L19" i="15"/>
  <c r="P18" i="15"/>
  <c r="N18" i="15"/>
  <c r="L18" i="15"/>
  <c r="K18" i="15"/>
  <c r="P13" i="15"/>
  <c r="N13" i="15"/>
  <c r="K13" i="15"/>
  <c r="L8" i="15"/>
  <c r="P7" i="15"/>
  <c r="N7" i="15"/>
  <c r="L7" i="15"/>
  <c r="K7" i="15"/>
  <c r="L6" i="15"/>
  <c r="P5" i="15"/>
  <c r="N5" i="15"/>
  <c r="L5" i="15"/>
  <c r="K5" i="15"/>
  <c r="AR4" i="15"/>
  <c r="AQ4" i="15"/>
  <c r="L4" i="15"/>
  <c r="AR3" i="15"/>
  <c r="AQ3" i="15"/>
  <c r="P3" i="15"/>
  <c r="N3" i="15"/>
  <c r="R3" i="15" s="1"/>
  <c r="L3" i="15"/>
  <c r="K3" i="15"/>
  <c r="BF2" i="15"/>
  <c r="BE2" i="15"/>
  <c r="BB2" i="15"/>
  <c r="BA2" i="15"/>
  <c r="V37" i="15" l="1"/>
  <c r="U46" i="15"/>
  <c r="V7" i="15"/>
  <c r="V13" i="15"/>
  <c r="R49" i="15"/>
  <c r="AE49" i="15" s="1"/>
  <c r="Q13" i="15"/>
  <c r="AC37" i="15"/>
  <c r="AC46" i="15"/>
  <c r="AC54" i="15"/>
  <c r="R46" i="15"/>
  <c r="AE46" i="15" s="1"/>
  <c r="V28" i="15"/>
  <c r="AC20" i="15"/>
  <c r="R13" i="15"/>
  <c r="S13" i="15" s="1"/>
  <c r="U5" i="15"/>
  <c r="V22" i="15"/>
  <c r="AA18" i="15"/>
  <c r="Q22" i="15"/>
  <c r="R22" i="15"/>
  <c r="AE22" i="15" s="1"/>
  <c r="U22" i="15"/>
  <c r="X30" i="15" s="1"/>
  <c r="AA22" i="15"/>
  <c r="AB22" i="15" s="1"/>
  <c r="AA46" i="15"/>
  <c r="U13" i="15"/>
  <c r="O28" i="15"/>
  <c r="AA40" i="15"/>
  <c r="Q40" i="15"/>
  <c r="AC43" i="15"/>
  <c r="R28" i="15"/>
  <c r="S28" i="15" s="1"/>
  <c r="AT3" i="11"/>
  <c r="BN3" i="11" s="1"/>
  <c r="Q52" i="15"/>
  <c r="V46" i="15"/>
  <c r="O18" i="15"/>
  <c r="O54" i="15"/>
  <c r="V18" i="15"/>
  <c r="U20" i="15"/>
  <c r="O37" i="15"/>
  <c r="Q54" i="15"/>
  <c r="R40" i="15"/>
  <c r="S40" i="15" s="1"/>
  <c r="AA5" i="15"/>
  <c r="O13" i="15"/>
  <c r="R18" i="15"/>
  <c r="S18" i="15" s="1"/>
  <c r="V20" i="15"/>
  <c r="Q37" i="15"/>
  <c r="R54" i="15"/>
  <c r="AE54" i="15" s="1"/>
  <c r="R20" i="15"/>
  <c r="S20" i="15" s="1"/>
  <c r="AA3" i="15"/>
  <c r="U18" i="15"/>
  <c r="R37" i="15"/>
  <c r="AE37" i="15" s="1"/>
  <c r="O43" i="15"/>
  <c r="AA49" i="15"/>
  <c r="U54" i="15"/>
  <c r="Q20" i="15"/>
  <c r="Q5" i="15"/>
  <c r="U37" i="15"/>
  <c r="Q43" i="15"/>
  <c r="V54" i="15"/>
  <c r="S49" i="15"/>
  <c r="AA54" i="15"/>
  <c r="Q3" i="15"/>
  <c r="V5" i="15"/>
  <c r="AA20" i="15"/>
  <c r="AA37" i="15"/>
  <c r="O46" i="15"/>
  <c r="Q49" i="15"/>
  <c r="Q46" i="15"/>
  <c r="O52" i="15"/>
  <c r="AE3" i="15"/>
  <c r="BJ3" i="15" s="1"/>
  <c r="BN3" i="15" s="1"/>
  <c r="S3" i="15"/>
  <c r="AC40" i="15"/>
  <c r="U43" i="15"/>
  <c r="AC49" i="15"/>
  <c r="U52" i="15"/>
  <c r="U3" i="15"/>
  <c r="O5" i="15"/>
  <c r="AC5" i="15"/>
  <c r="V43" i="15"/>
  <c r="V52" i="15"/>
  <c r="V3" i="15"/>
  <c r="AA7" i="15"/>
  <c r="AC18" i="15"/>
  <c r="AC22" i="15"/>
  <c r="O40" i="15"/>
  <c r="AA43" i="15"/>
  <c r="O49" i="15"/>
  <c r="AA52" i="15"/>
  <c r="R5" i="15"/>
  <c r="O7" i="15"/>
  <c r="AC7" i="15"/>
  <c r="Q18" i="15"/>
  <c r="AC52" i="15"/>
  <c r="Q7" i="15"/>
  <c r="R7" i="15"/>
  <c r="AC3" i="15"/>
  <c r="U7" i="15"/>
  <c r="V40" i="15"/>
  <c r="V49" i="15"/>
  <c r="U40" i="15"/>
  <c r="U49" i="15"/>
  <c r="R43" i="15"/>
  <c r="R52" i="15"/>
  <c r="O3" i="15"/>
  <c r="AD5" i="15" l="1"/>
  <c r="AA26" i="15"/>
  <c r="W22" i="15"/>
  <c r="AB18" i="15"/>
  <c r="W28" i="15"/>
  <c r="X14" i="15"/>
  <c r="AB20" i="15"/>
  <c r="W54" i="15"/>
  <c r="W20" i="15"/>
  <c r="W5" i="15"/>
  <c r="AD20" i="15"/>
  <c r="S37" i="15"/>
  <c r="AF37" i="15" s="1"/>
  <c r="AG37" i="15" s="1"/>
  <c r="W52" i="15"/>
  <c r="W13" i="15"/>
  <c r="S46" i="15"/>
  <c r="AF46" i="15" s="1"/>
  <c r="AG46" i="15" s="1"/>
  <c r="X15" i="15"/>
  <c r="X13" i="15"/>
  <c r="AB3" i="15"/>
  <c r="U26" i="15"/>
  <c r="AH22" i="15"/>
  <c r="AE18" i="15"/>
  <c r="AJ18" i="15" s="1"/>
  <c r="W37" i="15"/>
  <c r="X29" i="15"/>
  <c r="W49" i="15"/>
  <c r="S22" i="15"/>
  <c r="AF22" i="15" s="1"/>
  <c r="AG22" i="15" s="1"/>
  <c r="W40" i="15"/>
  <c r="AF49" i="15"/>
  <c r="AG49" i="15" s="1"/>
  <c r="X3" i="15"/>
  <c r="X5" i="15"/>
  <c r="W18" i="15"/>
  <c r="W46" i="15"/>
  <c r="W7" i="15"/>
  <c r="S54" i="15"/>
  <c r="AF54" i="15" s="1"/>
  <c r="AG54" i="15" s="1"/>
  <c r="AE20" i="15"/>
  <c r="X7" i="15"/>
  <c r="X18" i="15"/>
  <c r="X32" i="15"/>
  <c r="X24" i="15"/>
  <c r="W43" i="15"/>
  <c r="AE40" i="15"/>
  <c r="AF40" i="15" s="1"/>
  <c r="AG40" i="15" s="1"/>
  <c r="X28" i="15"/>
  <c r="X20" i="15"/>
  <c r="X22" i="15"/>
  <c r="S52" i="15"/>
  <c r="AE52" i="15"/>
  <c r="AD22" i="15"/>
  <c r="AD18" i="15"/>
  <c r="AC26" i="15"/>
  <c r="AD7" i="15"/>
  <c r="S5" i="15"/>
  <c r="AE5" i="15"/>
  <c r="AB7" i="15"/>
  <c r="S7" i="15"/>
  <c r="AE7" i="15"/>
  <c r="AD3" i="15"/>
  <c r="AC11" i="15"/>
  <c r="S43" i="15"/>
  <c r="AE43" i="15"/>
  <c r="W3" i="15"/>
  <c r="AF3" i="15"/>
  <c r="BK3" i="15" s="1"/>
  <c r="BO3" i="15" s="1"/>
  <c r="BA3" i="15"/>
  <c r="AB5" i="15"/>
  <c r="AB11" i="15" s="1"/>
  <c r="AA11" i="15"/>
  <c r="AB26" i="15"/>
  <c r="U11" i="15"/>
  <c r="Y30" i="15" l="1"/>
  <c r="Y14" i="15"/>
  <c r="W26" i="15"/>
  <c r="Y15" i="15"/>
  <c r="AH26" i="15"/>
  <c r="AF18" i="15"/>
  <c r="Y29" i="15"/>
  <c r="AH7" i="15"/>
  <c r="BJ7" i="15"/>
  <c r="BN7" i="15" s="1"/>
  <c r="BO7" i="15" s="1"/>
  <c r="AH3" i="15"/>
  <c r="AL3" i="15" s="1"/>
  <c r="BC3" i="15"/>
  <c r="AH5" i="15"/>
  <c r="C39" i="16" s="1"/>
  <c r="C49" i="16" s="1"/>
  <c r="BJ5" i="15"/>
  <c r="BN5" i="15" s="1"/>
  <c r="AI22" i="15"/>
  <c r="Y13" i="15"/>
  <c r="Y3" i="15"/>
  <c r="Y7" i="15"/>
  <c r="Y5" i="15"/>
  <c r="Y28" i="15"/>
  <c r="Y18" i="15"/>
  <c r="Y24" i="15"/>
  <c r="Y22" i="15"/>
  <c r="Y20" i="15"/>
  <c r="AH11" i="15"/>
  <c r="V32" i="15"/>
  <c r="V34" i="15" s="1"/>
  <c r="V30" i="15"/>
  <c r="W11" i="15"/>
  <c r="AH18" i="15"/>
  <c r="AL18" i="15" s="1"/>
  <c r="AF20" i="15"/>
  <c r="AH20" i="15"/>
  <c r="AL20" i="15" s="1"/>
  <c r="BB3" i="15"/>
  <c r="AG3" i="15"/>
  <c r="AD26" i="15"/>
  <c r="AI26" i="15" s="1"/>
  <c r="AK26" i="15" s="1"/>
  <c r="AF5" i="15"/>
  <c r="BK5" i="15" s="1"/>
  <c r="AJ20" i="15"/>
  <c r="AF43" i="15"/>
  <c r="AG43" i="15" s="1"/>
  <c r="AF52" i="15"/>
  <c r="AG52" i="15" s="1"/>
  <c r="AG26" i="15"/>
  <c r="AJ26" i="15" s="1"/>
  <c r="AG11" i="15"/>
  <c r="AJ11" i="15" s="1"/>
  <c r="AE11" i="15"/>
  <c r="AE26" i="15"/>
  <c r="AD11" i="15"/>
  <c r="AG18" i="15"/>
  <c r="AJ22" i="15"/>
  <c r="AF7" i="15"/>
  <c r="BK7" i="15" s="1"/>
  <c r="BO5" i="15" l="1"/>
  <c r="AL5" i="15"/>
  <c r="AN3" i="15" s="1"/>
  <c r="AN18" i="15"/>
  <c r="AI3" i="15"/>
  <c r="BF3" i="15" s="1"/>
  <c r="BD3" i="15"/>
  <c r="C37" i="16"/>
  <c r="C47" i="16" s="1"/>
  <c r="C51" i="16" s="1"/>
  <c r="C53" i="16" s="1"/>
  <c r="BE3" i="15"/>
  <c r="BT9" i="15"/>
  <c r="BN8" i="15"/>
  <c r="BN9" i="15" s="1"/>
  <c r="AI18" i="15"/>
  <c r="AM18" i="15" s="1"/>
  <c r="AF26" i="15"/>
  <c r="AI11" i="15"/>
  <c r="AK11" i="15" s="1"/>
  <c r="V33" i="15"/>
  <c r="V35" i="15"/>
  <c r="AG20" i="15"/>
  <c r="AI20" i="15"/>
  <c r="AM20" i="15" s="1"/>
  <c r="AG7" i="15"/>
  <c r="AI7" i="15"/>
  <c r="AF11" i="15"/>
  <c r="W30" i="15"/>
  <c r="W33" i="15" s="1"/>
  <c r="W32" i="15"/>
  <c r="Y32" i="15" s="1"/>
  <c r="AG5" i="15"/>
  <c r="AI5" i="15"/>
  <c r="BO8" i="15" l="1"/>
  <c r="C38" i="16"/>
  <c r="C48" i="16" s="1"/>
  <c r="AM3" i="15"/>
  <c r="C40" i="16"/>
  <c r="C50" i="16" s="1"/>
  <c r="AM5" i="15"/>
  <c r="BG3" i="15"/>
  <c r="AO18" i="15"/>
  <c r="C56" i="16"/>
  <c r="AO3" i="15" l="1"/>
  <c r="BH3" i="15" s="1"/>
  <c r="C52" i="16"/>
  <c r="C54" i="16" s="1"/>
  <c r="C57" i="16" s="1"/>
  <c r="C60" i="16" s="1"/>
  <c r="C59" i="16"/>
  <c r="C66" i="16" s="1"/>
  <c r="G2" i="11"/>
  <c r="Y28" i="3"/>
  <c r="BF18" i="3" s="1"/>
  <c r="AQ18" i="2"/>
  <c r="AF7" i="2"/>
  <c r="AI7" i="2" s="1"/>
  <c r="AI5" i="5"/>
  <c r="Y14" i="5"/>
  <c r="X15" i="5"/>
  <c r="X14" i="5"/>
  <c r="X13" i="5"/>
  <c r="X5" i="5"/>
  <c r="Y14" i="2"/>
  <c r="AI5" i="2"/>
  <c r="BF3" i="1"/>
  <c r="AI5" i="6"/>
  <c r="BH2" i="8"/>
  <c r="BG2" i="8"/>
  <c r="BA2" i="8"/>
  <c r="BB2" i="8"/>
  <c r="BE2" i="8"/>
  <c r="BF2" i="8"/>
  <c r="BH18" i="7"/>
  <c r="BG18" i="7"/>
  <c r="BB18" i="7"/>
  <c r="BA18" i="7"/>
  <c r="BH3" i="7"/>
  <c r="BG3" i="7"/>
  <c r="BB3" i="7"/>
  <c r="BA3" i="7"/>
  <c r="BH2" i="7"/>
  <c r="BG2" i="7"/>
  <c r="BB2" i="7"/>
  <c r="BA2" i="7"/>
  <c r="BH18" i="6"/>
  <c r="BG18" i="6"/>
  <c r="BF18" i="6"/>
  <c r="BE18" i="6"/>
  <c r="BB18" i="6"/>
  <c r="BA18" i="6"/>
  <c r="BG3" i="6"/>
  <c r="BF3" i="6"/>
  <c r="BE3" i="6"/>
  <c r="BB3" i="6"/>
  <c r="BA3" i="6"/>
  <c r="BH2" i="6"/>
  <c r="BG2" i="6"/>
  <c r="BF2" i="6"/>
  <c r="BE2" i="6"/>
  <c r="BB2" i="6"/>
  <c r="BA2" i="6"/>
  <c r="BH18" i="5"/>
  <c r="BG18" i="5"/>
  <c r="BF18" i="5"/>
  <c r="BE18" i="5"/>
  <c r="BB18" i="5"/>
  <c r="BA18" i="5"/>
  <c r="BG3" i="5"/>
  <c r="BF3" i="5"/>
  <c r="BE3" i="5"/>
  <c r="BB3" i="5"/>
  <c r="BA3" i="5"/>
  <c r="BH2" i="5"/>
  <c r="BG2" i="5"/>
  <c r="BF2" i="5"/>
  <c r="BE2" i="5"/>
  <c r="BB2" i="5"/>
  <c r="BA2" i="5"/>
  <c r="BH18" i="4"/>
  <c r="BG18" i="4"/>
  <c r="BB18" i="4"/>
  <c r="BA18" i="4"/>
  <c r="BH3" i="4"/>
  <c r="BG3" i="4"/>
  <c r="BB3" i="4"/>
  <c r="BA3" i="4"/>
  <c r="BH2" i="4"/>
  <c r="BG2" i="4"/>
  <c r="BB2" i="4"/>
  <c r="BA2" i="4"/>
  <c r="BH18" i="2"/>
  <c r="BG18" i="2"/>
  <c r="BF18" i="2"/>
  <c r="BE18" i="2"/>
  <c r="BB18" i="2"/>
  <c r="BA18" i="2"/>
  <c r="BF3" i="2"/>
  <c r="BE3" i="2"/>
  <c r="BB3" i="2"/>
  <c r="BA3" i="2"/>
  <c r="BH2" i="2"/>
  <c r="BG2" i="2"/>
  <c r="BF2" i="2"/>
  <c r="BE2" i="2"/>
  <c r="BB2" i="2"/>
  <c r="BA2" i="2"/>
  <c r="BE18" i="3"/>
  <c r="BB18" i="3"/>
  <c r="BA18" i="3"/>
  <c r="BF3" i="3"/>
  <c r="BE3" i="3"/>
  <c r="BB3" i="3"/>
  <c r="BA3" i="3"/>
  <c r="BH2" i="3"/>
  <c r="BG2" i="3"/>
  <c r="BF2" i="3"/>
  <c r="BE2" i="3"/>
  <c r="BB2" i="3"/>
  <c r="BA2" i="3"/>
  <c r="V31" i="4"/>
  <c r="W31" i="4"/>
  <c r="Y3" i="13"/>
  <c r="Y4" i="13"/>
  <c r="Y5" i="13"/>
  <c r="Y6" i="13"/>
  <c r="Y7" i="13"/>
  <c r="Y11" i="13"/>
  <c r="Y10" i="13"/>
  <c r="Y8" i="13"/>
  <c r="Y9" i="13"/>
  <c r="Y2" i="13"/>
  <c r="X11" i="13"/>
  <c r="X3" i="13"/>
  <c r="X4" i="13"/>
  <c r="X5" i="13"/>
  <c r="X6" i="13"/>
  <c r="X7" i="13"/>
  <c r="X10" i="13"/>
  <c r="X8" i="13"/>
  <c r="X9" i="13"/>
  <c r="X2" i="13"/>
  <c r="C69" i="16" l="1"/>
  <c r="C72" i="16"/>
  <c r="C67" i="16"/>
  <c r="C70" i="16" s="1"/>
  <c r="V3" i="13"/>
  <c r="Q3" i="13" s="1"/>
  <c r="V4" i="13"/>
  <c r="Q4" i="13" s="1"/>
  <c r="V5" i="13"/>
  <c r="Q5" i="13" s="1"/>
  <c r="V6" i="13"/>
  <c r="Q6" i="13" s="1"/>
  <c r="V7" i="13"/>
  <c r="Q7" i="13" s="1"/>
  <c r="V11" i="13"/>
  <c r="Q11" i="13" s="1"/>
  <c r="V10" i="13"/>
  <c r="Q10" i="13" s="1"/>
  <c r="V8" i="13"/>
  <c r="Q8" i="13" s="1"/>
  <c r="V9" i="13"/>
  <c r="Q9" i="13" s="1"/>
  <c r="V2" i="13"/>
  <c r="Q2" i="13" s="1"/>
  <c r="M4" i="13"/>
  <c r="T4" i="13" s="1"/>
  <c r="L2" i="13"/>
  <c r="L3" i="13"/>
  <c r="L4" i="13"/>
  <c r="L5" i="13"/>
  <c r="L6" i="13"/>
  <c r="L7" i="13"/>
  <c r="L11" i="13"/>
  <c r="L10" i="13"/>
  <c r="L8" i="13"/>
  <c r="L9" i="13"/>
  <c r="M3" i="13"/>
  <c r="T3" i="13" s="1"/>
  <c r="M5" i="13"/>
  <c r="T5" i="13" s="1"/>
  <c r="M6" i="13"/>
  <c r="T6" i="13" s="1"/>
  <c r="M7" i="13"/>
  <c r="T7" i="13" s="1"/>
  <c r="M11" i="13"/>
  <c r="T11" i="13" s="1"/>
  <c r="M10" i="13"/>
  <c r="T10" i="13" s="1"/>
  <c r="M8" i="13"/>
  <c r="T8" i="13" s="1"/>
  <c r="M9" i="13"/>
  <c r="T9" i="13" s="1"/>
  <c r="M2" i="13"/>
  <c r="T2" i="13" s="1"/>
  <c r="C73" i="16" l="1"/>
  <c r="W2" i="13"/>
  <c r="W9" i="13"/>
  <c r="W8" i="13"/>
  <c r="W10" i="13"/>
  <c r="W4" i="13"/>
  <c r="W3" i="13"/>
  <c r="W11" i="13"/>
  <c r="W6" i="13"/>
  <c r="W7" i="13"/>
  <c r="W5" i="13"/>
  <c r="S8" i="13"/>
  <c r="R8" i="13" s="1"/>
  <c r="S11" i="13"/>
  <c r="R11" i="13" s="1"/>
  <c r="S10" i="13"/>
  <c r="R10" i="13" s="1"/>
  <c r="S5" i="13"/>
  <c r="R5" i="13" s="1"/>
  <c r="S4" i="13"/>
  <c r="R4" i="13" s="1"/>
  <c r="S3" i="13"/>
  <c r="R3" i="13" s="1"/>
  <c r="S7" i="13"/>
  <c r="R7" i="13" s="1"/>
  <c r="S6" i="13"/>
  <c r="R6" i="13" s="1"/>
  <c r="S2" i="13"/>
  <c r="R2" i="13" s="1"/>
  <c r="S9" i="13"/>
  <c r="R9" i="13" s="1"/>
  <c r="E8" i="14"/>
  <c r="E12" i="14" s="1"/>
  <c r="E14" i="14" s="1"/>
  <c r="D8" i="14"/>
  <c r="E7" i="14"/>
  <c r="E11" i="14" s="1"/>
  <c r="E13" i="14" s="1"/>
  <c r="D7" i="14"/>
  <c r="V5" i="11" l="1"/>
  <c r="V11" i="11"/>
  <c r="U11" i="11"/>
  <c r="T11" i="11"/>
  <c r="S11" i="11"/>
  <c r="I2" i="13"/>
  <c r="J2" i="13" s="1"/>
  <c r="K2" i="13"/>
  <c r="AK4" i="11" l="1"/>
  <c r="AK5" i="11"/>
  <c r="AK6" i="11"/>
  <c r="AK7" i="11"/>
  <c r="AK8" i="11"/>
  <c r="AK9" i="11"/>
  <c r="AK10" i="11"/>
  <c r="AK12" i="11"/>
  <c r="AK13" i="11"/>
  <c r="AK14" i="11"/>
  <c r="AK15" i="11"/>
  <c r="AK16" i="11"/>
  <c r="AK17" i="11"/>
  <c r="AK18" i="11"/>
  <c r="AK19" i="11"/>
  <c r="AK3" i="11"/>
  <c r="AM9" i="11" l="1"/>
  <c r="AN9" i="11" s="1"/>
  <c r="AM18" i="11"/>
  <c r="AN18" i="11" s="1"/>
  <c r="V3" i="11"/>
  <c r="V4" i="11"/>
  <c r="V6" i="11"/>
  <c r="V7" i="11"/>
  <c r="V8" i="11"/>
  <c r="V9" i="11"/>
  <c r="V10" i="11"/>
  <c r="V12" i="11"/>
  <c r="V13" i="11"/>
  <c r="V14" i="11"/>
  <c r="V15" i="11"/>
  <c r="V16" i="11"/>
  <c r="V17" i="11"/>
  <c r="V18" i="11"/>
  <c r="V19" i="11"/>
  <c r="U4" i="11"/>
  <c r="U5" i="11"/>
  <c r="U6" i="11"/>
  <c r="AM6" i="11" s="1"/>
  <c r="U7" i="11"/>
  <c r="U8" i="11"/>
  <c r="AM8" i="11" s="1"/>
  <c r="AN8" i="11" s="1"/>
  <c r="U9" i="11"/>
  <c r="U10" i="11"/>
  <c r="AM10" i="11" s="1"/>
  <c r="AN10" i="11" s="1"/>
  <c r="U12" i="11"/>
  <c r="U13" i="11"/>
  <c r="AM13" i="11" s="1"/>
  <c r="AN13" i="11" s="1"/>
  <c r="U14" i="11"/>
  <c r="U15" i="11"/>
  <c r="AM15" i="11" s="1"/>
  <c r="U16" i="11"/>
  <c r="AM16" i="11" s="1"/>
  <c r="U17" i="11"/>
  <c r="AM17" i="11" s="1"/>
  <c r="U18" i="11"/>
  <c r="U19" i="11"/>
  <c r="AM19" i="11" s="1"/>
  <c r="AN19" i="11" s="1"/>
  <c r="U3" i="11"/>
  <c r="I5" i="13"/>
  <c r="J5" i="13" s="1"/>
  <c r="AM5" i="11" l="1"/>
  <c r="AN5" i="11" s="1"/>
  <c r="AN6" i="11"/>
  <c r="AM4" i="11"/>
  <c r="AN17" i="11"/>
  <c r="AN15" i="11"/>
  <c r="AM12" i="11"/>
  <c r="AN12" i="11" s="1"/>
  <c r="AN16" i="11"/>
  <c r="AM7" i="11"/>
  <c r="AN7" i="11" s="1"/>
  <c r="AM14" i="11"/>
  <c r="AN14" i="11" s="1"/>
  <c r="K6" i="13"/>
  <c r="K11" i="13"/>
  <c r="K7" i="13"/>
  <c r="K4" i="13"/>
  <c r="K3" i="13"/>
  <c r="K10" i="13"/>
  <c r="K8" i="13"/>
  <c r="K9" i="13"/>
  <c r="K5" i="13"/>
  <c r="I6" i="13"/>
  <c r="J6" i="13" s="1"/>
  <c r="I11" i="13"/>
  <c r="J11" i="13" s="1"/>
  <c r="I7" i="13"/>
  <c r="J7" i="13" s="1"/>
  <c r="I4" i="13"/>
  <c r="J4" i="13" s="1"/>
  <c r="I3" i="13"/>
  <c r="J3" i="13" s="1"/>
  <c r="I10" i="13"/>
  <c r="J10" i="13" s="1"/>
  <c r="I8" i="13"/>
  <c r="J8" i="13" s="1"/>
  <c r="I9" i="13"/>
  <c r="J9" i="13" s="1"/>
  <c r="AT6" i="11" l="1"/>
  <c r="BN6" i="11" s="1"/>
  <c r="AT5" i="11"/>
  <c r="BN5" i="11" s="1"/>
  <c r="AN4" i="11"/>
  <c r="AT4" i="11" s="1"/>
  <c r="BN4" i="11" s="1"/>
  <c r="AT17" i="11"/>
  <c r="BN17" i="11" s="1"/>
  <c r="AT12" i="11"/>
  <c r="BN12" i="11" s="1"/>
  <c r="AT15" i="11"/>
  <c r="BN15" i="11" s="1"/>
  <c r="AT7" i="11"/>
  <c r="BN7" i="11" s="1"/>
  <c r="AT8" i="11" l="1"/>
  <c r="BN8" i="11" s="1"/>
  <c r="AT13" i="11"/>
  <c r="BN13" i="11" s="1"/>
  <c r="AT16" i="11"/>
  <c r="BN16" i="11" s="1"/>
  <c r="AT14" i="11"/>
  <c r="BN14" i="11" s="1"/>
  <c r="P32" i="8"/>
  <c r="N32" i="8"/>
  <c r="P28" i="8"/>
  <c r="N28" i="8"/>
  <c r="R28" i="8" s="1"/>
  <c r="P24" i="8"/>
  <c r="N24" i="8"/>
  <c r="R24" i="8" s="1"/>
  <c r="P22" i="8"/>
  <c r="N22" i="8"/>
  <c r="P20" i="8"/>
  <c r="N20" i="8"/>
  <c r="R20" i="8" s="1"/>
  <c r="P18" i="8"/>
  <c r="N18" i="8"/>
  <c r="P13" i="8"/>
  <c r="N13" i="8"/>
  <c r="P7" i="8"/>
  <c r="N7" i="8"/>
  <c r="R7" i="8" s="1"/>
  <c r="P5" i="8"/>
  <c r="N5" i="8"/>
  <c r="R5" i="8" s="1"/>
  <c r="P3" i="8"/>
  <c r="N3" i="8"/>
  <c r="N3" i="7"/>
  <c r="R3" i="7" s="1"/>
  <c r="P3" i="7"/>
  <c r="N5" i="7"/>
  <c r="P5" i="7"/>
  <c r="R5" i="7"/>
  <c r="N7" i="7"/>
  <c r="P7" i="7"/>
  <c r="R7" i="7"/>
  <c r="N13" i="7"/>
  <c r="P13" i="7"/>
  <c r="R13" i="7"/>
  <c r="N18" i="7"/>
  <c r="R18" i="7" s="1"/>
  <c r="P18" i="7"/>
  <c r="N20" i="7"/>
  <c r="P20" i="7"/>
  <c r="R20" i="7"/>
  <c r="N22" i="7"/>
  <c r="P22" i="7"/>
  <c r="R22" i="7"/>
  <c r="N24" i="7"/>
  <c r="P24" i="7"/>
  <c r="R24" i="7"/>
  <c r="N28" i="7"/>
  <c r="P28" i="7"/>
  <c r="N32" i="7"/>
  <c r="P32" i="7"/>
  <c r="R32" i="7"/>
  <c r="P54" i="6"/>
  <c r="N54" i="6"/>
  <c r="P52" i="6"/>
  <c r="N52" i="6"/>
  <c r="P49" i="6"/>
  <c r="R49" i="6" s="1"/>
  <c r="N49" i="6"/>
  <c r="P46" i="6"/>
  <c r="N46" i="6"/>
  <c r="P43" i="6"/>
  <c r="R43" i="6" s="1"/>
  <c r="N43" i="6"/>
  <c r="P40" i="6"/>
  <c r="N40" i="6"/>
  <c r="P37" i="6"/>
  <c r="N37" i="6"/>
  <c r="P28" i="6"/>
  <c r="N28" i="6"/>
  <c r="P22" i="6"/>
  <c r="R22" i="6" s="1"/>
  <c r="N22" i="6"/>
  <c r="P20" i="6"/>
  <c r="N20" i="6"/>
  <c r="P18" i="6"/>
  <c r="R18" i="6" s="1"/>
  <c r="N18" i="6"/>
  <c r="P13" i="6"/>
  <c r="N13" i="6"/>
  <c r="R13" i="6" s="1"/>
  <c r="P7" i="6"/>
  <c r="N7" i="6"/>
  <c r="P5" i="6"/>
  <c r="N5" i="6"/>
  <c r="P3" i="6"/>
  <c r="R3" i="6" s="1"/>
  <c r="N3" i="6"/>
  <c r="P54" i="5"/>
  <c r="N54" i="5"/>
  <c r="R54" i="5" s="1"/>
  <c r="P52" i="5"/>
  <c r="N52" i="5"/>
  <c r="P49" i="5"/>
  <c r="N49" i="5"/>
  <c r="R49" i="5" s="1"/>
  <c r="P46" i="5"/>
  <c r="N46" i="5"/>
  <c r="P43" i="5"/>
  <c r="N43" i="5"/>
  <c r="R43" i="5" s="1"/>
  <c r="P40" i="5"/>
  <c r="N40" i="5"/>
  <c r="R40" i="5" s="1"/>
  <c r="P37" i="5"/>
  <c r="N37" i="5"/>
  <c r="R37" i="5" s="1"/>
  <c r="P28" i="5"/>
  <c r="N28" i="5"/>
  <c r="P22" i="5"/>
  <c r="N22" i="5"/>
  <c r="R22" i="5" s="1"/>
  <c r="P20" i="5"/>
  <c r="N20" i="5"/>
  <c r="P18" i="5"/>
  <c r="N18" i="5"/>
  <c r="R18" i="5" s="1"/>
  <c r="P13" i="5"/>
  <c r="N13" i="5"/>
  <c r="R13" i="5" s="1"/>
  <c r="P7" i="5"/>
  <c r="N7" i="5"/>
  <c r="R7" i="5" s="1"/>
  <c r="P5" i="5"/>
  <c r="N5" i="5"/>
  <c r="P3" i="5"/>
  <c r="N3" i="5"/>
  <c r="R3" i="5" s="1"/>
  <c r="P54" i="4"/>
  <c r="N54" i="4"/>
  <c r="R54" i="4" s="1"/>
  <c r="P52" i="4"/>
  <c r="N52" i="4"/>
  <c r="P49" i="4"/>
  <c r="N49" i="4"/>
  <c r="R49" i="4" s="1"/>
  <c r="P46" i="4"/>
  <c r="N46" i="4"/>
  <c r="P43" i="4"/>
  <c r="N43" i="4"/>
  <c r="P40" i="4"/>
  <c r="N40" i="4"/>
  <c r="R40" i="4" s="1"/>
  <c r="P37" i="4"/>
  <c r="N37" i="4"/>
  <c r="R37" i="4" s="1"/>
  <c r="P28" i="4"/>
  <c r="N28" i="4"/>
  <c r="R28" i="4" s="1"/>
  <c r="P22" i="4"/>
  <c r="N22" i="4"/>
  <c r="R22" i="4" s="1"/>
  <c r="P20" i="4"/>
  <c r="N20" i="4"/>
  <c r="P18" i="4"/>
  <c r="N18" i="4"/>
  <c r="P13" i="4"/>
  <c r="N13" i="4"/>
  <c r="P7" i="4"/>
  <c r="N7" i="4"/>
  <c r="R7" i="4" s="1"/>
  <c r="P5" i="4"/>
  <c r="N5" i="4"/>
  <c r="R5" i="4" s="1"/>
  <c r="P3" i="4"/>
  <c r="N3" i="4"/>
  <c r="P54" i="2"/>
  <c r="N54" i="2"/>
  <c r="P52" i="2"/>
  <c r="N52" i="2"/>
  <c r="R52" i="2" s="1"/>
  <c r="P49" i="2"/>
  <c r="N49" i="2"/>
  <c r="P46" i="2"/>
  <c r="N46" i="2"/>
  <c r="P43" i="2"/>
  <c r="N43" i="2"/>
  <c r="P40" i="2"/>
  <c r="N40" i="2"/>
  <c r="R40" i="2" s="1"/>
  <c r="P37" i="2"/>
  <c r="N37" i="2"/>
  <c r="R37" i="2" s="1"/>
  <c r="P28" i="2"/>
  <c r="N28" i="2"/>
  <c r="P22" i="2"/>
  <c r="N22" i="2"/>
  <c r="R22" i="2" s="1"/>
  <c r="P20" i="2"/>
  <c r="N20" i="2"/>
  <c r="R20" i="2" s="1"/>
  <c r="R18" i="2"/>
  <c r="P18" i="2"/>
  <c r="N18" i="2"/>
  <c r="P13" i="2"/>
  <c r="N13" i="2"/>
  <c r="R13" i="2" s="1"/>
  <c r="P7" i="2"/>
  <c r="N7" i="2"/>
  <c r="P5" i="2"/>
  <c r="N5" i="2"/>
  <c r="R3" i="2"/>
  <c r="P3" i="2"/>
  <c r="N3" i="2"/>
  <c r="P54" i="3"/>
  <c r="N54" i="3"/>
  <c r="R54" i="3" s="1"/>
  <c r="P52" i="3"/>
  <c r="N52" i="3"/>
  <c r="R52" i="3" s="1"/>
  <c r="P49" i="3"/>
  <c r="N49" i="3"/>
  <c r="R49" i="3" s="1"/>
  <c r="P46" i="3"/>
  <c r="N46" i="3"/>
  <c r="P43" i="3"/>
  <c r="N43" i="3"/>
  <c r="P40" i="3"/>
  <c r="N40" i="3"/>
  <c r="R40" i="3" s="1"/>
  <c r="P37" i="3"/>
  <c r="N37" i="3"/>
  <c r="P28" i="3"/>
  <c r="N28" i="3"/>
  <c r="P22" i="3"/>
  <c r="N22" i="3"/>
  <c r="R22" i="3" s="1"/>
  <c r="P20" i="3"/>
  <c r="N20" i="3"/>
  <c r="P18" i="3"/>
  <c r="N18" i="3"/>
  <c r="P13" i="3"/>
  <c r="N13" i="3"/>
  <c r="P7" i="3"/>
  <c r="N7" i="3"/>
  <c r="R7" i="3" s="1"/>
  <c r="P5" i="3"/>
  <c r="N5" i="3"/>
  <c r="R5" i="3" s="1"/>
  <c r="P3" i="3"/>
  <c r="N3" i="3"/>
  <c r="R3" i="3" s="1"/>
  <c r="R13" i="8" l="1"/>
  <c r="R32" i="8"/>
  <c r="V32" i="8"/>
  <c r="R28" i="7"/>
  <c r="R5" i="6"/>
  <c r="R28" i="6"/>
  <c r="R7" i="6"/>
  <c r="R37" i="6"/>
  <c r="R54" i="6"/>
  <c r="R5" i="5"/>
  <c r="R28" i="5"/>
  <c r="R52" i="5"/>
  <c r="R20" i="5"/>
  <c r="R46" i="5"/>
  <c r="U28" i="4"/>
  <c r="R3" i="4"/>
  <c r="R18" i="4"/>
  <c r="R43" i="4"/>
  <c r="R7" i="2"/>
  <c r="R28" i="2"/>
  <c r="R43" i="2"/>
  <c r="R54" i="2"/>
  <c r="R46" i="2"/>
  <c r="R5" i="2"/>
  <c r="R49" i="2"/>
  <c r="R43" i="3"/>
  <c r="R28" i="3"/>
  <c r="R37" i="3"/>
  <c r="R18" i="3"/>
  <c r="R18" i="8"/>
  <c r="R22" i="8"/>
  <c r="R3" i="8"/>
  <c r="R20" i="6"/>
  <c r="R40" i="6"/>
  <c r="R46" i="6"/>
  <c r="R52" i="6"/>
  <c r="R20" i="4"/>
  <c r="R46" i="4"/>
  <c r="R52" i="4"/>
  <c r="R13" i="4"/>
  <c r="R20" i="3"/>
  <c r="R46" i="3"/>
  <c r="R13" i="3"/>
  <c r="X3" i="11" l="1"/>
  <c r="S4" i="11" l="1"/>
  <c r="S5" i="11"/>
  <c r="S6" i="11"/>
  <c r="S7" i="11"/>
  <c r="S8" i="11"/>
  <c r="S9" i="11"/>
  <c r="S10" i="11"/>
  <c r="S12" i="11"/>
  <c r="S13" i="11"/>
  <c r="S14" i="11"/>
  <c r="S15" i="11"/>
  <c r="S16" i="11"/>
  <c r="S17" i="11"/>
  <c r="S18" i="11"/>
  <c r="S19" i="11"/>
  <c r="AJ3" i="11" l="1"/>
  <c r="T9" i="11" l="1"/>
  <c r="T6" i="11" l="1"/>
  <c r="Q6" i="11"/>
  <c r="Q10" i="11"/>
  <c r="T10" i="11"/>
  <c r="Q9" i="11"/>
  <c r="T16" i="11"/>
  <c r="Q12" i="11"/>
  <c r="T12" i="11"/>
  <c r="A2" i="11"/>
  <c r="B2" i="11"/>
  <c r="C2" i="11"/>
  <c r="D2" i="11"/>
  <c r="E2" i="11"/>
  <c r="F2" i="11"/>
  <c r="T3" i="11"/>
  <c r="BA2" i="1"/>
  <c r="BH2" i="1"/>
  <c r="N2" i="11" s="1"/>
  <c r="BG2" i="1"/>
  <c r="M2" i="11" s="1"/>
  <c r="BF2" i="1"/>
  <c r="L2" i="11" s="1"/>
  <c r="BE2" i="1"/>
  <c r="K2" i="11" s="1"/>
  <c r="BB2" i="1"/>
  <c r="H2" i="11" s="1"/>
  <c r="AA3" i="11" l="1"/>
  <c r="R12" i="11"/>
  <c r="AA12" i="11" s="1"/>
  <c r="Q16" i="11"/>
  <c r="Q18" i="11"/>
  <c r="T17" i="11"/>
  <c r="Q4" i="11"/>
  <c r="Q5" i="11"/>
  <c r="Q7" i="11"/>
  <c r="Q8" i="11"/>
  <c r="T14" i="11"/>
  <c r="T4" i="11"/>
  <c r="T5" i="11"/>
  <c r="T7" i="11"/>
  <c r="T8" i="11"/>
  <c r="T18" i="11"/>
  <c r="Q15" i="11"/>
  <c r="Z15" i="11" s="1"/>
  <c r="Q13" i="11"/>
  <c r="T15" i="11"/>
  <c r="T13" i="11"/>
  <c r="Q17" i="11"/>
  <c r="R6" i="11"/>
  <c r="AA6" i="11" s="1"/>
  <c r="Q14" i="11"/>
  <c r="Q19" i="11"/>
  <c r="T19" i="11"/>
  <c r="R9" i="11"/>
  <c r="AA9" i="11" s="1"/>
  <c r="R10" i="11"/>
  <c r="AA10" i="11" s="1"/>
  <c r="R5" i="11" l="1"/>
  <c r="AA5" i="11" s="1"/>
  <c r="R4" i="11"/>
  <c r="AA4" i="11" s="1"/>
  <c r="R18" i="11"/>
  <c r="AA18" i="11" s="1"/>
  <c r="R16" i="11"/>
  <c r="AA16" i="11" s="1"/>
  <c r="R7" i="11"/>
  <c r="AA7" i="11" s="1"/>
  <c r="R8" i="11"/>
  <c r="AA8" i="11" s="1"/>
  <c r="R15" i="11"/>
  <c r="AA15" i="11" s="1"/>
  <c r="R13" i="11"/>
  <c r="AA13" i="11" s="1"/>
  <c r="R19" i="11"/>
  <c r="AA19" i="11" s="1"/>
  <c r="R17" i="11"/>
  <c r="AA17" i="11" s="1"/>
  <c r="R14" i="11"/>
  <c r="AA14" i="11" s="1"/>
  <c r="AR18" i="6" l="1"/>
  <c r="AQ18" i="6"/>
  <c r="AQ3" i="6"/>
  <c r="AE55" i="8"/>
  <c r="AF55" i="8" s="1"/>
  <c r="AG55" i="8" s="1"/>
  <c r="AC55" i="8"/>
  <c r="AA55" i="8"/>
  <c r="AE53" i="8"/>
  <c r="AF53" i="8" s="1"/>
  <c r="AG53" i="8" s="1"/>
  <c r="AC53" i="8"/>
  <c r="AA53" i="8"/>
  <c r="AE50" i="8"/>
  <c r="AF50" i="8" s="1"/>
  <c r="AG50" i="8" s="1"/>
  <c r="AC50" i="8"/>
  <c r="AA50" i="8"/>
  <c r="AE47" i="8"/>
  <c r="AF47" i="8" s="1"/>
  <c r="AG47" i="8" s="1"/>
  <c r="AC47" i="8"/>
  <c r="AA47" i="8"/>
  <c r="AE44" i="8"/>
  <c r="AF44" i="8" s="1"/>
  <c r="AG44" i="8" s="1"/>
  <c r="AC44" i="8"/>
  <c r="AA44" i="8"/>
  <c r="AE41" i="8"/>
  <c r="AF41" i="8" s="1"/>
  <c r="AG41" i="8" s="1"/>
  <c r="AC41" i="8"/>
  <c r="AA41" i="8"/>
  <c r="AE38" i="8"/>
  <c r="AF38" i="8" s="1"/>
  <c r="AG38" i="8" s="1"/>
  <c r="AC38" i="8"/>
  <c r="AA38" i="8"/>
  <c r="AQ3" i="8"/>
  <c r="AR3" i="8"/>
  <c r="AQ4" i="8"/>
  <c r="AR4" i="8"/>
  <c r="AQ18" i="8"/>
  <c r="AR18" i="8"/>
  <c r="AQ19" i="8"/>
  <c r="AR19" i="8"/>
  <c r="AE55" i="7"/>
  <c r="AF55" i="7" s="1"/>
  <c r="AG55" i="7" s="1"/>
  <c r="AC55" i="7"/>
  <c r="AA55" i="7"/>
  <c r="AE53" i="7"/>
  <c r="AF53" i="7" s="1"/>
  <c r="AG53" i="7" s="1"/>
  <c r="AC53" i="7"/>
  <c r="AA53" i="7"/>
  <c r="AE50" i="7"/>
  <c r="AF50" i="7" s="1"/>
  <c r="AG50" i="7" s="1"/>
  <c r="AC50" i="7"/>
  <c r="AA50" i="7"/>
  <c r="AE47" i="7"/>
  <c r="AF47" i="7" s="1"/>
  <c r="AG47" i="7" s="1"/>
  <c r="AC47" i="7"/>
  <c r="AA47" i="7"/>
  <c r="AE44" i="7"/>
  <c r="AF44" i="7" s="1"/>
  <c r="AG44" i="7" s="1"/>
  <c r="AC44" i="7"/>
  <c r="AA44" i="7"/>
  <c r="AE41" i="7"/>
  <c r="AF41" i="7" s="1"/>
  <c r="AG41" i="7" s="1"/>
  <c r="AC41" i="7"/>
  <c r="AA41" i="7"/>
  <c r="AE38" i="7"/>
  <c r="AF38" i="7" s="1"/>
  <c r="AG38" i="7" s="1"/>
  <c r="AC38" i="7"/>
  <c r="AA38" i="7"/>
  <c r="AE54" i="6"/>
  <c r="AC54" i="6"/>
  <c r="AA54" i="6"/>
  <c r="AE52" i="6"/>
  <c r="AC52" i="6"/>
  <c r="AA52" i="6"/>
  <c r="AE49" i="6"/>
  <c r="AC49" i="6"/>
  <c r="AA49" i="6"/>
  <c r="AE46" i="6"/>
  <c r="AC46" i="6"/>
  <c r="AA46" i="6"/>
  <c r="AE43" i="6"/>
  <c r="AC43" i="6"/>
  <c r="AA43" i="6"/>
  <c r="AE40" i="6"/>
  <c r="AC40" i="6"/>
  <c r="AA40" i="6"/>
  <c r="AE37" i="6"/>
  <c r="AC37" i="6"/>
  <c r="AA37" i="6"/>
  <c r="AR3" i="6"/>
  <c r="AQ4" i="6"/>
  <c r="AR4" i="6"/>
  <c r="AQ19" i="6"/>
  <c r="AR19" i="6"/>
  <c r="AE54" i="5"/>
  <c r="AC54" i="5"/>
  <c r="AA54" i="5"/>
  <c r="AE52" i="5"/>
  <c r="AC52" i="5"/>
  <c r="AA52" i="5"/>
  <c r="AE49" i="5"/>
  <c r="AC49" i="5"/>
  <c r="AA49" i="5"/>
  <c r="AE46" i="5"/>
  <c r="AC46" i="5"/>
  <c r="AA46" i="5"/>
  <c r="AE43" i="5"/>
  <c r="AC43" i="5"/>
  <c r="AA43" i="5"/>
  <c r="AE40" i="5"/>
  <c r="AC40" i="5"/>
  <c r="AA40" i="5"/>
  <c r="AE37" i="5"/>
  <c r="AC37" i="5"/>
  <c r="AA37" i="5"/>
  <c r="AE54" i="4"/>
  <c r="AC54" i="4"/>
  <c r="AA54" i="4"/>
  <c r="AE52" i="4"/>
  <c r="AC52" i="4"/>
  <c r="AA52" i="4"/>
  <c r="AE49" i="4"/>
  <c r="AC49" i="4"/>
  <c r="AA49" i="4"/>
  <c r="AE46" i="4"/>
  <c r="AC46" i="4"/>
  <c r="AA46" i="4"/>
  <c r="AE43" i="4"/>
  <c r="AC43" i="4"/>
  <c r="AA43" i="4"/>
  <c r="AE40" i="4"/>
  <c r="AC40" i="4"/>
  <c r="AA40" i="4"/>
  <c r="AE37" i="4"/>
  <c r="AC37" i="4"/>
  <c r="AA37" i="4"/>
  <c r="AQ3" i="4"/>
  <c r="AR3" i="4"/>
  <c r="AQ4" i="4"/>
  <c r="AR4" i="4"/>
  <c r="AQ18" i="4"/>
  <c r="AR18" i="4"/>
  <c r="AQ19" i="4"/>
  <c r="AR19" i="4"/>
  <c r="AQ3" i="1"/>
  <c r="AR3" i="1"/>
  <c r="AQ4" i="1"/>
  <c r="AR4" i="1"/>
  <c r="AQ18" i="1"/>
  <c r="AR18" i="1"/>
  <c r="AQ19" i="1"/>
  <c r="AR19" i="1"/>
  <c r="AE54" i="3"/>
  <c r="AC54" i="3"/>
  <c r="AA54" i="3"/>
  <c r="AE52" i="3"/>
  <c r="AC52" i="3"/>
  <c r="AA52" i="3"/>
  <c r="AE49" i="3"/>
  <c r="AC49" i="3"/>
  <c r="AA49" i="3"/>
  <c r="AE46" i="3"/>
  <c r="AC46" i="3"/>
  <c r="AA46" i="3"/>
  <c r="AE43" i="3"/>
  <c r="AC43" i="3"/>
  <c r="AA43" i="3"/>
  <c r="AE40" i="3"/>
  <c r="AC40" i="3"/>
  <c r="AA40" i="3"/>
  <c r="AE37" i="3"/>
  <c r="AC37" i="3"/>
  <c r="AA37" i="3"/>
  <c r="AQ3" i="3"/>
  <c r="AR3" i="3"/>
  <c r="AQ4" i="3"/>
  <c r="AR4" i="3"/>
  <c r="AQ18" i="3"/>
  <c r="AR18" i="3"/>
  <c r="AQ19" i="3"/>
  <c r="AR19" i="3"/>
  <c r="AR19" i="7"/>
  <c r="AQ19" i="7"/>
  <c r="AR18" i="7"/>
  <c r="AQ18" i="7"/>
  <c r="AR19" i="5"/>
  <c r="AQ19" i="5"/>
  <c r="AR18" i="5"/>
  <c r="AQ18" i="5"/>
  <c r="AR19" i="2"/>
  <c r="AQ19" i="2"/>
  <c r="AR18" i="2"/>
  <c r="AR4" i="7"/>
  <c r="AQ4" i="7"/>
  <c r="AR3" i="7"/>
  <c r="AQ3" i="7"/>
  <c r="AR4" i="5"/>
  <c r="AQ4" i="5"/>
  <c r="AR3" i="5"/>
  <c r="AQ3" i="5"/>
  <c r="AR4" i="2"/>
  <c r="AQ4" i="2"/>
  <c r="AR3" i="2"/>
  <c r="AQ3" i="2"/>
  <c r="O22" i="8" l="1"/>
  <c r="S24" i="8"/>
  <c r="Q32" i="8"/>
  <c r="Q24" i="8"/>
  <c r="Q18" i="8"/>
  <c r="O28" i="8"/>
  <c r="O20" i="8"/>
  <c r="S20" i="8"/>
  <c r="O24" i="8"/>
  <c r="Q22" i="8"/>
  <c r="Q28" i="8"/>
  <c r="S28" i="8"/>
  <c r="Q20" i="8"/>
  <c r="O32" i="8"/>
  <c r="O18" i="8"/>
  <c r="S22" i="8"/>
  <c r="S32" i="8"/>
  <c r="S18" i="8"/>
  <c r="O7" i="8"/>
  <c r="Q3" i="8"/>
  <c r="Q5" i="8"/>
  <c r="O5" i="8"/>
  <c r="O13" i="8"/>
  <c r="S5" i="8"/>
  <c r="Q13" i="8"/>
  <c r="S7" i="8"/>
  <c r="O3" i="8"/>
  <c r="Q7" i="8"/>
  <c r="S3" i="8"/>
  <c r="S13" i="8"/>
  <c r="O7" i="7"/>
  <c r="Q7" i="7"/>
  <c r="O5" i="7"/>
  <c r="O3" i="7"/>
  <c r="O13" i="7"/>
  <c r="S7" i="7"/>
  <c r="Q13" i="7"/>
  <c r="S3" i="7"/>
  <c r="Q3" i="7"/>
  <c r="S5" i="7"/>
  <c r="S13" i="7"/>
  <c r="Q5" i="7"/>
  <c r="S20" i="7"/>
  <c r="O22" i="7"/>
  <c r="O20" i="7"/>
  <c r="O18" i="7"/>
  <c r="Q28" i="7"/>
  <c r="Q32" i="7"/>
  <c r="S22" i="7"/>
  <c r="Q22" i="7"/>
  <c r="O32" i="7"/>
  <c r="Q24" i="7"/>
  <c r="O24" i="7"/>
  <c r="Q18" i="7"/>
  <c r="S32" i="7"/>
  <c r="S18" i="7"/>
  <c r="O28" i="7"/>
  <c r="S24" i="7"/>
  <c r="Q20" i="7"/>
  <c r="S28" i="7"/>
  <c r="AF49" i="6"/>
  <c r="AG49" i="6" s="1"/>
  <c r="AF40" i="6"/>
  <c r="AG40" i="6" s="1"/>
  <c r="AF52" i="6"/>
  <c r="AG52" i="6" s="1"/>
  <c r="S22" i="6"/>
  <c r="Q18" i="6"/>
  <c r="Q22" i="6"/>
  <c r="O28" i="6"/>
  <c r="O18" i="6"/>
  <c r="S18" i="6"/>
  <c r="O20" i="6"/>
  <c r="Q20" i="6"/>
  <c r="O22" i="6"/>
  <c r="Q28" i="6"/>
  <c r="S20" i="6"/>
  <c r="S28" i="6"/>
  <c r="S13" i="6"/>
  <c r="O13" i="6"/>
  <c r="Q49" i="6"/>
  <c r="Q13" i="6"/>
  <c r="S49" i="6"/>
  <c r="Q54" i="6"/>
  <c r="O40" i="6"/>
  <c r="Q52" i="6"/>
  <c r="O49" i="6"/>
  <c r="O43" i="6"/>
  <c r="Q46" i="6"/>
  <c r="O7" i="6"/>
  <c r="S43" i="6"/>
  <c r="O46" i="6"/>
  <c r="O52" i="6"/>
  <c r="Q40" i="6"/>
  <c r="O5" i="6"/>
  <c r="Q5" i="6"/>
  <c r="Q3" i="6"/>
  <c r="O54" i="6"/>
  <c r="Q37" i="6"/>
  <c r="Q43" i="6"/>
  <c r="O3" i="6"/>
  <c r="Q7" i="6"/>
  <c r="O37" i="6"/>
  <c r="S3" i="6"/>
  <c r="S5" i="6"/>
  <c r="S7" i="6"/>
  <c r="S46" i="6"/>
  <c r="AF46" i="6" s="1"/>
  <c r="AG46" i="6" s="1"/>
  <c r="S54" i="6"/>
  <c r="S52" i="6"/>
  <c r="S40" i="6"/>
  <c r="S37" i="6"/>
  <c r="AF37" i="6"/>
  <c r="AG37" i="6" s="1"/>
  <c r="AF54" i="6"/>
  <c r="AG54" i="6" s="1"/>
  <c r="AF43" i="6"/>
  <c r="AG43" i="6" s="1"/>
  <c r="S13" i="5"/>
  <c r="S49" i="5"/>
  <c r="AF49" i="5" s="1"/>
  <c r="AG49" i="5" s="1"/>
  <c r="O40" i="5"/>
  <c r="S40" i="5"/>
  <c r="AF40" i="5" s="1"/>
  <c r="AG40" i="5" s="1"/>
  <c r="O46" i="5"/>
  <c r="O7" i="5"/>
  <c r="Q43" i="5"/>
  <c r="Q52" i="5"/>
  <c r="Q3" i="5"/>
  <c r="O52" i="5"/>
  <c r="O3" i="5"/>
  <c r="S7" i="5"/>
  <c r="Q40" i="5"/>
  <c r="Q49" i="5"/>
  <c r="S54" i="5"/>
  <c r="AF54" i="5" s="1"/>
  <c r="AG54" i="5" s="1"/>
  <c r="Q7" i="5"/>
  <c r="Q37" i="5"/>
  <c r="O49" i="5"/>
  <c r="O54" i="5"/>
  <c r="S3" i="5"/>
  <c r="Q13" i="5"/>
  <c r="S43" i="5"/>
  <c r="AF43" i="5" s="1"/>
  <c r="AG43" i="5" s="1"/>
  <c r="Q5" i="5"/>
  <c r="O43" i="5"/>
  <c r="Q54" i="5"/>
  <c r="Q46" i="5"/>
  <c r="S37" i="5"/>
  <c r="AF37" i="5" s="1"/>
  <c r="AG37" i="5" s="1"/>
  <c r="O37" i="5"/>
  <c r="O5" i="5"/>
  <c r="O13" i="5"/>
  <c r="S5" i="5"/>
  <c r="S46" i="5"/>
  <c r="AF46" i="5" s="1"/>
  <c r="AG46" i="5" s="1"/>
  <c r="S52" i="5"/>
  <c r="S22" i="5"/>
  <c r="O18" i="5"/>
  <c r="S18" i="5"/>
  <c r="Q18" i="5"/>
  <c r="O20" i="5"/>
  <c r="Q20" i="5"/>
  <c r="O28" i="5"/>
  <c r="O22" i="5"/>
  <c r="Q28" i="5"/>
  <c r="Q22" i="5"/>
  <c r="S28" i="5"/>
  <c r="S20" i="5"/>
  <c r="AF52" i="5"/>
  <c r="AG52" i="5" s="1"/>
  <c r="AF52" i="4"/>
  <c r="AG52" i="4" s="1"/>
  <c r="Q28" i="4"/>
  <c r="O28" i="4"/>
  <c r="O22" i="4"/>
  <c r="S22" i="4"/>
  <c r="Q20" i="4"/>
  <c r="O20" i="4"/>
  <c r="O18" i="4"/>
  <c r="Q18" i="4"/>
  <c r="Q22" i="4"/>
  <c r="S28" i="4"/>
  <c r="S20" i="4"/>
  <c r="S18" i="4"/>
  <c r="O5" i="4"/>
  <c r="O46" i="4"/>
  <c r="S40" i="4"/>
  <c r="AF40" i="4" s="1"/>
  <c r="AG40" i="4" s="1"/>
  <c r="Q13" i="4"/>
  <c r="O3" i="4"/>
  <c r="Q49" i="4"/>
  <c r="S7" i="4"/>
  <c r="O37" i="4"/>
  <c r="S37" i="4"/>
  <c r="AF37" i="4" s="1"/>
  <c r="AG37" i="4" s="1"/>
  <c r="O49" i="4"/>
  <c r="O54" i="4"/>
  <c r="O43" i="4"/>
  <c r="Q46" i="4"/>
  <c r="Q52" i="4"/>
  <c r="Q40" i="4"/>
  <c r="O7" i="4"/>
  <c r="Q43" i="4"/>
  <c r="S54" i="4"/>
  <c r="AF54" i="4" s="1"/>
  <c r="AG54" i="4" s="1"/>
  <c r="O40" i="4"/>
  <c r="Q7" i="4"/>
  <c r="S49" i="4"/>
  <c r="AF49" i="4" s="1"/>
  <c r="AG49" i="4" s="1"/>
  <c r="O13" i="4"/>
  <c r="O52" i="4"/>
  <c r="Q54" i="4"/>
  <c r="Q3" i="4"/>
  <c r="Q37" i="4"/>
  <c r="S5" i="4"/>
  <c r="Q5" i="4"/>
  <c r="S3" i="4"/>
  <c r="S52" i="4"/>
  <c r="S46" i="4"/>
  <c r="S13" i="4"/>
  <c r="S43" i="4"/>
  <c r="AF43" i="4" s="1"/>
  <c r="AG43" i="4" s="1"/>
  <c r="AF46" i="4"/>
  <c r="AG46" i="4" s="1"/>
  <c r="O7" i="2"/>
  <c r="O43" i="2"/>
  <c r="Q52" i="2"/>
  <c r="Q43" i="2"/>
  <c r="S37" i="2"/>
  <c r="Q46" i="2"/>
  <c r="O40" i="2"/>
  <c r="Q40" i="2"/>
  <c r="Q54" i="2"/>
  <c r="O54" i="2"/>
  <c r="O46" i="2"/>
  <c r="O37" i="2"/>
  <c r="O52" i="2"/>
  <c r="O49" i="2"/>
  <c r="Q37" i="2"/>
  <c r="Q49" i="2"/>
  <c r="O3" i="2"/>
  <c r="S40" i="2"/>
  <c r="S13" i="2"/>
  <c r="O13" i="2"/>
  <c r="Q3" i="2"/>
  <c r="S52" i="2"/>
  <c r="O5" i="2"/>
  <c r="S3" i="2"/>
  <c r="Q7" i="2"/>
  <c r="Q5" i="2"/>
  <c r="Q13" i="2"/>
  <c r="S5" i="2"/>
  <c r="S49" i="2"/>
  <c r="S7" i="2"/>
  <c r="S46" i="2"/>
  <c r="S43" i="2"/>
  <c r="S54" i="2"/>
  <c r="O18" i="2"/>
  <c r="O20" i="2"/>
  <c r="S18" i="2"/>
  <c r="Q28" i="2"/>
  <c r="Q18" i="2"/>
  <c r="S22" i="2"/>
  <c r="S20" i="2"/>
  <c r="O22" i="2"/>
  <c r="Q22" i="2"/>
  <c r="Q20" i="2"/>
  <c r="O28" i="2"/>
  <c r="S28" i="2"/>
  <c r="Q22" i="3"/>
  <c r="O18" i="3"/>
  <c r="Q18" i="3"/>
  <c r="O22" i="3"/>
  <c r="O28" i="3"/>
  <c r="Q20" i="3"/>
  <c r="O20" i="3"/>
  <c r="S22" i="3"/>
  <c r="Q28" i="3"/>
  <c r="S28" i="3"/>
  <c r="S20" i="3"/>
  <c r="S18" i="3"/>
  <c r="AF54" i="3"/>
  <c r="AG54" i="3" s="1"/>
  <c r="Q7" i="3"/>
  <c r="Q3" i="3"/>
  <c r="Q5" i="3"/>
  <c r="Q46" i="3"/>
  <c r="Q52" i="3"/>
  <c r="O37" i="3"/>
  <c r="Q37" i="3"/>
  <c r="S5" i="3"/>
  <c r="S54" i="3"/>
  <c r="S3" i="3"/>
  <c r="S49" i="3"/>
  <c r="O43" i="3"/>
  <c r="S7" i="3"/>
  <c r="O54" i="3"/>
  <c r="Q49" i="3"/>
  <c r="O40" i="3"/>
  <c r="Q43" i="3"/>
  <c r="Q40" i="3"/>
  <c r="Q13" i="3"/>
  <c r="Q54" i="3"/>
  <c r="O49" i="3"/>
  <c r="S40" i="3"/>
  <c r="AF40" i="3" s="1"/>
  <c r="AG40" i="3" s="1"/>
  <c r="O52" i="3"/>
  <c r="O3" i="3"/>
  <c r="O13" i="3"/>
  <c r="O5" i="3"/>
  <c r="O46" i="3"/>
  <c r="O7" i="3"/>
  <c r="S52" i="3"/>
  <c r="AF52" i="3" s="1"/>
  <c r="AG52" i="3" s="1"/>
  <c r="S13" i="3"/>
  <c r="S46" i="3"/>
  <c r="AF46" i="3" s="1"/>
  <c r="AG46" i="3" s="1"/>
  <c r="S43" i="3"/>
  <c r="AF43" i="3" s="1"/>
  <c r="AG43" i="3" s="1"/>
  <c r="S37" i="3"/>
  <c r="AF37" i="3"/>
  <c r="AG37" i="3" s="1"/>
  <c r="AF49" i="3"/>
  <c r="AG49" i="3" s="1"/>
  <c r="K3" i="6" l="1"/>
  <c r="AE3" i="6" l="1"/>
  <c r="AC3" i="6"/>
  <c r="AA3" i="6"/>
  <c r="Q8" i="10"/>
  <c r="R3" i="10"/>
  <c r="R4" i="10"/>
  <c r="R5" i="10"/>
  <c r="R6" i="10"/>
  <c r="R7" i="10"/>
  <c r="R8" i="10"/>
  <c r="R9" i="10"/>
  <c r="R10" i="10"/>
  <c r="R11" i="10"/>
  <c r="R12" i="10"/>
  <c r="R13" i="10"/>
  <c r="R2" i="10"/>
  <c r="Q3" i="10"/>
  <c r="Q4" i="10"/>
  <c r="Q5" i="10"/>
  <c r="Q6" i="10"/>
  <c r="Q7" i="10"/>
  <c r="Q9" i="10"/>
  <c r="Q10" i="10"/>
  <c r="Q11" i="10"/>
  <c r="Q12" i="10"/>
  <c r="Q13" i="10"/>
  <c r="Q2" i="10"/>
  <c r="V31" i="1" l="1"/>
  <c r="P13" i="10"/>
  <c r="O13" i="10"/>
  <c r="P11" i="10"/>
  <c r="O11" i="10"/>
  <c r="P9" i="10"/>
  <c r="O9" i="10"/>
  <c r="P7" i="10"/>
  <c r="O7" i="10"/>
  <c r="P5" i="10"/>
  <c r="O5" i="10"/>
  <c r="P3" i="10"/>
  <c r="O3" i="10"/>
  <c r="N13" i="10"/>
  <c r="M13" i="10"/>
  <c r="N11" i="10"/>
  <c r="M11" i="10"/>
  <c r="N9" i="10"/>
  <c r="M9" i="10"/>
  <c r="N7" i="10"/>
  <c r="M7" i="10"/>
  <c r="N5" i="10"/>
  <c r="M5" i="10"/>
  <c r="N3" i="10"/>
  <c r="M3" i="10"/>
  <c r="J6" i="9" l="1"/>
  <c r="J5" i="9"/>
  <c r="H3" i="9"/>
  <c r="I6" i="9"/>
  <c r="I5" i="9"/>
  <c r="X6" i="9"/>
  <c r="X5" i="9"/>
  <c r="V1" i="9"/>
  <c r="W6" i="9"/>
  <c r="W5" i="9"/>
  <c r="V6" i="9"/>
  <c r="V5" i="9"/>
  <c r="X1" i="9"/>
  <c r="X2" i="9"/>
  <c r="W2" i="9"/>
  <c r="V2" i="9"/>
  <c r="H6" i="9" l="1"/>
  <c r="H5" i="9"/>
  <c r="G6" i="9"/>
  <c r="G5" i="9"/>
  <c r="H2" i="9"/>
  <c r="G2" i="9" l="1"/>
  <c r="I1" i="9" s="1"/>
  <c r="K32" i="8"/>
  <c r="K28" i="8"/>
  <c r="L25" i="8"/>
  <c r="L24" i="8"/>
  <c r="K24" i="8"/>
  <c r="L23" i="8"/>
  <c r="L22" i="8"/>
  <c r="K22" i="8"/>
  <c r="L21" i="8"/>
  <c r="L20" i="8"/>
  <c r="K20" i="8"/>
  <c r="L19" i="8"/>
  <c r="L18" i="8"/>
  <c r="K18" i="8"/>
  <c r="AC18" i="8" s="1"/>
  <c r="K13" i="8"/>
  <c r="L8" i="8"/>
  <c r="L7" i="8"/>
  <c r="K7" i="8"/>
  <c r="L6" i="8"/>
  <c r="L5" i="8"/>
  <c r="K5" i="8"/>
  <c r="L4" i="8"/>
  <c r="L3" i="8"/>
  <c r="K3" i="8"/>
  <c r="K24" i="7"/>
  <c r="K32" i="7"/>
  <c r="L25" i="7"/>
  <c r="L24" i="7"/>
  <c r="K28" i="7"/>
  <c r="L23" i="7"/>
  <c r="L22" i="7"/>
  <c r="K22" i="7"/>
  <c r="L21" i="7"/>
  <c r="L20" i="7"/>
  <c r="K20" i="7"/>
  <c r="L19" i="7"/>
  <c r="L18" i="7"/>
  <c r="K18" i="7"/>
  <c r="K13" i="7"/>
  <c r="L8" i="7"/>
  <c r="L7" i="7"/>
  <c r="K7" i="7"/>
  <c r="L6" i="7"/>
  <c r="L5" i="7"/>
  <c r="K5" i="7"/>
  <c r="L4" i="7"/>
  <c r="U3" i="7"/>
  <c r="L3" i="7"/>
  <c r="K3" i="7"/>
  <c r="U18" i="6"/>
  <c r="W37" i="6"/>
  <c r="K28" i="6"/>
  <c r="L23" i="6"/>
  <c r="U22" i="6"/>
  <c r="X22" i="6" s="1"/>
  <c r="L22" i="6"/>
  <c r="K22" i="6"/>
  <c r="L21" i="6"/>
  <c r="L20" i="6"/>
  <c r="K20" i="6"/>
  <c r="L19" i="6"/>
  <c r="L18" i="6"/>
  <c r="K18" i="6"/>
  <c r="K13" i="6"/>
  <c r="L8" i="6"/>
  <c r="L7" i="6"/>
  <c r="K7" i="6"/>
  <c r="L6" i="6"/>
  <c r="L5" i="6"/>
  <c r="K5" i="6"/>
  <c r="L4" i="6"/>
  <c r="V3" i="6"/>
  <c r="L3" i="6"/>
  <c r="AE24" i="8" l="1"/>
  <c r="AF24" i="8" s="1"/>
  <c r="AG24" i="8" s="1"/>
  <c r="AC24" i="8"/>
  <c r="AD24" i="8" s="1"/>
  <c r="AA24" i="8"/>
  <c r="AB24" i="8" s="1"/>
  <c r="AC22" i="7"/>
  <c r="AD22" i="7" s="1"/>
  <c r="AE22" i="7"/>
  <c r="AA22" i="7"/>
  <c r="AB22" i="7" s="1"/>
  <c r="AE7" i="7"/>
  <c r="AA7" i="7"/>
  <c r="AB7" i="7" s="1"/>
  <c r="AC7" i="7"/>
  <c r="AD7" i="7" s="1"/>
  <c r="AC24" i="7"/>
  <c r="AD24" i="7" s="1"/>
  <c r="AA24" i="7"/>
  <c r="AB24" i="7" s="1"/>
  <c r="AE24" i="7"/>
  <c r="AF24" i="7" s="1"/>
  <c r="AG24" i="7" s="1"/>
  <c r="AA18" i="7"/>
  <c r="AE18" i="7"/>
  <c r="AC18" i="7"/>
  <c r="AE3" i="7"/>
  <c r="AC3" i="7"/>
  <c r="AA3" i="7"/>
  <c r="AC5" i="7"/>
  <c r="AD5" i="7" s="1"/>
  <c r="AA5" i="7"/>
  <c r="AB5" i="7" s="1"/>
  <c r="AE5" i="7"/>
  <c r="AE20" i="7"/>
  <c r="AC20" i="7"/>
  <c r="AD20" i="7" s="1"/>
  <c r="AA20" i="7"/>
  <c r="AB20" i="7" s="1"/>
  <c r="AE20" i="6"/>
  <c r="AC20" i="6"/>
  <c r="AD20" i="6" s="1"/>
  <c r="AA20" i="6"/>
  <c r="AB20" i="6" s="1"/>
  <c r="AE5" i="6"/>
  <c r="AA5" i="6"/>
  <c r="AC5" i="6"/>
  <c r="AD5" i="6"/>
  <c r="AA7" i="6"/>
  <c r="AB7" i="6" s="1"/>
  <c r="AC7" i="6"/>
  <c r="AD7" i="6" s="1"/>
  <c r="AE7" i="6"/>
  <c r="X18" i="6"/>
  <c r="AE18" i="6"/>
  <c r="AC18" i="6"/>
  <c r="AA18" i="6"/>
  <c r="AE22" i="6"/>
  <c r="AC22" i="6"/>
  <c r="AD22" i="6" s="1"/>
  <c r="AA22" i="6"/>
  <c r="AB22" i="6" s="1"/>
  <c r="AB3" i="6"/>
  <c r="AD3" i="6"/>
  <c r="AF3" i="6"/>
  <c r="X3" i="7"/>
  <c r="AC20" i="8"/>
  <c r="AC7" i="8"/>
  <c r="AC3" i="8"/>
  <c r="AA3" i="8"/>
  <c r="AA22" i="8"/>
  <c r="AA20" i="8"/>
  <c r="AB20" i="8" s="1"/>
  <c r="AA5" i="8"/>
  <c r="AB5" i="8" s="1"/>
  <c r="AC22" i="8"/>
  <c r="AA7" i="8"/>
  <c r="AC5" i="8"/>
  <c r="AA18" i="8"/>
  <c r="U28" i="8"/>
  <c r="AD18" i="8"/>
  <c r="AE7" i="8"/>
  <c r="V3" i="8"/>
  <c r="U22" i="8"/>
  <c r="U32" i="8"/>
  <c r="AE3" i="8"/>
  <c r="BA3" i="8" s="1"/>
  <c r="BA4" i="8" s="1"/>
  <c r="U3" i="8"/>
  <c r="X3" i="8" s="1"/>
  <c r="U24" i="8"/>
  <c r="AE22" i="8"/>
  <c r="V28" i="8"/>
  <c r="V5" i="8"/>
  <c r="U5" i="8"/>
  <c r="X5" i="8" s="1"/>
  <c r="V24" i="8"/>
  <c r="V28" i="7"/>
  <c r="U22" i="7"/>
  <c r="V22" i="7"/>
  <c r="W22" i="7" s="1"/>
  <c r="V3" i="7"/>
  <c r="W3" i="7" s="1"/>
  <c r="V32" i="7"/>
  <c r="W32" i="7" s="1"/>
  <c r="U13" i="6"/>
  <c r="U20" i="6"/>
  <c r="U3" i="6"/>
  <c r="X3" i="6" s="1"/>
  <c r="U5" i="6"/>
  <c r="X5" i="6" s="1"/>
  <c r="W3" i="6"/>
  <c r="U7" i="6"/>
  <c r="V5" i="6"/>
  <c r="W5" i="6" s="1"/>
  <c r="I2" i="9"/>
  <c r="V22" i="8"/>
  <c r="AE20" i="8"/>
  <c r="AE18" i="8"/>
  <c r="BA18" i="8" s="1"/>
  <c r="BA19" i="8" s="1"/>
  <c r="U20" i="8"/>
  <c r="U18" i="8"/>
  <c r="X18" i="8" s="1"/>
  <c r="V20" i="8"/>
  <c r="V18" i="8"/>
  <c r="U7" i="8"/>
  <c r="X7" i="8" s="1"/>
  <c r="U13" i="8"/>
  <c r="V7" i="8"/>
  <c r="V13" i="8"/>
  <c r="U32" i="7"/>
  <c r="U28" i="7"/>
  <c r="U24" i="7"/>
  <c r="V24" i="7"/>
  <c r="U13" i="7"/>
  <c r="U18" i="7"/>
  <c r="V18" i="7"/>
  <c r="W18" i="7" s="1"/>
  <c r="U7" i="7"/>
  <c r="U20" i="7"/>
  <c r="V7" i="7"/>
  <c r="V13" i="7"/>
  <c r="V20" i="7"/>
  <c r="W13" i="7"/>
  <c r="U5" i="7"/>
  <c r="X5" i="7" s="1"/>
  <c r="V5" i="7"/>
  <c r="V22" i="6"/>
  <c r="V7" i="6"/>
  <c r="V13" i="6"/>
  <c r="V20" i="6"/>
  <c r="V18" i="6"/>
  <c r="U28" i="6"/>
  <c r="V28" i="6"/>
  <c r="X15" i="8" l="1"/>
  <c r="X14" i="8"/>
  <c r="X13" i="8"/>
  <c r="X24" i="8"/>
  <c r="X29" i="8"/>
  <c r="X28" i="8"/>
  <c r="X30" i="8"/>
  <c r="X20" i="8"/>
  <c r="AF3" i="8"/>
  <c r="BB3" i="8" s="1"/>
  <c r="BB4" i="8" s="1"/>
  <c r="AH3" i="8"/>
  <c r="AH7" i="8"/>
  <c r="X22" i="8"/>
  <c r="X29" i="7"/>
  <c r="X30" i="7"/>
  <c r="X28" i="7"/>
  <c r="AF20" i="7"/>
  <c r="AG20" i="7" s="1"/>
  <c r="AH20" i="7"/>
  <c r="AF5" i="7"/>
  <c r="AG5" i="7" s="1"/>
  <c r="AJ20" i="7"/>
  <c r="AC26" i="7"/>
  <c r="AG26" i="7" s="1"/>
  <c r="AJ26" i="7" s="1"/>
  <c r="AD18" i="7"/>
  <c r="AD26" i="7" s="1"/>
  <c r="AF7" i="7"/>
  <c r="AG7" i="7" s="1"/>
  <c r="AH7" i="7"/>
  <c r="AJ22" i="7"/>
  <c r="AF18" i="7"/>
  <c r="AB18" i="7"/>
  <c r="AB26" i="7" s="1"/>
  <c r="AA26" i="7"/>
  <c r="AB3" i="7"/>
  <c r="AB11" i="7" s="1"/>
  <c r="AA11" i="7"/>
  <c r="AD3" i="7"/>
  <c r="AD11" i="7" s="1"/>
  <c r="AC11" i="7"/>
  <c r="AG11" i="7" s="1"/>
  <c r="AJ11" i="7" s="1"/>
  <c r="AF22" i="7"/>
  <c r="AG22" i="7" s="1"/>
  <c r="AH22" i="7"/>
  <c r="X13" i="7"/>
  <c r="X15" i="7"/>
  <c r="X14" i="7"/>
  <c r="AI5" i="7" s="1"/>
  <c r="AH3" i="7"/>
  <c r="AL3" i="7" s="1"/>
  <c r="AF3" i="7"/>
  <c r="AJ18" i="7"/>
  <c r="AF7" i="6"/>
  <c r="AG7" i="6" s="1"/>
  <c r="AJ22" i="6"/>
  <c r="AD11" i="6"/>
  <c r="AC11" i="6"/>
  <c r="X28" i="6"/>
  <c r="X30" i="6"/>
  <c r="X29" i="6"/>
  <c r="AB5" i="6"/>
  <c r="AB11" i="6" s="1"/>
  <c r="AA11" i="6"/>
  <c r="U11" i="6"/>
  <c r="X7" i="6"/>
  <c r="U26" i="6"/>
  <c r="X20" i="6"/>
  <c r="AF22" i="6"/>
  <c r="AG22" i="6" s="1"/>
  <c r="AJ20" i="6"/>
  <c r="AF5" i="6"/>
  <c r="AG5" i="6" s="1"/>
  <c r="AB18" i="6"/>
  <c r="AB26" i="6" s="1"/>
  <c r="AA26" i="6"/>
  <c r="Y5" i="6"/>
  <c r="Y3" i="6"/>
  <c r="AG3" i="6"/>
  <c r="AC26" i="6"/>
  <c r="AD18" i="6"/>
  <c r="AD26" i="6" s="1"/>
  <c r="X13" i="6"/>
  <c r="X14" i="6"/>
  <c r="X15" i="6"/>
  <c r="AH18" i="6"/>
  <c r="AL18" i="6" s="1"/>
  <c r="AF18" i="6"/>
  <c r="AJ18" i="6"/>
  <c r="AF20" i="6"/>
  <c r="AG20" i="6" s="1"/>
  <c r="AC28" i="8"/>
  <c r="AA11" i="8"/>
  <c r="AH11" i="8" s="1"/>
  <c r="AA28" i="8"/>
  <c r="AA26" i="8"/>
  <c r="X32" i="7"/>
  <c r="X18" i="7"/>
  <c r="AE5" i="8"/>
  <c r="AH5" i="8" s="1"/>
  <c r="AF22" i="8"/>
  <c r="AG22" i="8" s="1"/>
  <c r="AB22" i="8"/>
  <c r="AF20" i="8"/>
  <c r="AG20" i="8" s="1"/>
  <c r="AB3" i="8"/>
  <c r="AC11" i="8"/>
  <c r="AD3" i="8"/>
  <c r="AD22" i="8"/>
  <c r="AF7" i="8"/>
  <c r="AG7" i="8" s="1"/>
  <c r="AJ22" i="8"/>
  <c r="AD7" i="8"/>
  <c r="AJ18" i="8"/>
  <c r="AD20" i="8"/>
  <c r="AB7" i="8"/>
  <c r="AB18" i="8"/>
  <c r="AC26" i="8"/>
  <c r="W28" i="8"/>
  <c r="AD5" i="8"/>
  <c r="W3" i="8"/>
  <c r="W22" i="8"/>
  <c r="Y30" i="8" s="1"/>
  <c r="W18" i="8"/>
  <c r="W32" i="8"/>
  <c r="W24" i="8"/>
  <c r="U11" i="8"/>
  <c r="U26" i="8"/>
  <c r="W5" i="8"/>
  <c r="X20" i="7"/>
  <c r="W20" i="7"/>
  <c r="X24" i="7"/>
  <c r="W7" i="7"/>
  <c r="W20" i="8"/>
  <c r="Y29" i="8" s="1"/>
  <c r="W28" i="7"/>
  <c r="Y28" i="7" s="1"/>
  <c r="Y32" i="7"/>
  <c r="W24" i="7"/>
  <c r="Y24" i="7" s="1"/>
  <c r="W7" i="8"/>
  <c r="W13" i="6"/>
  <c r="Y13" i="6" s="1"/>
  <c r="W7" i="6"/>
  <c r="AF18" i="8"/>
  <c r="BB18" i="8" s="1"/>
  <c r="BB19" i="8" s="1"/>
  <c r="W13" i="8"/>
  <c r="Y22" i="7"/>
  <c r="Y18" i="7"/>
  <c r="Y13" i="7"/>
  <c r="Y3" i="7"/>
  <c r="X22" i="7"/>
  <c r="X7" i="7"/>
  <c r="U11" i="7"/>
  <c r="W5" i="7"/>
  <c r="Y14" i="7" s="1"/>
  <c r="U26" i="7"/>
  <c r="W22" i="6"/>
  <c r="W20" i="6"/>
  <c r="W28" i="6"/>
  <c r="W18" i="6"/>
  <c r="AL3" i="8" l="1"/>
  <c r="BE3" i="8"/>
  <c r="BE4" i="8" s="1"/>
  <c r="AH26" i="8"/>
  <c r="AI22" i="8"/>
  <c r="AI20" i="8"/>
  <c r="AM20" i="8" s="1"/>
  <c r="Y14" i="8"/>
  <c r="AH20" i="8"/>
  <c r="AL5" i="8"/>
  <c r="AN3" i="8" s="1"/>
  <c r="BG3" i="8" s="1"/>
  <c r="AH22" i="8"/>
  <c r="AL20" i="8" s="1"/>
  <c r="Y5" i="8"/>
  <c r="Y13" i="8"/>
  <c r="AI3" i="8" s="1"/>
  <c r="BF3" i="8" s="1"/>
  <c r="BF4" i="8" s="1"/>
  <c r="Y7" i="8"/>
  <c r="Y3" i="8"/>
  <c r="Y15" i="8"/>
  <c r="AI7" i="8" s="1"/>
  <c r="AH18" i="8"/>
  <c r="Y28" i="8"/>
  <c r="AI18" i="8" s="1"/>
  <c r="BF18" i="8" s="1"/>
  <c r="BF19" i="8" s="1"/>
  <c r="Y24" i="8"/>
  <c r="Y20" i="8"/>
  <c r="Y18" i="8"/>
  <c r="Y22" i="8"/>
  <c r="Y32" i="8"/>
  <c r="Y7" i="7"/>
  <c r="Y15" i="7"/>
  <c r="AG3" i="7"/>
  <c r="AH26" i="7"/>
  <c r="AI26" i="7" s="1"/>
  <c r="AK26" i="7" s="1"/>
  <c r="AE26" i="7"/>
  <c r="AF26" i="7" s="1"/>
  <c r="AH5" i="7"/>
  <c r="AI7" i="7"/>
  <c r="AM5" i="7" s="1"/>
  <c r="Y30" i="7"/>
  <c r="AI22" i="7" s="1"/>
  <c r="AL5" i="7"/>
  <c r="AN3" i="7" s="1"/>
  <c r="AO3" i="7" s="1"/>
  <c r="AH11" i="7"/>
  <c r="AI11" i="7" s="1"/>
  <c r="AK11" i="7" s="1"/>
  <c r="AE11" i="7"/>
  <c r="AF11" i="7"/>
  <c r="AI3" i="7"/>
  <c r="AM3" i="7" s="1"/>
  <c r="AG18" i="7"/>
  <c r="Y20" i="7"/>
  <c r="Y29" i="7"/>
  <c r="AI20" i="7" s="1"/>
  <c r="AI18" i="7"/>
  <c r="AM18" i="7" s="1"/>
  <c r="AL20" i="7"/>
  <c r="AH18" i="7"/>
  <c r="AL18" i="7" s="1"/>
  <c r="W26" i="7"/>
  <c r="AH26" i="6"/>
  <c r="AI26" i="6" s="1"/>
  <c r="AE26" i="6"/>
  <c r="AF26" i="6"/>
  <c r="AI3" i="6"/>
  <c r="AM3" i="6" s="1"/>
  <c r="AH3" i="6"/>
  <c r="AL3" i="6" s="1"/>
  <c r="AI22" i="6"/>
  <c r="Y28" i="6"/>
  <c r="AI18" i="6" s="1"/>
  <c r="Y20" i="6"/>
  <c r="Y22" i="6"/>
  <c r="Y18" i="6"/>
  <c r="Y30" i="6"/>
  <c r="AH5" i="6"/>
  <c r="AG11" i="6"/>
  <c r="AJ11" i="6" s="1"/>
  <c r="AI7" i="6"/>
  <c r="AH11" i="6"/>
  <c r="AI11" i="6" s="1"/>
  <c r="AK11" i="6" s="1"/>
  <c r="AE11" i="6"/>
  <c r="AF11" i="6"/>
  <c r="Y29" i="6"/>
  <c r="AI20" i="6" s="1"/>
  <c r="AM20" i="6" s="1"/>
  <c r="AG26" i="6"/>
  <c r="AJ26" i="6" s="1"/>
  <c r="Y14" i="6"/>
  <c r="AM5" i="6" s="1"/>
  <c r="AO3" i="6" s="1"/>
  <c r="BH3" i="6" s="1"/>
  <c r="W11" i="6"/>
  <c r="Y15" i="6"/>
  <c r="AH22" i="6"/>
  <c r="Y7" i="6"/>
  <c r="AH20" i="6"/>
  <c r="AG18" i="6"/>
  <c r="AH7" i="6"/>
  <c r="AL5" i="6" s="1"/>
  <c r="AD26" i="8"/>
  <c r="AD28" i="8" s="1"/>
  <c r="W11" i="8"/>
  <c r="AG18" i="8"/>
  <c r="AE28" i="8"/>
  <c r="W26" i="8"/>
  <c r="AG28" i="8"/>
  <c r="AJ28" i="8" s="1"/>
  <c r="AK26" i="6"/>
  <c r="AG3" i="8"/>
  <c r="AB11" i="8"/>
  <c r="AE11" i="8"/>
  <c r="AG26" i="8"/>
  <c r="AJ26" i="8" s="1"/>
  <c r="AJ20" i="8"/>
  <c r="AF5" i="8"/>
  <c r="AG5" i="8" s="1"/>
  <c r="AE26" i="8"/>
  <c r="AD11" i="8"/>
  <c r="AB26" i="8"/>
  <c r="AB28" i="8" s="1"/>
  <c r="AG11" i="8"/>
  <c r="AJ11" i="8" s="1"/>
  <c r="W11" i="7"/>
  <c r="Y5" i="7"/>
  <c r="W26" i="6"/>
  <c r="AL18" i="8" l="1"/>
  <c r="AN18" i="8" s="1"/>
  <c r="BE18" i="8"/>
  <c r="BE19" i="8" s="1"/>
  <c r="AI11" i="8"/>
  <c r="AM3" i="8"/>
  <c r="AM18" i="8"/>
  <c r="AI26" i="8"/>
  <c r="AK26" i="8" s="1"/>
  <c r="AI5" i="8"/>
  <c r="AM5" i="8" s="1"/>
  <c r="AO3" i="8" s="1"/>
  <c r="BH3" i="8" s="1"/>
  <c r="AM20" i="7"/>
  <c r="AN18" i="7"/>
  <c r="AO18" i="7" s="1"/>
  <c r="AM18" i="6"/>
  <c r="AN3" i="6"/>
  <c r="AL20" i="6"/>
  <c r="AN18" i="6" s="1"/>
  <c r="AO18" i="6" s="1"/>
  <c r="AF26" i="8"/>
  <c r="AF28" i="8"/>
  <c r="AK28" i="8"/>
  <c r="AF11" i="8"/>
  <c r="AK11" i="8"/>
  <c r="K28" i="5"/>
  <c r="L23" i="5"/>
  <c r="U22" i="5"/>
  <c r="X22" i="5" s="1"/>
  <c r="L22" i="5"/>
  <c r="K22" i="5"/>
  <c r="L21" i="5"/>
  <c r="U20" i="5"/>
  <c r="X20" i="5" s="1"/>
  <c r="V20" i="5"/>
  <c r="L20" i="5"/>
  <c r="K20" i="5"/>
  <c r="L19" i="5"/>
  <c r="U18" i="5"/>
  <c r="L18" i="5"/>
  <c r="K18" i="5"/>
  <c r="K13" i="5"/>
  <c r="L8" i="5"/>
  <c r="L7" i="5"/>
  <c r="K7" i="5"/>
  <c r="L6" i="5"/>
  <c r="L5" i="5"/>
  <c r="K5" i="5"/>
  <c r="L4" i="5"/>
  <c r="U3" i="5"/>
  <c r="L3" i="5"/>
  <c r="K3" i="5"/>
  <c r="BG18" i="8" l="1"/>
  <c r="AO18" i="8"/>
  <c r="BH18" i="8" s="1"/>
  <c r="AE3" i="5"/>
  <c r="AA3" i="5"/>
  <c r="AC3" i="5"/>
  <c r="AA18" i="5"/>
  <c r="AC18" i="5"/>
  <c r="AE18" i="5"/>
  <c r="AE20" i="5"/>
  <c r="AA20" i="5"/>
  <c r="AB20" i="5" s="1"/>
  <c r="AC20" i="5"/>
  <c r="AD20" i="5" s="1"/>
  <c r="AE7" i="5"/>
  <c r="AC7" i="5"/>
  <c r="AD7" i="5" s="1"/>
  <c r="AA7" i="5"/>
  <c r="AB7" i="5" s="1"/>
  <c r="X18" i="5"/>
  <c r="AE5" i="5"/>
  <c r="AC5" i="5"/>
  <c r="AD5" i="5" s="1"/>
  <c r="AA5" i="5"/>
  <c r="AE22" i="5"/>
  <c r="AC22" i="5"/>
  <c r="AD22" i="5" s="1"/>
  <c r="AA22" i="5"/>
  <c r="AB22" i="5" s="1"/>
  <c r="X3" i="5"/>
  <c r="AB5" i="5"/>
  <c r="U26" i="5"/>
  <c r="U5" i="5"/>
  <c r="V13" i="5"/>
  <c r="W13" i="5" s="1"/>
  <c r="V5" i="5"/>
  <c r="V3" i="5"/>
  <c r="W3" i="5" s="1"/>
  <c r="V28" i="5"/>
  <c r="W28" i="5" s="1"/>
  <c r="V7" i="5"/>
  <c r="U7" i="5"/>
  <c r="W5" i="5"/>
  <c r="U13" i="5"/>
  <c r="V22" i="5"/>
  <c r="V18" i="5"/>
  <c r="W22" i="5"/>
  <c r="Y30" i="5" s="1"/>
  <c r="U28" i="5"/>
  <c r="AF22" i="5" l="1"/>
  <c r="AG22" i="5" s="1"/>
  <c r="AD18" i="5"/>
  <c r="AD26" i="5" s="1"/>
  <c r="AC26" i="5"/>
  <c r="AB18" i="5"/>
  <c r="AB26" i="5" s="1"/>
  <c r="AA26" i="5"/>
  <c r="U11" i="5"/>
  <c r="X7" i="5"/>
  <c r="AF20" i="5"/>
  <c r="AG20" i="5" s="1"/>
  <c r="AF18" i="5"/>
  <c r="AF5" i="5"/>
  <c r="AG5" i="5" s="1"/>
  <c r="AH5" i="5"/>
  <c r="AJ20" i="5"/>
  <c r="AD3" i="5"/>
  <c r="AD11" i="5" s="1"/>
  <c r="AC11" i="5"/>
  <c r="AG11" i="5" s="1"/>
  <c r="AJ11" i="5" s="1"/>
  <c r="AF7" i="5"/>
  <c r="AG7" i="5" s="1"/>
  <c r="AH7" i="5"/>
  <c r="AL5" i="5" s="1"/>
  <c r="AN3" i="5" s="1"/>
  <c r="AJ22" i="5"/>
  <c r="Y13" i="5"/>
  <c r="Y3" i="5"/>
  <c r="Y5" i="5"/>
  <c r="AA11" i="5"/>
  <c r="AB3" i="5"/>
  <c r="AB11" i="5" s="1"/>
  <c r="X29" i="5"/>
  <c r="AH20" i="5" s="1"/>
  <c r="X30" i="5"/>
  <c r="AI22" i="5" s="1"/>
  <c r="X28" i="5"/>
  <c r="AH18" i="5" s="1"/>
  <c r="AH3" i="5"/>
  <c r="AL3" i="5" s="1"/>
  <c r="AJ18" i="5"/>
  <c r="AF3" i="5"/>
  <c r="W7" i="5"/>
  <c r="Y15" i="5" s="1"/>
  <c r="W20" i="5"/>
  <c r="W11" i="5"/>
  <c r="W18" i="5"/>
  <c r="K28" i="4"/>
  <c r="L23" i="4"/>
  <c r="AC22" i="4"/>
  <c r="L22" i="4"/>
  <c r="K22" i="4"/>
  <c r="L21" i="4"/>
  <c r="L20" i="4"/>
  <c r="K20" i="4"/>
  <c r="L19" i="4"/>
  <c r="L18" i="4"/>
  <c r="K18" i="4"/>
  <c r="AC18" i="4" s="1"/>
  <c r="V13" i="4"/>
  <c r="K13" i="4"/>
  <c r="L8" i="4"/>
  <c r="L7" i="4"/>
  <c r="K7" i="4"/>
  <c r="L6" i="4"/>
  <c r="L5" i="4"/>
  <c r="K5" i="4"/>
  <c r="AC5" i="4" s="1"/>
  <c r="L4" i="4"/>
  <c r="L3" i="4"/>
  <c r="K3" i="4"/>
  <c r="L54" i="2"/>
  <c r="K54" i="2"/>
  <c r="L52" i="2"/>
  <c r="K52" i="2"/>
  <c r="AC52" i="2" s="1"/>
  <c r="L49" i="2"/>
  <c r="K49" i="2"/>
  <c r="AC49" i="2" s="1"/>
  <c r="L46" i="2"/>
  <c r="K46" i="2"/>
  <c r="V43" i="2"/>
  <c r="L43" i="2"/>
  <c r="K43" i="2"/>
  <c r="AC43" i="2" s="1"/>
  <c r="L40" i="2"/>
  <c r="K40" i="2"/>
  <c r="AC40" i="2" s="1"/>
  <c r="V37" i="2"/>
  <c r="L37" i="2"/>
  <c r="K37" i="2"/>
  <c r="U28" i="2"/>
  <c r="K28" i="2"/>
  <c r="L23" i="2"/>
  <c r="L22" i="2"/>
  <c r="K22" i="2"/>
  <c r="AC22" i="2" s="1"/>
  <c r="L21" i="2"/>
  <c r="L20" i="2"/>
  <c r="K20" i="2"/>
  <c r="L19" i="2"/>
  <c r="L18" i="2"/>
  <c r="K18" i="2"/>
  <c r="AA18" i="2" s="1"/>
  <c r="V13" i="2"/>
  <c r="K13" i="2"/>
  <c r="L8" i="2"/>
  <c r="L7" i="2"/>
  <c r="K7" i="2"/>
  <c r="L6" i="2"/>
  <c r="L5" i="2"/>
  <c r="K5" i="2"/>
  <c r="L4" i="2"/>
  <c r="L3" i="2"/>
  <c r="K3" i="2"/>
  <c r="K3" i="3"/>
  <c r="L3" i="3"/>
  <c r="AA3" i="3"/>
  <c r="AC3" i="3"/>
  <c r="AE3" i="3"/>
  <c r="V3" i="3"/>
  <c r="L4" i="3"/>
  <c r="K5" i="3"/>
  <c r="L5" i="3"/>
  <c r="L6" i="3"/>
  <c r="K7" i="3"/>
  <c r="L7" i="3"/>
  <c r="AA7" i="3"/>
  <c r="AC7" i="3"/>
  <c r="L8" i="3"/>
  <c r="K13" i="3"/>
  <c r="K18" i="3"/>
  <c r="L18" i="3"/>
  <c r="AA18" i="3"/>
  <c r="AC18" i="3"/>
  <c r="L19" i="3"/>
  <c r="K20" i="3"/>
  <c r="AA20" i="3" s="1"/>
  <c r="AB20" i="3" s="1"/>
  <c r="L20" i="3"/>
  <c r="L21" i="3"/>
  <c r="K22" i="3"/>
  <c r="L22" i="3"/>
  <c r="AA22" i="3"/>
  <c r="AC22" i="3"/>
  <c r="V22" i="3"/>
  <c r="L23" i="3"/>
  <c r="K28" i="3"/>
  <c r="D16" i="1"/>
  <c r="L54" i="1"/>
  <c r="L52" i="1"/>
  <c r="L49" i="1"/>
  <c r="L46" i="1"/>
  <c r="L43" i="1"/>
  <c r="L40" i="1"/>
  <c r="L37" i="1"/>
  <c r="L23" i="1"/>
  <c r="L22" i="1"/>
  <c r="L21" i="1"/>
  <c r="L20" i="1"/>
  <c r="L19" i="1"/>
  <c r="L18" i="1"/>
  <c r="L4" i="1"/>
  <c r="L5" i="1"/>
  <c r="L6" i="1"/>
  <c r="L7" i="1"/>
  <c r="L8" i="1"/>
  <c r="L3" i="1"/>
  <c r="K3" i="1"/>
  <c r="AL18" i="5" l="1"/>
  <c r="AH26" i="5"/>
  <c r="AI26" i="5" s="1"/>
  <c r="AE26" i="5"/>
  <c r="AF26" i="5" s="1"/>
  <c r="AK26" i="5"/>
  <c r="Y28" i="5"/>
  <c r="Y22" i="5"/>
  <c r="Y20" i="5"/>
  <c r="Y18" i="5"/>
  <c r="AG26" i="5"/>
  <c r="AJ26" i="5" s="1"/>
  <c r="AG18" i="5"/>
  <c r="AH22" i="5"/>
  <c r="AL20" i="5" s="1"/>
  <c r="W26" i="5"/>
  <c r="Y29" i="5"/>
  <c r="AH11" i="5"/>
  <c r="AI11" i="5" s="1"/>
  <c r="AK11" i="5" s="1"/>
  <c r="AE11" i="5"/>
  <c r="AF11" i="5"/>
  <c r="Y7" i="5"/>
  <c r="AI7" i="5"/>
  <c r="AI18" i="5"/>
  <c r="AM18" i="5" s="1"/>
  <c r="AG3" i="5"/>
  <c r="AI3" i="5"/>
  <c r="AI20" i="5"/>
  <c r="AM20" i="5" s="1"/>
  <c r="AA18" i="4"/>
  <c r="AA5" i="4"/>
  <c r="AA43" i="2"/>
  <c r="AC20" i="3"/>
  <c r="AC26" i="3" s="1"/>
  <c r="AA26" i="3"/>
  <c r="AD22" i="2"/>
  <c r="AB18" i="2"/>
  <c r="U52" i="2"/>
  <c r="U5" i="2"/>
  <c r="X5" i="2" s="1"/>
  <c r="AA3" i="2"/>
  <c r="U3" i="2"/>
  <c r="X3" i="2" s="1"/>
  <c r="AC20" i="2"/>
  <c r="AD20" i="2" s="1"/>
  <c r="AC3" i="2"/>
  <c r="AA5" i="2"/>
  <c r="AC46" i="2"/>
  <c r="V52" i="2"/>
  <c r="AA52" i="2"/>
  <c r="V5" i="2"/>
  <c r="W5" i="2" s="1"/>
  <c r="AE3" i="2"/>
  <c r="U22" i="2"/>
  <c r="X22" i="2" s="1"/>
  <c r="V28" i="2"/>
  <c r="W28" i="2" s="1"/>
  <c r="AA49" i="2"/>
  <c r="AA40" i="2"/>
  <c r="V7" i="2"/>
  <c r="U7" i="2"/>
  <c r="X7" i="2" s="1"/>
  <c r="AE22" i="2"/>
  <c r="AC54" i="2"/>
  <c r="AA20" i="2"/>
  <c r="U20" i="2"/>
  <c r="V18" i="2"/>
  <c r="W18" i="2" s="1"/>
  <c r="U18" i="2"/>
  <c r="X18" i="2" s="1"/>
  <c r="V3" i="2"/>
  <c r="W3" i="2" s="1"/>
  <c r="AA7" i="2"/>
  <c r="V22" i="2"/>
  <c r="W22" i="2" s="1"/>
  <c r="U43" i="2"/>
  <c r="AA7" i="4"/>
  <c r="AC7" i="4"/>
  <c r="AA20" i="4"/>
  <c r="AD5" i="4"/>
  <c r="AA3" i="4"/>
  <c r="AC20" i="4"/>
  <c r="AD20" i="4" s="1"/>
  <c r="AC3" i="4"/>
  <c r="AA22" i="4"/>
  <c r="AE3" i="4"/>
  <c r="AD22" i="4"/>
  <c r="AD18" i="4"/>
  <c r="U5" i="4"/>
  <c r="X5" i="4" s="1"/>
  <c r="U22" i="4"/>
  <c r="V18" i="4"/>
  <c r="U18" i="4"/>
  <c r="AE18" i="4"/>
  <c r="U13" i="4"/>
  <c r="U3" i="4"/>
  <c r="X3" i="4" s="1"/>
  <c r="V7" i="4"/>
  <c r="U7" i="4"/>
  <c r="X7" i="4" s="1"/>
  <c r="U20" i="4"/>
  <c r="AB18" i="4"/>
  <c r="AD7" i="3"/>
  <c r="AD3" i="3"/>
  <c r="AD18" i="3"/>
  <c r="AD22" i="3"/>
  <c r="AC5" i="3"/>
  <c r="AC11" i="3" s="1"/>
  <c r="AA5" i="3"/>
  <c r="AB5" i="3" s="1"/>
  <c r="AB3" i="3"/>
  <c r="AE20" i="3"/>
  <c r="AD20" i="3"/>
  <c r="U13" i="3"/>
  <c r="V18" i="3"/>
  <c r="U18" i="3"/>
  <c r="X18" i="3" s="1"/>
  <c r="AE22" i="3"/>
  <c r="U3" i="3"/>
  <c r="X3" i="3" s="1"/>
  <c r="U22" i="3"/>
  <c r="AE18" i="3"/>
  <c r="U5" i="3"/>
  <c r="U28" i="3"/>
  <c r="V28" i="3"/>
  <c r="W28" i="3" s="1"/>
  <c r="V7" i="3"/>
  <c r="U7" i="3"/>
  <c r="V20" i="3"/>
  <c r="W20" i="3" s="1"/>
  <c r="Y29" i="3" s="1"/>
  <c r="U20" i="3"/>
  <c r="V13" i="3"/>
  <c r="AB18" i="3"/>
  <c r="AE7" i="3"/>
  <c r="W3" i="3"/>
  <c r="V22" i="4"/>
  <c r="AE22" i="4"/>
  <c r="AE5" i="4"/>
  <c r="V5" i="4"/>
  <c r="V3" i="4"/>
  <c r="AE20" i="4"/>
  <c r="V28" i="4"/>
  <c r="W28" i="4" s="1"/>
  <c r="AE7" i="4"/>
  <c r="AB5" i="4"/>
  <c r="V20" i="4"/>
  <c r="AE5" i="2"/>
  <c r="AE52" i="2"/>
  <c r="AE43" i="2"/>
  <c r="AC7" i="2"/>
  <c r="AF22" i="2"/>
  <c r="AG22" i="2" s="1"/>
  <c r="W37" i="2"/>
  <c r="AC18" i="2"/>
  <c r="U37" i="2"/>
  <c r="U46" i="2"/>
  <c r="U54" i="2"/>
  <c r="AE7" i="2"/>
  <c r="V54" i="2"/>
  <c r="W54" i="2" s="1"/>
  <c r="V46" i="2"/>
  <c r="AC5" i="2"/>
  <c r="AD5" i="2" s="1"/>
  <c r="U13" i="2"/>
  <c r="V20" i="2"/>
  <c r="AA22" i="2"/>
  <c r="AA37" i="2"/>
  <c r="W43" i="2"/>
  <c r="AA46" i="2"/>
  <c r="AA54" i="2"/>
  <c r="AC37" i="2"/>
  <c r="U40" i="2"/>
  <c r="U49" i="2"/>
  <c r="V40" i="2"/>
  <c r="W40" i="2" s="1"/>
  <c r="V49" i="2"/>
  <c r="W49" i="2" s="1"/>
  <c r="AB7" i="3"/>
  <c r="AF3" i="3"/>
  <c r="V5" i="3"/>
  <c r="AE5" i="3"/>
  <c r="W22" i="3"/>
  <c r="Y30" i="3" s="1"/>
  <c r="AM5" i="5" l="1"/>
  <c r="AN18" i="5"/>
  <c r="AO18" i="5" s="1"/>
  <c r="AM3" i="5"/>
  <c r="AH5" i="4"/>
  <c r="X18" i="4"/>
  <c r="X28" i="4"/>
  <c r="AH7" i="4"/>
  <c r="AL5" i="4" s="1"/>
  <c r="X20" i="4"/>
  <c r="X29" i="4"/>
  <c r="AI20" i="4" s="1"/>
  <c r="AM20" i="4" s="1"/>
  <c r="X14" i="4"/>
  <c r="X15" i="4"/>
  <c r="X13" i="4"/>
  <c r="X22" i="4"/>
  <c r="X30" i="4"/>
  <c r="AI22" i="4" s="1"/>
  <c r="Y18" i="2"/>
  <c r="Y22" i="2"/>
  <c r="Y28" i="2"/>
  <c r="X20" i="2"/>
  <c r="Y3" i="2"/>
  <c r="Y7" i="2"/>
  <c r="Y5" i="2"/>
  <c r="AH3" i="2"/>
  <c r="X15" i="2"/>
  <c r="AH7" i="2" s="1"/>
  <c r="AL5" i="2" s="1"/>
  <c r="AN3" i="2" s="1"/>
  <c r="BG3" i="2" s="1"/>
  <c r="X13" i="2"/>
  <c r="X14" i="2"/>
  <c r="X30" i="2"/>
  <c r="AH5" i="2"/>
  <c r="X28" i="2"/>
  <c r="X29" i="2"/>
  <c r="Y30" i="2"/>
  <c r="X15" i="3"/>
  <c r="X13" i="3"/>
  <c r="X14" i="3"/>
  <c r="X7" i="3"/>
  <c r="X20" i="3"/>
  <c r="X30" i="3"/>
  <c r="X28" i="3"/>
  <c r="X29" i="3"/>
  <c r="Y3" i="3"/>
  <c r="X5" i="3"/>
  <c r="X22" i="3"/>
  <c r="AA26" i="4"/>
  <c r="AC11" i="4"/>
  <c r="AA11" i="4"/>
  <c r="AH11" i="4" s="1"/>
  <c r="AD26" i="4"/>
  <c r="AC26" i="4"/>
  <c r="AG26" i="4" s="1"/>
  <c r="AJ26" i="4" s="1"/>
  <c r="AD26" i="3"/>
  <c r="AA11" i="3"/>
  <c r="AE26" i="3"/>
  <c r="AG3" i="3"/>
  <c r="AG26" i="3"/>
  <c r="AB11" i="3"/>
  <c r="AB20" i="2"/>
  <c r="AB3" i="2"/>
  <c r="AA11" i="2"/>
  <c r="AD7" i="2"/>
  <c r="AF43" i="2"/>
  <c r="AG43" i="2" s="1"/>
  <c r="U11" i="2"/>
  <c r="AA26" i="2"/>
  <c r="W52" i="2"/>
  <c r="AC26" i="2"/>
  <c r="AD18" i="2"/>
  <c r="AB26" i="2"/>
  <c r="AJ22" i="2"/>
  <c r="W7" i="2"/>
  <c r="AB7" i="2"/>
  <c r="AB5" i="2"/>
  <c r="AB22" i="2"/>
  <c r="AF52" i="2"/>
  <c r="AG52" i="2" s="1"/>
  <c r="AC11" i="2"/>
  <c r="AD3" i="2"/>
  <c r="W46" i="2"/>
  <c r="AJ22" i="4"/>
  <c r="AB20" i="4"/>
  <c r="AB26" i="4" s="1"/>
  <c r="AF3" i="4"/>
  <c r="AJ18" i="4"/>
  <c r="AD7" i="4"/>
  <c r="AB7" i="4"/>
  <c r="AF18" i="4"/>
  <c r="AB22" i="4"/>
  <c r="W18" i="4"/>
  <c r="AJ20" i="4"/>
  <c r="AB3" i="4"/>
  <c r="AD3" i="4"/>
  <c r="AF5" i="4"/>
  <c r="AG5" i="4" s="1"/>
  <c r="W3" i="4"/>
  <c r="U11" i="4"/>
  <c r="W22" i="4"/>
  <c r="Y30" i="4" s="1"/>
  <c r="AF22" i="3"/>
  <c r="AG22" i="3" s="1"/>
  <c r="AD5" i="3"/>
  <c r="AF7" i="3"/>
  <c r="AG7" i="3" s="1"/>
  <c r="AF18" i="3"/>
  <c r="AB22" i="3"/>
  <c r="W7" i="3"/>
  <c r="Y15" i="3" s="1"/>
  <c r="AF20" i="3"/>
  <c r="AG20" i="3" s="1"/>
  <c r="W18" i="3"/>
  <c r="U26" i="3"/>
  <c r="W5" i="3"/>
  <c r="Y5" i="3" s="1"/>
  <c r="W13" i="3"/>
  <c r="Y13" i="3" s="1"/>
  <c r="W26" i="3"/>
  <c r="W13" i="4"/>
  <c r="W13" i="2"/>
  <c r="AF22" i="4"/>
  <c r="AG22" i="4" s="1"/>
  <c r="U26" i="4"/>
  <c r="W20" i="4"/>
  <c r="Y29" i="4" s="1"/>
  <c r="W7" i="4"/>
  <c r="Y15" i="4" s="1"/>
  <c r="W5" i="4"/>
  <c r="AF20" i="4"/>
  <c r="AG20" i="4" s="1"/>
  <c r="AF7" i="4"/>
  <c r="AG7" i="4" s="1"/>
  <c r="AE49" i="2"/>
  <c r="AE20" i="2"/>
  <c r="AE40" i="2"/>
  <c r="AF40" i="2" s="1"/>
  <c r="AG40" i="2" s="1"/>
  <c r="AE54" i="2"/>
  <c r="AE18" i="2"/>
  <c r="AE46" i="2"/>
  <c r="W20" i="2"/>
  <c r="Y20" i="2" s="1"/>
  <c r="AE37" i="2"/>
  <c r="AF5" i="2"/>
  <c r="AG5" i="2" s="1"/>
  <c r="U26" i="2"/>
  <c r="AF5" i="3"/>
  <c r="AG5" i="3" s="1"/>
  <c r="U11" i="3"/>
  <c r="AO3" i="5" l="1"/>
  <c r="BH3" i="5" s="1"/>
  <c r="V30" i="4"/>
  <c r="V32" i="4"/>
  <c r="V34" i="4" s="1"/>
  <c r="Y22" i="4"/>
  <c r="Y20" i="4"/>
  <c r="Y18" i="4"/>
  <c r="Y28" i="4"/>
  <c r="AH18" i="4"/>
  <c r="Y13" i="4"/>
  <c r="AI3" i="4" s="1"/>
  <c r="Y5" i="4"/>
  <c r="Y3" i="4"/>
  <c r="Y7" i="4"/>
  <c r="AH22" i="4"/>
  <c r="AH3" i="4"/>
  <c r="AI7" i="4"/>
  <c r="Y14" i="4"/>
  <c r="AH26" i="4"/>
  <c r="AI26" i="4" s="1"/>
  <c r="AK26" i="4" s="1"/>
  <c r="AI5" i="4"/>
  <c r="AM5" i="4" s="1"/>
  <c r="AH20" i="4"/>
  <c r="Y13" i="2"/>
  <c r="AH18" i="2"/>
  <c r="AL18" i="2" s="1"/>
  <c r="AH26" i="2"/>
  <c r="AI22" i="2"/>
  <c r="AH22" i="2"/>
  <c r="AL20" i="2" s="1"/>
  <c r="AN18" i="2" s="1"/>
  <c r="AJ20" i="2"/>
  <c r="AH20" i="2"/>
  <c r="Y15" i="2"/>
  <c r="W26" i="2"/>
  <c r="Y29" i="2"/>
  <c r="AH11" i="2"/>
  <c r="Y18" i="3"/>
  <c r="Y22" i="3"/>
  <c r="Y20" i="3"/>
  <c r="AN3" i="3"/>
  <c r="BG3" i="3" s="1"/>
  <c r="AN18" i="3"/>
  <c r="BG18" i="3" s="1"/>
  <c r="Y14" i="3"/>
  <c r="Y7" i="3"/>
  <c r="AG11" i="4"/>
  <c r="AJ11" i="4" s="1"/>
  <c r="AG18" i="4"/>
  <c r="AB11" i="4"/>
  <c r="AI11" i="4" s="1"/>
  <c r="AE11" i="4"/>
  <c r="AG3" i="4"/>
  <c r="AE26" i="4"/>
  <c r="AF26" i="4" s="1"/>
  <c r="AD11" i="4"/>
  <c r="W11" i="2"/>
  <c r="AD11" i="3"/>
  <c r="AG18" i="3"/>
  <c r="AE11" i="3"/>
  <c r="AF11" i="3" s="1"/>
  <c r="AB26" i="3"/>
  <c r="AF26" i="3" s="1"/>
  <c r="AG11" i="3"/>
  <c r="AG11" i="2"/>
  <c r="AJ11" i="2" s="1"/>
  <c r="AE11" i="2"/>
  <c r="AB11" i="2"/>
  <c r="AD26" i="2"/>
  <c r="AF26" i="2" s="1"/>
  <c r="AJ18" i="2"/>
  <c r="AF3" i="2"/>
  <c r="AE26" i="2"/>
  <c r="AG26" i="2"/>
  <c r="AJ26" i="2" s="1"/>
  <c r="AD11" i="2"/>
  <c r="W11" i="3"/>
  <c r="W26" i="4"/>
  <c r="W31" i="1"/>
  <c r="AF37" i="2"/>
  <c r="AG37" i="2" s="1"/>
  <c r="AF49" i="2"/>
  <c r="AG49" i="2" s="1"/>
  <c r="W11" i="4"/>
  <c r="AF46" i="2"/>
  <c r="AG46" i="2" s="1"/>
  <c r="AF20" i="2"/>
  <c r="AG20" i="2" s="1"/>
  <c r="AG7" i="2"/>
  <c r="AF18" i="2"/>
  <c r="AI18" i="2" s="1"/>
  <c r="AF54" i="2"/>
  <c r="AG54" i="2" s="1"/>
  <c r="AO18" i="3" l="1"/>
  <c r="BH18" i="3" s="1"/>
  <c r="AM3" i="4"/>
  <c r="W30" i="4"/>
  <c r="W33" i="4" s="1"/>
  <c r="W32" i="4"/>
  <c r="AL3" i="4"/>
  <c r="AN3" i="4" s="1"/>
  <c r="AO3" i="4" s="1"/>
  <c r="V33" i="4"/>
  <c r="V35" i="4"/>
  <c r="AL18" i="4"/>
  <c r="AL20" i="4"/>
  <c r="AN18" i="4" s="1"/>
  <c r="AI18" i="4"/>
  <c r="AM18" i="2"/>
  <c r="AI11" i="2"/>
  <c r="AI26" i="2"/>
  <c r="AM5" i="2"/>
  <c r="AO3" i="2" s="1"/>
  <c r="BH3" i="2" s="1"/>
  <c r="AI20" i="2"/>
  <c r="AM20" i="2" s="1"/>
  <c r="AO18" i="2" s="1"/>
  <c r="AI3" i="2"/>
  <c r="AM3" i="2" s="1"/>
  <c r="AO3" i="3"/>
  <c r="BH3" i="3" s="1"/>
  <c r="AK11" i="4"/>
  <c r="AF11" i="4"/>
  <c r="AF11" i="2"/>
  <c r="AK11" i="2"/>
  <c r="AK26" i="2"/>
  <c r="AG3" i="2"/>
  <c r="AG18" i="2"/>
  <c r="N28" i="1"/>
  <c r="O28" i="1" s="1"/>
  <c r="K28" i="1"/>
  <c r="P28" i="1"/>
  <c r="P13" i="1"/>
  <c r="N13" i="1"/>
  <c r="O13" i="1" s="1"/>
  <c r="K13" i="1"/>
  <c r="AM18" i="4" l="1"/>
  <c r="AO18" i="4" s="1"/>
  <c r="U13" i="1"/>
  <c r="Q13" i="1"/>
  <c r="U28" i="1"/>
  <c r="Q28" i="1"/>
  <c r="V28" i="1"/>
  <c r="W28" i="1" s="1"/>
  <c r="R28" i="1"/>
  <c r="S28" i="1" s="1"/>
  <c r="R13" i="1"/>
  <c r="S13" i="1" s="1"/>
  <c r="V13" i="1"/>
  <c r="W13" i="1" l="1"/>
  <c r="P52" i="1"/>
  <c r="N52" i="1"/>
  <c r="K52" i="1"/>
  <c r="P49" i="1"/>
  <c r="N49" i="1"/>
  <c r="K49" i="1"/>
  <c r="AA52" i="1" l="1"/>
  <c r="AA49" i="1"/>
  <c r="AC49" i="1"/>
  <c r="AC52" i="1"/>
  <c r="O49" i="1"/>
  <c r="O52" i="1"/>
  <c r="Q52" i="1"/>
  <c r="V49" i="1"/>
  <c r="Q49" i="1"/>
  <c r="R52" i="1"/>
  <c r="AE52" i="1" s="1"/>
  <c r="V52" i="1"/>
  <c r="U52" i="1"/>
  <c r="R49" i="1"/>
  <c r="AE49" i="1" s="1"/>
  <c r="U49" i="1"/>
  <c r="P54" i="1"/>
  <c r="N54" i="1"/>
  <c r="K54" i="1"/>
  <c r="P46" i="1"/>
  <c r="N46" i="1"/>
  <c r="K46" i="1"/>
  <c r="P43" i="1"/>
  <c r="N43" i="1"/>
  <c r="K43" i="1"/>
  <c r="N37" i="1"/>
  <c r="K37" i="1"/>
  <c r="P40" i="1"/>
  <c r="N40" i="1"/>
  <c r="K40" i="1"/>
  <c r="P37" i="1"/>
  <c r="K5" i="1"/>
  <c r="P7" i="1"/>
  <c r="N7" i="1"/>
  <c r="O7" i="1" s="1"/>
  <c r="K7" i="1"/>
  <c r="P5" i="1"/>
  <c r="N5" i="1"/>
  <c r="P3" i="1"/>
  <c r="N3" i="1"/>
  <c r="P22" i="1"/>
  <c r="N22" i="1"/>
  <c r="O22" i="1" s="1"/>
  <c r="K22" i="1"/>
  <c r="P20" i="1"/>
  <c r="Q20" i="1" s="1"/>
  <c r="N20" i="1"/>
  <c r="O20" i="1" s="1"/>
  <c r="K20" i="1"/>
  <c r="P18" i="1"/>
  <c r="Q18" i="1" s="1"/>
  <c r="N18" i="1"/>
  <c r="K18" i="1"/>
  <c r="AC3" i="1" l="1"/>
  <c r="Q3" i="1"/>
  <c r="AC5" i="1"/>
  <c r="Q5" i="1"/>
  <c r="AA18" i="1"/>
  <c r="O18" i="1"/>
  <c r="Q7" i="1"/>
  <c r="W7" i="1" s="1"/>
  <c r="Y15" i="1" s="1"/>
  <c r="AC46" i="1"/>
  <c r="AA43" i="1"/>
  <c r="AC22" i="1"/>
  <c r="AD22" i="1" s="1"/>
  <c r="Q22" i="1"/>
  <c r="AA5" i="1"/>
  <c r="O5" i="1"/>
  <c r="AA3" i="1"/>
  <c r="O3" i="1"/>
  <c r="AA37" i="1"/>
  <c r="AC43" i="1"/>
  <c r="AC18" i="1"/>
  <c r="AA46" i="1"/>
  <c r="AD5" i="1"/>
  <c r="AB3" i="1"/>
  <c r="AA20" i="1"/>
  <c r="AC20" i="1"/>
  <c r="AA54" i="1"/>
  <c r="AA7" i="1"/>
  <c r="AC37" i="1"/>
  <c r="AA22" i="1"/>
  <c r="AA40" i="1"/>
  <c r="AC54" i="1"/>
  <c r="AC7" i="1"/>
  <c r="AC40" i="1"/>
  <c r="O37" i="1"/>
  <c r="AD3" i="1"/>
  <c r="O46" i="1"/>
  <c r="O54" i="1"/>
  <c r="O40" i="1"/>
  <c r="Q54" i="1"/>
  <c r="Q46" i="1"/>
  <c r="Q37" i="1"/>
  <c r="O43" i="1"/>
  <c r="U22" i="1"/>
  <c r="X30" i="1" s="1"/>
  <c r="AB18" i="1"/>
  <c r="U18" i="1"/>
  <c r="X28" i="1" s="1"/>
  <c r="U20" i="1"/>
  <c r="X29" i="1" s="1"/>
  <c r="U3" i="1"/>
  <c r="X13" i="1" s="1"/>
  <c r="AB5" i="1"/>
  <c r="U5" i="1"/>
  <c r="X14" i="1" s="1"/>
  <c r="U7" i="1"/>
  <c r="X15" i="1" s="1"/>
  <c r="R46" i="1"/>
  <c r="AE46" i="1" s="1"/>
  <c r="V46" i="1"/>
  <c r="V7" i="1"/>
  <c r="V20" i="1"/>
  <c r="V54" i="1"/>
  <c r="S52" i="1"/>
  <c r="AF52" i="1" s="1"/>
  <c r="AG52" i="1" s="1"/>
  <c r="V5" i="1"/>
  <c r="V18" i="1"/>
  <c r="R22" i="1"/>
  <c r="V22" i="1"/>
  <c r="V40" i="1"/>
  <c r="W52" i="1"/>
  <c r="Q40" i="1"/>
  <c r="R43" i="1"/>
  <c r="AE43" i="1" s="1"/>
  <c r="V43" i="1"/>
  <c r="U43" i="1"/>
  <c r="Q43" i="1"/>
  <c r="V3" i="1"/>
  <c r="W3" i="1" s="1"/>
  <c r="S49" i="1"/>
  <c r="AF49" i="1" s="1"/>
  <c r="AG49" i="1" s="1"/>
  <c r="R37" i="1"/>
  <c r="AE37" i="1" s="1"/>
  <c r="V37" i="1"/>
  <c r="W49" i="1"/>
  <c r="U46" i="1"/>
  <c r="R3" i="1"/>
  <c r="R5" i="1"/>
  <c r="U54" i="1"/>
  <c r="R54" i="1"/>
  <c r="AE54" i="1" s="1"/>
  <c r="R40" i="1"/>
  <c r="AE40" i="1" s="1"/>
  <c r="U37" i="1"/>
  <c r="U40" i="1"/>
  <c r="R7" i="1"/>
  <c r="R18" i="1"/>
  <c r="R20" i="1"/>
  <c r="Y13" i="1" l="1"/>
  <c r="Y7" i="1"/>
  <c r="Y3" i="1"/>
  <c r="AE18" i="1"/>
  <c r="BA18" i="1" s="1"/>
  <c r="S18" i="1"/>
  <c r="AE20" i="1"/>
  <c r="AH20" i="1" s="1"/>
  <c r="S20" i="1"/>
  <c r="AE22" i="1"/>
  <c r="AH22" i="1" s="1"/>
  <c r="AL20" i="1" s="1"/>
  <c r="S22" i="1"/>
  <c r="AE7" i="1"/>
  <c r="AH7" i="1" s="1"/>
  <c r="S7" i="1"/>
  <c r="AA26" i="1"/>
  <c r="AC26" i="1"/>
  <c r="AG26" i="1" s="1"/>
  <c r="AJ26" i="1" s="1"/>
  <c r="AE5" i="1"/>
  <c r="AH5" i="1" s="1"/>
  <c r="AL5" i="1" s="1"/>
  <c r="S5" i="1"/>
  <c r="AA11" i="1"/>
  <c r="S3" i="1"/>
  <c r="AE3" i="1"/>
  <c r="AJ18" i="1" s="1"/>
  <c r="AI7" i="1"/>
  <c r="AC11" i="1"/>
  <c r="AD18" i="1"/>
  <c r="AD20" i="1"/>
  <c r="AB7" i="1"/>
  <c r="AB20" i="1"/>
  <c r="AB26" i="1" s="1"/>
  <c r="AF20" i="1"/>
  <c r="AG20" i="1" s="1"/>
  <c r="AH18" i="1"/>
  <c r="AD7" i="1"/>
  <c r="AB22" i="1"/>
  <c r="AF7" i="1"/>
  <c r="AG7" i="1" s="1"/>
  <c r="U11" i="1"/>
  <c r="W46" i="1"/>
  <c r="S37" i="1"/>
  <c r="AF37" i="1" s="1"/>
  <c r="AG37" i="1" s="1"/>
  <c r="W5" i="1"/>
  <c r="W37" i="1"/>
  <c r="W20" i="1"/>
  <c r="Y29" i="1" s="1"/>
  <c r="W18" i="1"/>
  <c r="Y28" i="1" s="1"/>
  <c r="U26" i="1"/>
  <c r="X3" i="1"/>
  <c r="W22" i="1"/>
  <c r="Y30" i="1" s="1"/>
  <c r="W40" i="1"/>
  <c r="S54" i="1"/>
  <c r="AF54" i="1" s="1"/>
  <c r="AG54" i="1" s="1"/>
  <c r="W43" i="1"/>
  <c r="S43" i="1"/>
  <c r="AF43" i="1" s="1"/>
  <c r="AG43" i="1" s="1"/>
  <c r="X7" i="1"/>
  <c r="W54" i="1"/>
  <c r="X18" i="1"/>
  <c r="AF5" i="1"/>
  <c r="AG5" i="1" s="1"/>
  <c r="X22" i="1"/>
  <c r="V32" i="1" s="1"/>
  <c r="V34" i="1" s="1"/>
  <c r="S40" i="1"/>
  <c r="AF40" i="1" s="1"/>
  <c r="AG40" i="1" s="1"/>
  <c r="S46" i="1"/>
  <c r="AF46" i="1" s="1"/>
  <c r="AG46" i="1" s="1"/>
  <c r="X20" i="1"/>
  <c r="X5" i="1"/>
  <c r="Y14" i="1" l="1"/>
  <c r="W11" i="1"/>
  <c r="AJ20" i="1"/>
  <c r="AH11" i="1"/>
  <c r="AE11" i="1"/>
  <c r="AI20" i="1"/>
  <c r="AF22" i="1"/>
  <c r="AH3" i="1"/>
  <c r="BA3" i="1"/>
  <c r="AF3" i="1"/>
  <c r="AH26" i="1"/>
  <c r="AE26" i="1"/>
  <c r="AJ22" i="1"/>
  <c r="AI5" i="1"/>
  <c r="AM5" i="1" s="1"/>
  <c r="AL18" i="1"/>
  <c r="AN18" i="1" s="1"/>
  <c r="BE18" i="1"/>
  <c r="AF18" i="1"/>
  <c r="BB18" i="1" s="1"/>
  <c r="AG11" i="1"/>
  <c r="AJ11" i="1" s="1"/>
  <c r="AD26" i="1"/>
  <c r="AI26" i="1" s="1"/>
  <c r="AK26" i="1" s="1"/>
  <c r="AD11" i="1"/>
  <c r="AI11" i="1" s="1"/>
  <c r="AK11" i="1" s="1"/>
  <c r="AB11" i="1"/>
  <c r="AG18" i="1"/>
  <c r="Y20" i="1"/>
  <c r="W26" i="1"/>
  <c r="Y5" i="1"/>
  <c r="Y18" i="1"/>
  <c r="Y22" i="1"/>
  <c r="W32" i="1" s="1"/>
  <c r="V33" i="1"/>
  <c r="V35" i="1"/>
  <c r="W30" i="1"/>
  <c r="BG18" i="1" l="1"/>
  <c r="BB3" i="1"/>
  <c r="AI3" i="1"/>
  <c r="AM3" i="1" s="1"/>
  <c r="AG3" i="1"/>
  <c r="BE3" i="1"/>
  <c r="AL3" i="1"/>
  <c r="AN3" i="1" s="1"/>
  <c r="BG3" i="1" s="1"/>
  <c r="AF11" i="1"/>
  <c r="AG22" i="1"/>
  <c r="AI22" i="1"/>
  <c r="AM20" i="1" s="1"/>
  <c r="AO3" i="1"/>
  <c r="AI18" i="1"/>
  <c r="AF26" i="1"/>
  <c r="W33" i="1"/>
  <c r="Z19" i="11"/>
  <c r="AC19" i="11" s="1"/>
  <c r="Z13" i="11"/>
  <c r="AE13" i="11" s="1"/>
  <c r="Z10" i="11"/>
  <c r="AC10" i="11" s="1"/>
  <c r="Z9" i="11"/>
  <c r="AE9" i="11" s="1"/>
  <c r="Z18" i="11"/>
  <c r="AB18" i="11" s="1"/>
  <c r="AG18" i="11" s="1"/>
  <c r="Z12" i="11"/>
  <c r="AB12" i="11" s="1"/>
  <c r="AG12" i="11" s="1"/>
  <c r="Z8" i="11"/>
  <c r="AC8" i="11" s="1"/>
  <c r="Z7" i="11"/>
  <c r="AE7" i="11" s="1"/>
  <c r="Z6" i="11"/>
  <c r="AD6" i="11" s="1"/>
  <c r="Z14" i="11"/>
  <c r="AD14" i="11" s="1"/>
  <c r="Z4" i="11"/>
  <c r="AC4" i="11" s="1"/>
  <c r="Z17" i="11"/>
  <c r="AB17" i="11" s="1"/>
  <c r="Z16" i="11"/>
  <c r="AC16" i="11" s="1"/>
  <c r="Z5" i="11"/>
  <c r="AE5" i="11" s="1"/>
  <c r="AD15" i="11"/>
  <c r="AC3" i="11"/>
  <c r="BF18" i="1" l="1"/>
  <c r="AM18" i="1"/>
  <c r="AO18" i="1" s="1"/>
  <c r="BH18" i="1" s="1"/>
  <c r="BH3" i="1"/>
  <c r="AD16" i="11"/>
  <c r="AB4" i="11"/>
  <c r="AG4" i="11" s="1"/>
  <c r="AB15" i="11"/>
  <c r="AG15" i="11" s="1"/>
  <c r="AB16" i="11"/>
  <c r="AG16" i="11" s="1"/>
  <c r="AD3" i="11"/>
  <c r="AB6" i="11"/>
  <c r="AG6" i="11" s="1"/>
  <c r="AE6" i="11"/>
  <c r="AE15" i="11"/>
  <c r="AB7" i="11"/>
  <c r="AG7" i="11" s="1"/>
  <c r="AC6" i="11"/>
  <c r="AC7" i="11"/>
  <c r="AD7" i="11"/>
  <c r="AB8" i="11"/>
  <c r="AE19" i="11"/>
  <c r="AB5" i="11"/>
  <c r="AG5" i="11" s="1"/>
  <c r="AC9" i="11"/>
  <c r="AB9" i="11"/>
  <c r="AG9" i="11" s="1"/>
  <c r="AB10" i="11"/>
  <c r="AG10" i="11" s="1"/>
  <c r="AC12" i="11"/>
  <c r="AD5" i="11"/>
  <c r="AC5" i="11"/>
  <c r="AC13" i="11"/>
  <c r="AB14" i="11"/>
  <c r="AG14" i="11" s="1"/>
  <c r="AD4" i="11"/>
  <c r="AE14" i="11"/>
  <c r="AD17" i="11"/>
  <c r="AB13" i="11"/>
  <c r="AG13" i="11" s="1"/>
  <c r="AB19" i="11"/>
  <c r="AG19" i="11" s="1"/>
  <c r="AE17" i="11"/>
  <c r="AD13" i="11"/>
  <c r="AE18" i="11"/>
  <c r="AE8" i="11"/>
  <c r="AD9" i="11"/>
  <c r="AE10" i="11"/>
  <c r="AD10" i="11"/>
  <c r="AC14" i="11"/>
  <c r="AD18" i="11"/>
  <c r="AD8" i="11"/>
  <c r="AE4" i="11"/>
  <c r="AE12" i="11"/>
  <c r="AC17" i="11"/>
  <c r="AD19" i="11"/>
  <c r="AD12" i="11"/>
  <c r="AC15" i="11"/>
  <c r="AE16" i="11"/>
  <c r="AC18" i="11"/>
  <c r="AF6" i="11" l="1"/>
  <c r="AF13" i="11"/>
  <c r="AF16" i="11"/>
  <c r="AH5" i="11" a="1"/>
  <c r="AH5" i="11" s="1"/>
  <c r="AF5" i="11"/>
  <c r="AF15" i="11"/>
  <c r="AF3" i="11"/>
  <c r="AF10" i="11"/>
  <c r="AF9" i="11"/>
  <c r="AF14" i="11"/>
  <c r="AF7" i="11"/>
  <c r="AF19" i="11"/>
  <c r="AF4" i="11"/>
  <c r="AF12" i="11"/>
  <c r="AF8" i="11"/>
  <c r="AF17" i="11"/>
  <c r="AF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<sst xmlns="http://schemas.openxmlformats.org/spreadsheetml/2006/main" count="1017" uniqueCount="261">
  <si>
    <t>moving before contact</t>
  </si>
  <si>
    <t>moving initial</t>
  </si>
  <si>
    <t>stationary final</t>
  </si>
  <si>
    <t>stationary after contact</t>
  </si>
  <si>
    <t>moving final</t>
  </si>
  <si>
    <t>moving after contact</t>
  </si>
  <si>
    <t>x</t>
  </si>
  <si>
    <t>y</t>
  </si>
  <si>
    <t>perimeter</t>
  </si>
  <si>
    <t>bx</t>
  </si>
  <si>
    <t>by</t>
  </si>
  <si>
    <t>width</t>
  </si>
  <si>
    <t>height</t>
  </si>
  <si>
    <t>slice</t>
  </si>
  <si>
    <t>GP1</t>
  </si>
  <si>
    <t>time (s)</t>
  </si>
  <si>
    <t>v</t>
  </si>
  <si>
    <t>distance</t>
  </si>
  <si>
    <t>vx</t>
  </si>
  <si>
    <t>vy</t>
  </si>
  <si>
    <t>moving after</t>
  </si>
  <si>
    <t>60 frames</t>
  </si>
  <si>
    <t>40 frames</t>
  </si>
  <si>
    <t>20 frames</t>
  </si>
  <si>
    <t>GP1 check if position choice affects resultant velocities</t>
  </si>
  <si>
    <t>GP2</t>
  </si>
  <si>
    <t>50 frames</t>
  </si>
  <si>
    <t>moving final (40 frames)</t>
  </si>
  <si>
    <t>moving before</t>
  </si>
  <si>
    <t>stationary before</t>
  </si>
  <si>
    <t>m</t>
  </si>
  <si>
    <t>stationary after</t>
  </si>
  <si>
    <t>collision angle</t>
  </si>
  <si>
    <r>
      <rPr>
        <sz val="11"/>
        <color theme="1"/>
        <rFont val="Calibri"/>
        <family val="2"/>
      </rPr>
      <t>σ</t>
    </r>
    <r>
      <rPr>
        <sz val="10"/>
        <color theme="1"/>
        <rFont val="Calibri"/>
        <family val="2"/>
      </rPr>
      <t>d</t>
    </r>
  </si>
  <si>
    <t>b</t>
  </si>
  <si>
    <t>σθ</t>
  </si>
  <si>
    <t>x^2+y^2</t>
  </si>
  <si>
    <t>θ</t>
  </si>
  <si>
    <t>θnorm</t>
  </si>
  <si>
    <t>σv/v</t>
  </si>
  <si>
    <t>σv</t>
  </si>
  <si>
    <t>sx</t>
  </si>
  <si>
    <t>sy</t>
  </si>
  <si>
    <t>σx</t>
  </si>
  <si>
    <t>σy</t>
  </si>
  <si>
    <t>σt</t>
  </si>
  <si>
    <t>σv||</t>
  </si>
  <si>
    <t>σθnorm</t>
  </si>
  <si>
    <t>TIME</t>
  </si>
  <si>
    <t>DISPLACEMENT</t>
  </si>
  <si>
    <t>VELOCITY</t>
  </si>
  <si>
    <t>ANGLE</t>
  </si>
  <si>
    <t>σt (±1 frame)</t>
  </si>
  <si>
    <t>moving final (80)</t>
  </si>
  <si>
    <t>moving final (60)</t>
  </si>
  <si>
    <t xml:space="preserve">stationary after </t>
  </si>
  <si>
    <t>moving final (32)</t>
  </si>
  <si>
    <t>middle after</t>
  </si>
  <si>
    <t>middle final</t>
  </si>
  <si>
    <t>middle before</t>
  </si>
  <si>
    <t>Exp</t>
  </si>
  <si>
    <t>GP</t>
  </si>
  <si>
    <t>7a</t>
  </si>
  <si>
    <t>7b</t>
  </si>
  <si>
    <t>8a</t>
  </si>
  <si>
    <t>8b</t>
  </si>
  <si>
    <t>observed</t>
  </si>
  <si>
    <t>Exp1</t>
  </si>
  <si>
    <t>Exp2</t>
  </si>
  <si>
    <t>Exp3</t>
  </si>
  <si>
    <t>Exp4</t>
  </si>
  <si>
    <t>Exp5</t>
  </si>
  <si>
    <t>Exp6</t>
  </si>
  <si>
    <t>Exp7</t>
  </si>
  <si>
    <t>Exp89</t>
  </si>
  <si>
    <t>handle dia</t>
  </si>
  <si>
    <t>stone dia</t>
  </si>
  <si>
    <t>stdev</t>
  </si>
  <si>
    <t>avg stdev</t>
  </si>
  <si>
    <t>Exp 1</t>
  </si>
  <si>
    <t>Exp 2</t>
  </si>
  <si>
    <t>Exp 3</t>
  </si>
  <si>
    <t>Exp 4</t>
  </si>
  <si>
    <t>Exp 5</t>
  </si>
  <si>
    <t>Exp 6</t>
  </si>
  <si>
    <t>β</t>
  </si>
  <si>
    <t>γ</t>
  </si>
  <si>
    <r>
      <t>90-</t>
    </r>
    <r>
      <rPr>
        <sz val="11"/>
        <color theme="1"/>
        <rFont val="Calibri"/>
        <family val="2"/>
      </rPr>
      <t>α</t>
    </r>
  </si>
  <si>
    <r>
      <t>resultant angle (</t>
    </r>
    <r>
      <rPr>
        <sz val="11"/>
        <color theme="1"/>
        <rFont val="Calibri"/>
        <family val="2"/>
      </rPr>
      <t>β-γ)</t>
    </r>
  </si>
  <si>
    <r>
      <t>Collision Angle</t>
    </r>
    <r>
      <rPr>
        <sz val="11"/>
        <color theme="1"/>
        <rFont val="Times New Roman"/>
        <family val="1"/>
      </rPr>
      <t xml:space="preserve"> (90-</t>
    </r>
    <r>
      <rPr>
        <sz val="11"/>
        <color theme="1"/>
        <rFont val="Calibri"/>
        <family val="2"/>
      </rPr>
      <t>α</t>
    </r>
    <r>
      <rPr>
        <sz val="11"/>
        <color theme="1"/>
        <rFont val="Times New Roman"/>
        <family val="1"/>
      </rPr>
      <t>)</t>
    </r>
  </si>
  <si>
    <t>α</t>
  </si>
  <si>
    <t>b/r</t>
  </si>
  <si>
    <t>g</t>
  </si>
  <si>
    <t>ζ</t>
  </si>
  <si>
    <t>ξ</t>
  </si>
  <si>
    <t>θμ</t>
  </si>
  <si>
    <t>ξ (calc)</t>
  </si>
  <si>
    <r>
      <t>DISTANCE ERROR FIT (2</t>
    </r>
    <r>
      <rPr>
        <b/>
        <sz val="11"/>
        <color theme="1"/>
        <rFont val="Calibri"/>
        <family val="2"/>
      </rPr>
      <t>σ</t>
    </r>
    <r>
      <rPr>
        <b/>
        <sz val="8.6999999999999993"/>
        <color theme="1"/>
        <rFont val="Calibri"/>
        <family val="2"/>
      </rPr>
      <t>)</t>
    </r>
  </si>
  <si>
    <t>e</t>
  </si>
  <si>
    <t>σvx</t>
  </si>
  <si>
    <t>σvy</t>
  </si>
  <si>
    <t>INELASTICITY</t>
  </si>
  <si>
    <t>|res|</t>
  </si>
  <si>
    <t>σ|res|</t>
  </si>
  <si>
    <r>
      <t>θ</t>
    </r>
    <r>
      <rPr>
        <sz val="10"/>
        <color theme="1"/>
        <rFont val="Calibri"/>
        <family val="2"/>
      </rPr>
      <t>res</t>
    </r>
    <r>
      <rPr>
        <sz val="11"/>
        <color theme="1"/>
        <rFont val="Calibri"/>
        <family val="2"/>
      </rPr>
      <t>norm</t>
    </r>
  </si>
  <si>
    <r>
      <t>θ</t>
    </r>
    <r>
      <rPr>
        <sz val="10"/>
        <color theme="1"/>
        <rFont val="Calibri"/>
        <family val="2"/>
      </rPr>
      <t>res</t>
    </r>
  </si>
  <si>
    <t>σθres</t>
  </si>
  <si>
    <t>σθresnorm</t>
  </si>
  <si>
    <t>Exp No.</t>
  </si>
  <si>
    <t>σHog-Hog</t>
  </si>
  <si>
    <t>contact width</t>
  </si>
  <si>
    <t>contact height</t>
  </si>
  <si>
    <t>Hog-Hog (s)</t>
  </si>
  <si>
    <t>vHog-Hog</t>
  </si>
  <si>
    <t>v(ms-1)</t>
  </si>
  <si>
    <t>σv(ms-1)</t>
  </si>
  <si>
    <t>vHog-Hog conversion</t>
  </si>
  <si>
    <t>dx</t>
  </si>
  <si>
    <t>a</t>
  </si>
  <si>
    <t>vcalc</t>
  </si>
  <si>
    <t>residual</t>
  </si>
  <si>
    <t>σm</t>
  </si>
  <si>
    <t>μ</t>
  </si>
  <si>
    <t>vCloseHog</t>
  </si>
  <si>
    <t>1:1 line</t>
  </si>
  <si>
    <t>σ</t>
  </si>
  <si>
    <t>convert average hog-hog speed to speed at closest hog line, assuming constant acceleration</t>
  </si>
  <si>
    <t>df/dv</t>
  </si>
  <si>
    <t>df/dx</t>
  </si>
  <si>
    <t>df/da</t>
  </si>
  <si>
    <t>±</t>
  </si>
  <si>
    <t>best fit mu ~0.0085</t>
  </si>
  <si>
    <t>observed area</t>
  </si>
  <si>
    <t>ellipse</t>
  </si>
  <si>
    <t>square</t>
  </si>
  <si>
    <t>v|| (ms-1)</t>
  </si>
  <si>
    <t>Energy loss (J)</t>
  </si>
  <si>
    <t>N/A</t>
  </si>
  <si>
    <t>Lowosowski 2015</t>
  </si>
  <si>
    <t>contact area</t>
  </si>
  <si>
    <t>Experiment</t>
  </si>
  <si>
    <t>1.28±.04</t>
  </si>
  <si>
    <t>2.8±.2</t>
  </si>
  <si>
    <t>2.8±.1</t>
  </si>
  <si>
    <t>0.52±.04</t>
  </si>
  <si>
    <t>2.1±.2</t>
  </si>
  <si>
    <t>1.89±.08</t>
  </si>
  <si>
    <t>2.9±.2</t>
  </si>
  <si>
    <t>1.32±.09</t>
  </si>
  <si>
    <t>experiment #</t>
  </si>
  <si>
    <t>stone #</t>
  </si>
  <si>
    <t>mass (kg)</t>
  </si>
  <si>
    <t>circumference (cm)</t>
  </si>
  <si>
    <t>average</t>
  </si>
  <si>
    <t>sigma</t>
  </si>
  <si>
    <t>d (cm)</t>
  </si>
  <si>
    <t>r (cm)</t>
  </si>
  <si>
    <t>a (m)</t>
  </si>
  <si>
    <t>b (m)</t>
  </si>
  <si>
    <t>pm (Pa, nu = 0.2)</t>
  </si>
  <si>
    <t>pm (MPa)</t>
  </si>
  <si>
    <t>∆ (m)</t>
  </si>
  <si>
    <t>RA (m)</t>
  </si>
  <si>
    <t>po (MPa)</t>
  </si>
  <si>
    <t>∆ (mm)</t>
  </si>
  <si>
    <t>Nichol 2001</t>
  </si>
  <si>
    <t>Exp. 1.1</t>
  </si>
  <si>
    <t>Exp. 1.2</t>
  </si>
  <si>
    <t>Exp. 1.3</t>
  </si>
  <si>
    <t>Exp. 1.4</t>
  </si>
  <si>
    <t>Exp. 1.5</t>
  </si>
  <si>
    <t>Exp. 1.6</t>
  </si>
  <si>
    <t>Exp. 1.7</t>
  </si>
  <si>
    <t>Exp. 1.8</t>
  </si>
  <si>
    <t xml:space="preserve">These values correspond to stone diameter estimates from the image analysis of GoPro data. </t>
  </si>
  <si>
    <t>These values are used for QAQC of data.</t>
  </si>
  <si>
    <t>F</t>
  </si>
  <si>
    <t>a (mm)</t>
  </si>
  <si>
    <t>b (mm)</t>
  </si>
  <si>
    <t>F (kN)</t>
  </si>
  <si>
    <t>COR</t>
  </si>
  <si>
    <t>σCOR</t>
  </si>
  <si>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vHog-Hog</t>
    </r>
  </si>
  <si>
    <t>KE (J)</t>
  </si>
  <si>
    <t>m (kg)</t>
  </si>
  <si>
    <r>
      <t>σ</t>
    </r>
    <r>
      <rPr>
        <sz val="7.7"/>
        <color theme="1"/>
        <rFont val="Calibri"/>
        <family val="2"/>
      </rPr>
      <t>m</t>
    </r>
    <r>
      <rPr>
        <sz val="11"/>
        <color theme="1"/>
        <rFont val="Calibri"/>
        <family val="2"/>
      </rPr>
      <t xml:space="preserve"> (kg)</t>
    </r>
  </si>
  <si>
    <t>σcollision angle</t>
  </si>
  <si>
    <t>%</t>
  </si>
  <si>
    <t>1.8.1</t>
  </si>
  <si>
    <t>1.8.2</t>
  </si>
  <si>
    <t>stationary stone</t>
  </si>
  <si>
    <t>t</t>
  </si>
  <si>
    <t>moving stone</t>
  </si>
  <si>
    <t>v1'-v2'?</t>
  </si>
  <si>
    <r>
      <t>2.8</t>
    </r>
    <r>
      <rPr>
        <sz val="11"/>
        <color theme="1"/>
        <rFont val="Calibri"/>
        <family val="2"/>
      </rPr>
      <t>±0.2</t>
    </r>
  </si>
  <si>
    <t>moving stone after</t>
  </si>
  <si>
    <t>0.1±0.2</t>
  </si>
  <si>
    <t>v1</t>
  </si>
  <si>
    <t>σv1</t>
  </si>
  <si>
    <t>v1'</t>
  </si>
  <si>
    <t>σv1'</t>
  </si>
  <si>
    <t>A</t>
  </si>
  <si>
    <t>σA</t>
  </si>
  <si>
    <t>mv1</t>
  </si>
  <si>
    <t>σmv1</t>
  </si>
  <si>
    <t>mv1'</t>
  </si>
  <si>
    <t>σmv1'</t>
  </si>
  <si>
    <t>ΔJ</t>
  </si>
  <si>
    <t>σΔJ</t>
  </si>
  <si>
    <t>σF</t>
  </si>
  <si>
    <t>σσ</t>
  </si>
  <si>
    <t>using high speed camera</t>
  </si>
  <si>
    <t>using 2.13 GoPro</t>
  </si>
  <si>
    <t>using 1.3 GoPro</t>
  </si>
  <si>
    <t>σ (MPa)</t>
  </si>
  <si>
    <t>E (MPa)</t>
  </si>
  <si>
    <t>σE</t>
  </si>
  <si>
    <t>ε</t>
  </si>
  <si>
    <t>σε</t>
  </si>
  <si>
    <t>From stress-strain curve</t>
  </si>
  <si>
    <t>σε̇</t>
  </si>
  <si>
    <t>̇ε̇ (s-1)</t>
  </si>
  <si>
    <t>ε (%)</t>
  </si>
  <si>
    <t>σε (%)</t>
  </si>
  <si>
    <r>
      <t>v</t>
    </r>
    <r>
      <rPr>
        <b/>
        <vertAlign val="subscript"/>
        <sz val="11"/>
        <color theme="1"/>
        <rFont val="Calibri"/>
        <family val="2"/>
      </rPr>
      <t>n</t>
    </r>
  </si>
  <si>
    <r>
      <t>σv</t>
    </r>
    <r>
      <rPr>
        <vertAlign val="subscript"/>
        <sz val="11"/>
        <color theme="1"/>
        <rFont val="Calibri"/>
        <family val="2"/>
      </rPr>
      <t>n</t>
    </r>
  </si>
  <si>
    <r>
      <t>Δv</t>
    </r>
    <r>
      <rPr>
        <b/>
        <vertAlign val="subscript"/>
        <sz val="11"/>
        <color theme="1"/>
        <rFont val="Calibri"/>
        <family val="2"/>
      </rPr>
      <t>n</t>
    </r>
  </si>
  <si>
    <r>
      <t>σΔv</t>
    </r>
    <r>
      <rPr>
        <vertAlign val="subscript"/>
        <sz val="11"/>
        <color theme="1"/>
        <rFont val="Calibri"/>
        <family val="2"/>
      </rPr>
      <t>n</t>
    </r>
  </si>
  <si>
    <t>∆l (m)</t>
  </si>
  <si>
    <t>l0 (m)</t>
  </si>
  <si>
    <t>l0 (mm)</t>
  </si>
  <si>
    <t>Exp. 2.13</t>
  </si>
  <si>
    <t>thh</t>
  </si>
  <si>
    <t>Exp. No.</t>
  </si>
  <si>
    <t>vhh</t>
  </si>
  <si>
    <t>vdc</t>
  </si>
  <si>
    <t>σvhh</t>
  </si>
  <si>
    <t>σvdc</t>
  </si>
  <si>
    <t>vexp</t>
  </si>
  <si>
    <t>σvexp</t>
  </si>
  <si>
    <t>vn</t>
  </si>
  <si>
    <t>σvn</t>
  </si>
  <si>
    <t>ΔT</t>
  </si>
  <si>
    <r>
      <t>σ</t>
    </r>
    <r>
      <rPr>
        <sz val="7.7"/>
        <color theme="1"/>
        <rFont val="Calibri"/>
        <family val="2"/>
      </rPr>
      <t>ΔT</t>
    </r>
  </si>
  <si>
    <t>ΔT/T</t>
  </si>
  <si>
    <r>
      <t>σ</t>
    </r>
    <r>
      <rPr>
        <sz val="7.7"/>
        <color theme="1"/>
        <rFont val="Calibri"/>
        <family val="2"/>
      </rPr>
      <t>ΔT</t>
    </r>
    <r>
      <rPr>
        <sz val="11"/>
        <color theme="1"/>
        <rFont val="Calibri"/>
        <family val="2"/>
      </rPr>
      <t>/T</t>
    </r>
  </si>
  <si>
    <t>1-COR^2</t>
  </si>
  <si>
    <t>∆/2 (m)</t>
  </si>
  <si>
    <t>-a (m)</t>
  </si>
  <si>
    <t>position and velocity</t>
  </si>
  <si>
    <t>v (m/s)</t>
  </si>
  <si>
    <t>E (J)</t>
  </si>
  <si>
    <t>ΔE (J)</t>
  </si>
  <si>
    <t>ΔE (%)</t>
  </si>
  <si>
    <t>COF</t>
  </si>
  <si>
    <t>ΔE (adjusted for work due to friction, J)</t>
  </si>
  <si>
    <t>σV</t>
  </si>
  <si>
    <t>Ff (N)</t>
  </si>
  <si>
    <t>Wf (J)</t>
  </si>
  <si>
    <t>σFf</t>
  </si>
  <si>
    <t>σWf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</si>
</sst>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"/>
    <numFmt numFmtId="166" formatCode="0.000"/>
    <numFmt numFmtId="167" formatCode="0.0000000"/>
    <numFmt numFmtId="168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8.6999999999999993"/>
      <color theme="1"/>
      <name val="Calibri"/>
      <family val="2"/>
    </font>
    <font>
      <sz val="7.7"/>
      <color theme="1"/>
      <name val="Calibri"/>
      <family val="2"/>
    </font>
    <font>
      <b/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quotePrefix="1" applyNumberForma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8" fontId="0" fillId="0" borderId="0" xfId="0" applyNumberForma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858669340921765"/>
          <c:y val="7.9445372714303325E-2"/>
          <c:w val="0.80332053186597252"/>
          <c:h val="0.78911820155603207"/>
        </c:manualLayout>
      </c:layout>
      <c:scatterChart>
        <c:scatterStyle val="lineMarker"/>
        <c:varyColors val="0"/>
        <c:ser>
          <c:idx val="0"/>
          <c:order val="0"/>
          <c:tx>
            <c:v>GoPro1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12700">
                <a:solidFill>
                  <a:srgbClr val="0070C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velocity!$T$3:$T$10</c:f>
                <c:numCache>
                  <c:formatCode>General</c:formatCode>
                  <c:ptCount val="8"/>
                  <c:pt idx="0">
                    <c:v>3.3684590765054021E-2</c:v>
                  </c:pt>
                  <c:pt idx="1">
                    <c:v>6.3783567576699007E-2</c:v>
                  </c:pt>
                  <c:pt idx="2">
                    <c:v>0.14947762463342723</c:v>
                  </c:pt>
                  <c:pt idx="3">
                    <c:v>9.3269141401449651E-2</c:v>
                  </c:pt>
                  <c:pt idx="4">
                    <c:v>3.6942036753648995E-2</c:v>
                  </c:pt>
                  <c:pt idx="5">
                    <c:v>7.0798579734745511E-3</c:v>
                  </c:pt>
                  <c:pt idx="6">
                    <c:v>0.14227412365682021</c:v>
                  </c:pt>
                  <c:pt idx="7">
                    <c:v>0.16617123889535562</c:v>
                  </c:pt>
                </c:numCache>
              </c:numRef>
            </c:plus>
            <c:minus>
              <c:numRef>
                <c:f>velocity!$T$3:$T$10</c:f>
                <c:numCache>
                  <c:formatCode>General</c:formatCode>
                  <c:ptCount val="8"/>
                  <c:pt idx="0">
                    <c:v>3.3684590765054021E-2</c:v>
                  </c:pt>
                  <c:pt idx="1">
                    <c:v>6.3783567576699007E-2</c:v>
                  </c:pt>
                  <c:pt idx="2">
                    <c:v>0.14947762463342723</c:v>
                  </c:pt>
                  <c:pt idx="3">
                    <c:v>9.3269141401449651E-2</c:v>
                  </c:pt>
                  <c:pt idx="4">
                    <c:v>3.6942036753648995E-2</c:v>
                  </c:pt>
                  <c:pt idx="5">
                    <c:v>7.0798579734745511E-3</c:v>
                  </c:pt>
                  <c:pt idx="6">
                    <c:v>0.14227412365682021</c:v>
                  </c:pt>
                  <c:pt idx="7">
                    <c:v>0.16617123889535562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velocity!$R$3:$R$10</c:f>
                <c:numCache>
                  <c:formatCode>General</c:formatCode>
                  <c:ptCount val="8"/>
                  <c:pt idx="0">
                    <c:v>4.1051072060578626E-2</c:v>
                  </c:pt>
                  <c:pt idx="1">
                    <c:v>5.825405083989893E-2</c:v>
                  </c:pt>
                  <c:pt idx="2">
                    <c:v>0.10582635700783148</c:v>
                  </c:pt>
                  <c:pt idx="3">
                    <c:v>6.7393577571712202E-2</c:v>
                  </c:pt>
                  <c:pt idx="4">
                    <c:v>3.9809523809523809E-2</c:v>
                  </c:pt>
                  <c:pt idx="5">
                    <c:v>3.0479166666666668E-2</c:v>
                  </c:pt>
                  <c:pt idx="6">
                    <c:v>0.10199007287328973</c:v>
                  </c:pt>
                  <c:pt idx="7">
                    <c:v>9.7191220238095247E-2</c:v>
                  </c:pt>
                </c:numCache>
              </c:numRef>
            </c:plus>
            <c:minus>
              <c:numRef>
                <c:f>velocity!$R$3:$R$10</c:f>
                <c:numCache>
                  <c:formatCode>General</c:formatCode>
                  <c:ptCount val="8"/>
                  <c:pt idx="0">
                    <c:v>4.1051072060578626E-2</c:v>
                  </c:pt>
                  <c:pt idx="1">
                    <c:v>5.825405083989893E-2</c:v>
                  </c:pt>
                  <c:pt idx="2">
                    <c:v>0.10582635700783148</c:v>
                  </c:pt>
                  <c:pt idx="3">
                    <c:v>6.7393577571712202E-2</c:v>
                  </c:pt>
                  <c:pt idx="4">
                    <c:v>3.9809523809523809E-2</c:v>
                  </c:pt>
                  <c:pt idx="5">
                    <c:v>3.0479166666666668E-2</c:v>
                  </c:pt>
                  <c:pt idx="6">
                    <c:v>0.10199007287328973</c:v>
                  </c:pt>
                  <c:pt idx="7">
                    <c:v>9.7191220238095247E-2</c:v>
                  </c:pt>
                </c:numCache>
              </c:numRef>
            </c:minus>
          </c:errBars>
          <c:xVal>
            <c:numRef>
              <c:f>velocity!$Q$3:$Q$10</c:f>
              <c:numCache>
                <c:formatCode>General</c:formatCode>
                <c:ptCount val="8"/>
                <c:pt idx="0">
                  <c:v>2.1223404255319149</c:v>
                </c:pt>
                <c:pt idx="1">
                  <c:v>2.528225806451613</c:v>
                </c:pt>
                <c:pt idx="2">
                  <c:v>3.4076086956521738</c:v>
                </c:pt>
                <c:pt idx="3">
                  <c:v>2.7193308550185873</c:v>
                </c:pt>
                <c:pt idx="4">
                  <c:v>2.09</c:v>
                </c:pt>
                <c:pt idx="5">
                  <c:v>1.8287500000000001</c:v>
                </c:pt>
                <c:pt idx="6">
                  <c:v>3.3452743902439028</c:v>
                </c:pt>
                <c:pt idx="7">
                  <c:v>3.265625</c:v>
                </c:pt>
              </c:numCache>
            </c:numRef>
          </c:xVal>
          <c:yVal>
            <c:numRef>
              <c:f>velocity!$S$3:$S$10</c:f>
              <c:numCache>
                <c:formatCode>General</c:formatCode>
                <c:ptCount val="8"/>
                <c:pt idx="0">
                  <c:v>1.3628288518147991</c:v>
                </c:pt>
                <c:pt idx="1">
                  <c:v>1.892614266486057</c:v>
                </c:pt>
                <c:pt idx="2">
                  <c:v>2.9342147160697016</c:v>
                </c:pt>
                <c:pt idx="3">
                  <c:v>2.1767177125203898</c:v>
                </c:pt>
                <c:pt idx="4">
                  <c:v>1.2784961947881015</c:v>
                </c:pt>
                <c:pt idx="5">
                  <c:v>0.53669909480764622</c:v>
                </c:pt>
                <c:pt idx="6">
                  <c:v>2.791773629791642</c:v>
                </c:pt>
                <c:pt idx="7">
                  <c:v>2.7832181219205316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56-4A6F-A4A7-00B4F725B922}"/>
            </c:ext>
          </c:extLst>
        </c:ser>
        <c:ser>
          <c:idx val="1"/>
          <c:order val="1"/>
          <c:tx>
            <c:v>GoPro2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velocity!$T$12:$T$19</c:f>
                <c:numCache>
                  <c:formatCode>General</c:formatCode>
                  <c:ptCount val="8"/>
                  <c:pt idx="0">
                    <c:v>4.4958487377661963E-2</c:v>
                  </c:pt>
                  <c:pt idx="1">
                    <c:v>8.3832182069901243E-2</c:v>
                  </c:pt>
                  <c:pt idx="2">
                    <c:v>0.19268847360370744</c:v>
                  </c:pt>
                  <c:pt idx="3">
                    <c:v>0.12852263718213464</c:v>
                  </c:pt>
                  <c:pt idx="4">
                    <c:v>5.3969947079822382E-2</c:v>
                  </c:pt>
                  <c:pt idx="5">
                    <c:v>1.2429031386016103E-2</c:v>
                  </c:pt>
                  <c:pt idx="6">
                    <c:v>0.19220290464043049</c:v>
                  </c:pt>
                  <c:pt idx="7">
                    <c:v>0.21879132429670706</c:v>
                  </c:pt>
                </c:numCache>
              </c:numRef>
            </c:plus>
            <c:minus>
              <c:numRef>
                <c:f>velocity!$T$12:$T$19</c:f>
                <c:numCache>
                  <c:formatCode>General</c:formatCode>
                  <c:ptCount val="8"/>
                  <c:pt idx="0">
                    <c:v>4.4958487377661963E-2</c:v>
                  </c:pt>
                  <c:pt idx="1">
                    <c:v>8.3832182069901243E-2</c:v>
                  </c:pt>
                  <c:pt idx="2">
                    <c:v>0.19268847360370744</c:v>
                  </c:pt>
                  <c:pt idx="3">
                    <c:v>0.12852263718213464</c:v>
                  </c:pt>
                  <c:pt idx="4">
                    <c:v>5.3969947079822382E-2</c:v>
                  </c:pt>
                  <c:pt idx="5">
                    <c:v>1.2429031386016103E-2</c:v>
                  </c:pt>
                  <c:pt idx="6">
                    <c:v>0.19220290464043049</c:v>
                  </c:pt>
                  <c:pt idx="7">
                    <c:v>0.21879132429670706</c:v>
                  </c:pt>
                </c:numCache>
              </c:numRef>
            </c:minus>
            <c:spPr>
              <a:ln w="12700"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velocity!$R$12:$R$19</c:f>
                <c:numCache>
                  <c:formatCode>General</c:formatCode>
                  <c:ptCount val="8"/>
                  <c:pt idx="0">
                    <c:v>4.1051072060578626E-2</c:v>
                  </c:pt>
                  <c:pt idx="1">
                    <c:v>5.825405083989893E-2</c:v>
                  </c:pt>
                  <c:pt idx="2">
                    <c:v>0.10582635700783148</c:v>
                  </c:pt>
                  <c:pt idx="3">
                    <c:v>6.7393577571712202E-2</c:v>
                  </c:pt>
                  <c:pt idx="4">
                    <c:v>3.9809523809523809E-2</c:v>
                  </c:pt>
                  <c:pt idx="5">
                    <c:v>3.0479166666666668E-2</c:v>
                  </c:pt>
                  <c:pt idx="6">
                    <c:v>0.10199007287328973</c:v>
                  </c:pt>
                  <c:pt idx="7">
                    <c:v>9.7191220238095247E-2</c:v>
                  </c:pt>
                </c:numCache>
              </c:numRef>
            </c:plus>
            <c:minus>
              <c:numRef>
                <c:f>velocity!$R$12:$R$19</c:f>
                <c:numCache>
                  <c:formatCode>General</c:formatCode>
                  <c:ptCount val="8"/>
                  <c:pt idx="0">
                    <c:v>4.1051072060578626E-2</c:v>
                  </c:pt>
                  <c:pt idx="1">
                    <c:v>5.825405083989893E-2</c:v>
                  </c:pt>
                  <c:pt idx="2">
                    <c:v>0.10582635700783148</c:v>
                  </c:pt>
                  <c:pt idx="3">
                    <c:v>6.7393577571712202E-2</c:v>
                  </c:pt>
                  <c:pt idx="4">
                    <c:v>3.9809523809523809E-2</c:v>
                  </c:pt>
                  <c:pt idx="5">
                    <c:v>3.0479166666666668E-2</c:v>
                  </c:pt>
                  <c:pt idx="6">
                    <c:v>0.10199007287328973</c:v>
                  </c:pt>
                  <c:pt idx="7">
                    <c:v>9.7191220238095247E-2</c:v>
                  </c:pt>
                </c:numCache>
              </c:numRef>
            </c:minus>
          </c:errBars>
          <c:xVal>
            <c:numRef>
              <c:f>velocity!$Q$12:$Q$19</c:f>
              <c:numCache>
                <c:formatCode>General</c:formatCode>
                <c:ptCount val="8"/>
                <c:pt idx="0">
                  <c:v>2.1223404255319149</c:v>
                </c:pt>
                <c:pt idx="1">
                  <c:v>2.528225806451613</c:v>
                </c:pt>
                <c:pt idx="2">
                  <c:v>3.4076086956521738</c:v>
                </c:pt>
                <c:pt idx="3">
                  <c:v>2.7193308550185873</c:v>
                </c:pt>
                <c:pt idx="4">
                  <c:v>2.09</c:v>
                </c:pt>
                <c:pt idx="5">
                  <c:v>1.8287500000000001</c:v>
                </c:pt>
                <c:pt idx="6">
                  <c:v>3.3452743902439028</c:v>
                </c:pt>
                <c:pt idx="7">
                  <c:v>3.265625</c:v>
                </c:pt>
              </c:numCache>
            </c:numRef>
          </c:xVal>
          <c:yVal>
            <c:numRef>
              <c:f>velocity!$S$12:$S$19</c:f>
              <c:numCache>
                <c:formatCode>General</c:formatCode>
                <c:ptCount val="8"/>
                <c:pt idx="0">
                  <c:v>1.3439578545034219</c:v>
                </c:pt>
                <c:pt idx="1">
                  <c:v>1.8560799982759364</c:v>
                </c:pt>
                <c:pt idx="2">
                  <c:v>2.9231917487568277</c:v>
                </c:pt>
                <c:pt idx="3">
                  <c:v>2.1552622939112434</c:v>
                </c:pt>
                <c:pt idx="4">
                  <c:v>1.2482481551318727</c:v>
                </c:pt>
                <c:pt idx="5">
                  <c:v>0.52005165032741174</c:v>
                </c:pt>
                <c:pt idx="6">
                  <c:v>2.7447812298979311</c:v>
                </c:pt>
                <c:pt idx="7">
                  <c:v>2.7341158258406733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56-4A6F-A4A7-00B4F725B922}"/>
            </c:ext>
          </c:extLst>
        </c:ser>
        <c:ser>
          <c:idx val="3"/>
          <c:order val="2"/>
          <c:tx>
            <c:strRef>
              <c:f>velocity!$X$12</c:f>
              <c:strCache>
                <c:ptCount val="1"/>
                <c:pt idx="0">
                  <c:v>Distance-corrected (μ = 0.01)</c:v>
                </c:pt>
              </c:strCache>
            </c:strRef>
          </c:tx>
          <c:spPr>
            <a:ln w="19050">
              <a:noFill/>
            </a:ln>
          </c:spPr>
          <c:marker>
            <c:symbol val="x"/>
            <c:size val="7"/>
            <c:spPr>
              <a:ln w="12700">
                <a:solidFill>
                  <a:sysClr val="window" lastClr="FFFFFF">
                    <a:lumMod val="50000"/>
                  </a:sysClr>
                </a:solidFill>
              </a:ln>
            </c:spPr>
          </c:marker>
          <c:trendline>
            <c:spPr>
              <a:ln>
                <a:solidFill>
                  <a:sysClr val="windowText" lastClr="000000">
                    <a:lumMod val="50000"/>
                    <a:lumOff val="50000"/>
                  </a:sysClr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0.33637101835585237"/>
                  <c:y val="0.23430566973079039"/>
                </c:manualLayout>
              </c:layout>
              <c:tx>
                <c:rich>
                  <a:bodyPr/>
                  <a:lstStyle/>
                  <a:p>
                    <a:pPr>
                      <a:defRPr sz="120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defRPr>
                    </a:pPr>
                    <a:r>
                      <a:rPr lang="en-US" sz="1200" i="1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y</a:t>
                    </a:r>
                    <a:r>
                      <a:rPr lang="en-US" sz="1200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 = 0.9651</a:t>
                    </a:r>
                    <a:r>
                      <a:rPr lang="en-US" sz="1200" i="1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x</a:t>
                    </a:r>
                    <a:r>
                      <a:rPr lang="en-US" sz="1200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 + 0.1429</a:t>
                    </a:r>
                    <a:br>
                      <a:rPr lang="en-US" sz="1200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</a:br>
                    <a:r>
                      <a:rPr lang="en-US" sz="1200" i="1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R</a:t>
                    </a:r>
                    <a:r>
                      <a:rPr lang="en-US" sz="1200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² = 0.9924</a:t>
                    </a:r>
                    <a:endParaRPr lang="en-US" sz="1200">
                      <a:latin typeface="CMU Serif" panose="02000603000000000000" pitchFamily="2" charset="0"/>
                      <a:ea typeface="CMU Serif" panose="02000603000000000000" pitchFamily="2" charset="0"/>
                      <a:cs typeface="CMU Serif" panose="02000603000000000000" pitchFamily="2" charset="0"/>
                    </a:endParaRPr>
                  </a:p>
                </c:rich>
              </c:tx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velocity!$T$3:$T$19</c:f>
                <c:numCache>
                  <c:formatCode>General</c:formatCode>
                  <c:ptCount val="17"/>
                  <c:pt idx="0">
                    <c:v>3.3684590765054021E-2</c:v>
                  </c:pt>
                  <c:pt idx="1">
                    <c:v>6.3783567576699007E-2</c:v>
                  </c:pt>
                  <c:pt idx="2">
                    <c:v>0.14947762463342723</c:v>
                  </c:pt>
                  <c:pt idx="3">
                    <c:v>9.3269141401449651E-2</c:v>
                  </c:pt>
                  <c:pt idx="4">
                    <c:v>3.6942036753648995E-2</c:v>
                  </c:pt>
                  <c:pt idx="5">
                    <c:v>7.0798579734745511E-3</c:v>
                  </c:pt>
                  <c:pt idx="6">
                    <c:v>0.14227412365682021</c:v>
                  </c:pt>
                  <c:pt idx="7">
                    <c:v>0.16617123889535562</c:v>
                  </c:pt>
                  <c:pt idx="8">
                    <c:v>0</c:v>
                  </c:pt>
                  <c:pt idx="9">
                    <c:v>4.4958487377661963E-2</c:v>
                  </c:pt>
                  <c:pt idx="10">
                    <c:v>8.3832182069901243E-2</c:v>
                  </c:pt>
                  <c:pt idx="11">
                    <c:v>0.19268847360370744</c:v>
                  </c:pt>
                  <c:pt idx="12">
                    <c:v>0.12852263718213464</c:v>
                  </c:pt>
                  <c:pt idx="13">
                    <c:v>5.3969947079822382E-2</c:v>
                  </c:pt>
                  <c:pt idx="14">
                    <c:v>1.2429031386016103E-2</c:v>
                  </c:pt>
                  <c:pt idx="15">
                    <c:v>0.19220290464043049</c:v>
                  </c:pt>
                  <c:pt idx="16">
                    <c:v>0.21879132429670706</c:v>
                  </c:pt>
                </c:numCache>
              </c:numRef>
            </c:plus>
            <c:minus>
              <c:numRef>
                <c:f>velocity!$T$3:$T$19</c:f>
                <c:numCache>
                  <c:formatCode>General</c:formatCode>
                  <c:ptCount val="17"/>
                  <c:pt idx="0">
                    <c:v>3.3684590765054021E-2</c:v>
                  </c:pt>
                  <c:pt idx="1">
                    <c:v>6.3783567576699007E-2</c:v>
                  </c:pt>
                  <c:pt idx="2">
                    <c:v>0.14947762463342723</c:v>
                  </c:pt>
                  <c:pt idx="3">
                    <c:v>9.3269141401449651E-2</c:v>
                  </c:pt>
                  <c:pt idx="4">
                    <c:v>3.6942036753648995E-2</c:v>
                  </c:pt>
                  <c:pt idx="5">
                    <c:v>7.0798579734745511E-3</c:v>
                  </c:pt>
                  <c:pt idx="6">
                    <c:v>0.14227412365682021</c:v>
                  </c:pt>
                  <c:pt idx="7">
                    <c:v>0.16617123889535562</c:v>
                  </c:pt>
                  <c:pt idx="8">
                    <c:v>0</c:v>
                  </c:pt>
                  <c:pt idx="9">
                    <c:v>4.4958487377661963E-2</c:v>
                  </c:pt>
                  <c:pt idx="10">
                    <c:v>8.3832182069901243E-2</c:v>
                  </c:pt>
                  <c:pt idx="11">
                    <c:v>0.19268847360370744</c:v>
                  </c:pt>
                  <c:pt idx="12">
                    <c:v>0.12852263718213464</c:v>
                  </c:pt>
                  <c:pt idx="13">
                    <c:v>5.3969947079822382E-2</c:v>
                  </c:pt>
                  <c:pt idx="14">
                    <c:v>1.2429031386016103E-2</c:v>
                  </c:pt>
                  <c:pt idx="15">
                    <c:v>0.19220290464043049</c:v>
                  </c:pt>
                  <c:pt idx="16">
                    <c:v>0.21879132429670706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velocity!$AF$3:$AF$19</c:f>
                <c:numCache>
                  <c:formatCode>General</c:formatCode>
                  <c:ptCount val="17"/>
                  <c:pt idx="0">
                    <c:v>6.3816402969125621E-2</c:v>
                  </c:pt>
                  <c:pt idx="1">
                    <c:v>7.174352107981781E-2</c:v>
                  </c:pt>
                  <c:pt idx="2">
                    <c:v>0.11448721951339845</c:v>
                  </c:pt>
                  <c:pt idx="3">
                    <c:v>7.9070384150223022E-2</c:v>
                  </c:pt>
                  <c:pt idx="4">
                    <c:v>6.4101336249458504E-2</c:v>
                  </c:pt>
                  <c:pt idx="5">
                    <c:v>9.290170600428943E-2</c:v>
                  </c:pt>
                  <c:pt idx="6">
                    <c:v>0.11081073129198461</c:v>
                  </c:pt>
                  <c:pt idx="7">
                    <c:v>0.10623714493554408</c:v>
                  </c:pt>
                  <c:pt idx="9">
                    <c:v>6.3816402969125621E-2</c:v>
                  </c:pt>
                  <c:pt idx="10">
                    <c:v>7.174352107981781E-2</c:v>
                  </c:pt>
                  <c:pt idx="11">
                    <c:v>0.11448721951339845</c:v>
                  </c:pt>
                  <c:pt idx="12">
                    <c:v>7.9070384150223022E-2</c:v>
                  </c:pt>
                  <c:pt idx="13">
                    <c:v>6.4101336249458504E-2</c:v>
                  </c:pt>
                  <c:pt idx="14">
                    <c:v>9.290170600428943E-2</c:v>
                  </c:pt>
                  <c:pt idx="15">
                    <c:v>0.11081073129198461</c:v>
                  </c:pt>
                  <c:pt idx="16">
                    <c:v>0.10623714493554408</c:v>
                  </c:pt>
                </c:numCache>
              </c:numRef>
            </c:plus>
            <c:minus>
              <c:numRef>
                <c:f>velocity!$AF$3:$AF$19</c:f>
                <c:numCache>
                  <c:formatCode>General</c:formatCode>
                  <c:ptCount val="17"/>
                  <c:pt idx="0">
                    <c:v>6.3816402969125621E-2</c:v>
                  </c:pt>
                  <c:pt idx="1">
                    <c:v>7.174352107981781E-2</c:v>
                  </c:pt>
                  <c:pt idx="2">
                    <c:v>0.11448721951339845</c:v>
                  </c:pt>
                  <c:pt idx="3">
                    <c:v>7.9070384150223022E-2</c:v>
                  </c:pt>
                  <c:pt idx="4">
                    <c:v>6.4101336249458504E-2</c:v>
                  </c:pt>
                  <c:pt idx="5">
                    <c:v>9.290170600428943E-2</c:v>
                  </c:pt>
                  <c:pt idx="6">
                    <c:v>0.11081073129198461</c:v>
                  </c:pt>
                  <c:pt idx="7">
                    <c:v>0.10623714493554408</c:v>
                  </c:pt>
                  <c:pt idx="9">
                    <c:v>6.3816402969125621E-2</c:v>
                  </c:pt>
                  <c:pt idx="10">
                    <c:v>7.174352107981781E-2</c:v>
                  </c:pt>
                  <c:pt idx="11">
                    <c:v>0.11448721951339845</c:v>
                  </c:pt>
                  <c:pt idx="12">
                    <c:v>7.9070384150223022E-2</c:v>
                  </c:pt>
                  <c:pt idx="13">
                    <c:v>6.4101336249458504E-2</c:v>
                  </c:pt>
                  <c:pt idx="14">
                    <c:v>9.290170600428943E-2</c:v>
                  </c:pt>
                  <c:pt idx="15">
                    <c:v>0.11081073129198461</c:v>
                  </c:pt>
                  <c:pt idx="16">
                    <c:v>0.10623714493554408</c:v>
                  </c:pt>
                </c:numCache>
              </c:numRef>
            </c:minus>
          </c:errBars>
          <c:xVal>
            <c:numRef>
              <c:f>velocity!$AB$3:$AB$19</c:f>
              <c:numCache>
                <c:formatCode>General</c:formatCode>
                <c:ptCount val="17"/>
                <c:pt idx="0">
                  <c:v>1.1635570740756414</c:v>
                </c:pt>
                <c:pt idx="1">
                  <c:v>1.7791997475871115</c:v>
                </c:pt>
                <c:pt idx="2">
                  <c:v>2.8816650826148358</c:v>
                </c:pt>
                <c:pt idx="3">
                  <c:v>2.0356376863141481</c:v>
                </c:pt>
                <c:pt idx="4">
                  <c:v>1.1070921127048394</c:v>
                </c:pt>
                <c:pt idx="5">
                  <c:v>0.53199931409824208</c:v>
                </c:pt>
                <c:pt idx="6">
                  <c:v>2.80834613548324</c:v>
                </c:pt>
                <c:pt idx="7">
                  <c:v>2.713920131856653</c:v>
                </c:pt>
                <c:pt idx="9">
                  <c:v>1.1635570740756414</c:v>
                </c:pt>
                <c:pt idx="10">
                  <c:v>1.7791997475871115</c:v>
                </c:pt>
                <c:pt idx="11">
                  <c:v>2.8816650826148358</c:v>
                </c:pt>
                <c:pt idx="12">
                  <c:v>2.0356376863141481</c:v>
                </c:pt>
                <c:pt idx="13">
                  <c:v>1.1070921127048394</c:v>
                </c:pt>
                <c:pt idx="14">
                  <c:v>0.53199931409824208</c:v>
                </c:pt>
                <c:pt idx="15">
                  <c:v>2.80834613548324</c:v>
                </c:pt>
                <c:pt idx="16">
                  <c:v>2.713920131856653</c:v>
                </c:pt>
              </c:numCache>
            </c:numRef>
          </c:xVal>
          <c:yVal>
            <c:numRef>
              <c:f>velocity!$S$3:$S$19</c:f>
              <c:numCache>
                <c:formatCode>General</c:formatCode>
                <c:ptCount val="17"/>
                <c:pt idx="0">
                  <c:v>1.3628288518147991</c:v>
                </c:pt>
                <c:pt idx="1">
                  <c:v>1.892614266486057</c:v>
                </c:pt>
                <c:pt idx="2">
                  <c:v>2.9342147160697016</c:v>
                </c:pt>
                <c:pt idx="3">
                  <c:v>2.1767177125203898</c:v>
                </c:pt>
                <c:pt idx="4">
                  <c:v>1.2784961947881015</c:v>
                </c:pt>
                <c:pt idx="5">
                  <c:v>0.53669909480764622</c:v>
                </c:pt>
                <c:pt idx="6">
                  <c:v>2.791773629791642</c:v>
                </c:pt>
                <c:pt idx="7">
                  <c:v>2.7832181219205316</c:v>
                </c:pt>
                <c:pt idx="8">
                  <c:v>0</c:v>
                </c:pt>
                <c:pt idx="9">
                  <c:v>1.3439578545034219</c:v>
                </c:pt>
                <c:pt idx="10">
                  <c:v>1.8560799982759364</c:v>
                </c:pt>
                <c:pt idx="11">
                  <c:v>2.9231917487568277</c:v>
                </c:pt>
                <c:pt idx="12">
                  <c:v>2.1552622939112434</c:v>
                </c:pt>
                <c:pt idx="13">
                  <c:v>1.2482481551318727</c:v>
                </c:pt>
                <c:pt idx="14">
                  <c:v>0.52005165032741174</c:v>
                </c:pt>
                <c:pt idx="15">
                  <c:v>2.7447812298979311</c:v>
                </c:pt>
                <c:pt idx="16">
                  <c:v>2.7341158258406733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01-4705-AB6C-4975E7B02A7E}"/>
            </c:ext>
          </c:extLst>
        </c:ser>
        <c:ser>
          <c:idx val="2"/>
          <c:order val="3"/>
          <c:tx>
            <c:v>1:1 reference line</c:v>
          </c:tx>
          <c:spPr>
            <a:ln w="19050">
              <a:solidFill>
                <a:sysClr val="windowText" lastClr="000000">
                  <a:lumMod val="15000"/>
                  <a:lumOff val="85000"/>
                </a:sysClr>
              </a:solidFill>
              <a:prstDash val="dash"/>
            </a:ln>
          </c:spPr>
          <c:marker>
            <c:symbol val="none"/>
          </c:marker>
          <c:xVal>
            <c:numRef>
              <c:f>velocity!$AH$13:$AH$14</c:f>
              <c:numCache>
                <c:formatCode>General</c:formatCode>
                <c:ptCount val="2"/>
                <c:pt idx="0">
                  <c:v>0</c:v>
                </c:pt>
                <c:pt idx="1">
                  <c:v>3.5</c:v>
                </c:pt>
              </c:numCache>
            </c:numRef>
          </c:xVal>
          <c:yVal>
            <c:numRef>
              <c:f>velocity!$AH$13:$AH$14</c:f>
              <c:numCache>
                <c:formatCode>General</c:formatCode>
                <c:ptCount val="2"/>
                <c:pt idx="0">
                  <c:v>0</c:v>
                </c:pt>
                <c:pt idx="1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0E-4F60-9BB9-68979055C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719504"/>
        <c:axId val="672721424"/>
      </c:scatterChart>
      <c:valAx>
        <c:axId val="672719504"/>
        <c:scaling>
          <c:orientation val="minMax"/>
          <c:max val="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CA" sz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Hog-to-hog velocity, </a:t>
                </a:r>
                <a:r>
                  <a:rPr lang="en-CA" sz="1200" i="1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v</a:t>
                </a:r>
                <a:r>
                  <a:rPr lang="en-CA" sz="1200" i="1" baseline="-2500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hh</a:t>
                </a:r>
                <a:r>
                  <a:rPr lang="en-CA" sz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 (ms</a:t>
                </a:r>
                <a:r>
                  <a:rPr lang="en-CA" sz="1200" baseline="3000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-1</a:t>
                </a:r>
                <a:r>
                  <a:rPr lang="en-CA" sz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)</a:t>
                </a:r>
                <a:endParaRPr lang="en-CA" sz="1200" baseline="-2500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endParaRPr>
              </a:p>
            </c:rich>
          </c:tx>
          <c:layout>
            <c:manualLayout>
              <c:xMode val="edge"/>
              <c:yMode val="edge"/>
              <c:x val="0.3880060922671309"/>
              <c:y val="0.9316353597175909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672721424"/>
        <c:crosses val="autoZero"/>
        <c:crossBetween val="midCat"/>
      </c:valAx>
      <c:valAx>
        <c:axId val="672721424"/>
        <c:scaling>
          <c:orientation val="minMax"/>
          <c:max val="3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CA" sz="120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Mesured velocity, </a:t>
                </a:r>
                <a:r>
                  <a:rPr lang="en-CA" sz="1200" i="1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v</a:t>
                </a:r>
                <a:r>
                  <a:rPr lang="en-CA" sz="1200" i="1" baseline="-2500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meas</a:t>
                </a:r>
                <a:r>
                  <a:rPr lang="en-CA" sz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 (ms</a:t>
                </a:r>
                <a:r>
                  <a:rPr lang="en-CA" sz="1200" baseline="3000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-1</a:t>
                </a:r>
                <a:r>
                  <a:rPr lang="en-CA" sz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)</a:t>
                </a:r>
                <a:endParaRPr lang="en-CA" sz="1200">
                  <a:solidFill>
                    <a:schemeClr val="tx1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endParaRPr>
              </a:p>
            </c:rich>
          </c:tx>
          <c:layout>
            <c:manualLayout>
              <c:xMode val="edge"/>
              <c:yMode val="edge"/>
              <c:x val="2.6756923837784372E-2"/>
              <c:y val="0.2582866933445368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67271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57919510385756678"/>
          <c:y val="0.65917798333321231"/>
          <c:w val="0.34029082866249039"/>
          <c:h val="0.183810254307170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ln>
                <a:noFill/>
              </a:ln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898950131233595E-2"/>
                  <c:y val="0.237555639574280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contact!$H$2:$H$8</c:f>
              <c:numCache>
                <c:formatCode>0.0</c:formatCode>
                <c:ptCount val="7"/>
                <c:pt idx="0">
                  <c:v>5.9820000000000002</c:v>
                </c:pt>
                <c:pt idx="1">
                  <c:v>52.533999999999999</c:v>
                </c:pt>
                <c:pt idx="2">
                  <c:v>83.028999999999996</c:v>
                </c:pt>
                <c:pt idx="3">
                  <c:v>96.262</c:v>
                </c:pt>
                <c:pt idx="4">
                  <c:v>118.01600000000001</c:v>
                </c:pt>
                <c:pt idx="5">
                  <c:v>128.49100000000001</c:v>
                </c:pt>
                <c:pt idx="6">
                  <c:v>164.678</c:v>
                </c:pt>
              </c:numCache>
            </c:numRef>
          </c:xVal>
          <c:yVal>
            <c:numRef>
              <c:f>contact!$I$2:$I$8</c:f>
              <c:numCache>
                <c:formatCode>0.0</c:formatCode>
                <c:ptCount val="7"/>
                <c:pt idx="0">
                  <c:v>14.320083031816681</c:v>
                </c:pt>
                <c:pt idx="1">
                  <c:v>91.204165374987838</c:v>
                </c:pt>
                <c:pt idx="2">
                  <c:v>113.59114912668157</c:v>
                </c:pt>
                <c:pt idx="3">
                  <c:v>125.03424878553683</c:v>
                </c:pt>
                <c:pt idx="4">
                  <c:v>132.40746307095452</c:v>
                </c:pt>
                <c:pt idx="5">
                  <c:v>168.77766708439663</c:v>
                </c:pt>
                <c:pt idx="6">
                  <c:v>180.32552157948953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95-43EC-9ACB-BFA43BEDFA0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contact!$H$2:$H$8</c:f>
              <c:numCache>
                <c:formatCode>0.0</c:formatCode>
                <c:ptCount val="7"/>
                <c:pt idx="0">
                  <c:v>5.9820000000000002</c:v>
                </c:pt>
                <c:pt idx="1">
                  <c:v>52.533999999999999</c:v>
                </c:pt>
                <c:pt idx="2">
                  <c:v>83.028999999999996</c:v>
                </c:pt>
                <c:pt idx="3">
                  <c:v>96.262</c:v>
                </c:pt>
                <c:pt idx="4">
                  <c:v>118.01600000000001</c:v>
                </c:pt>
                <c:pt idx="5">
                  <c:v>128.49100000000001</c:v>
                </c:pt>
                <c:pt idx="6">
                  <c:v>164.678</c:v>
                </c:pt>
              </c:numCache>
            </c:numRef>
          </c:xVal>
          <c:yVal>
            <c:numRef>
              <c:f>contact!$K$2:$K$8</c:f>
              <c:numCache>
                <c:formatCode>0.0</c:formatCode>
                <c:ptCount val="7"/>
                <c:pt idx="0">
                  <c:v>18.232896</c:v>
                </c:pt>
                <c:pt idx="1">
                  <c:v>116.12475000000001</c:v>
                </c:pt>
                <c:pt idx="2">
                  <c:v>144.62874300000001</c:v>
                </c:pt>
                <c:pt idx="3">
                  <c:v>159.19854999999998</c:v>
                </c:pt>
                <c:pt idx="4">
                  <c:v>168.58641800000001</c:v>
                </c:pt>
                <c:pt idx="5">
                  <c:v>214.89440000000002</c:v>
                </c:pt>
                <c:pt idx="6">
                  <c:v>229.59758500000001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95-43EC-9ACB-BFA43BEDF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266296"/>
        <c:axId val="540261496"/>
      </c:scatterChart>
      <c:valAx>
        <c:axId val="540266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Observed</a:t>
                </a:r>
                <a:r>
                  <a:rPr lang="en-CA" baseline="0"/>
                  <a:t>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261496"/>
        <c:crosses val="autoZero"/>
        <c:crossBetween val="midCat"/>
      </c:valAx>
      <c:valAx>
        <c:axId val="54026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Measured</a:t>
                </a:r>
                <a:r>
                  <a:rPr lang="en-CA" baseline="0"/>
                  <a:t> area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266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858669340921765"/>
          <c:y val="7.9445372714303325E-2"/>
          <c:w val="0.80332053186597252"/>
          <c:h val="0.78911820155603207"/>
        </c:manualLayout>
      </c:layout>
      <c:scatterChart>
        <c:scatterStyle val="lineMarker"/>
        <c:varyColors val="0"/>
        <c:ser>
          <c:idx val="0"/>
          <c:order val="0"/>
          <c:tx>
            <c:v>GoPro1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12700">
                <a:solidFill>
                  <a:sysClr val="windowText" lastClr="000000"/>
                </a:solidFill>
              </a:ln>
              <a:effectLst/>
            </c:spPr>
          </c:marker>
          <c:trendline>
            <c:spPr>
              <a:ln>
                <a:solidFill>
                  <a:sysClr val="window" lastClr="FFFFFF">
                    <a:lumMod val="50000"/>
                  </a:sysClr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0.28527886389769286"/>
                  <c:y val="7.2363084185553803E-2"/>
                </c:manualLayout>
              </c:layout>
              <c:tx>
                <c:rich>
                  <a:bodyPr/>
                  <a:lstStyle/>
                  <a:p>
                    <a:pPr>
                      <a:defRPr sz="120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defRPr>
                    </a:pPr>
                    <a:r>
                      <a:rPr lang="en-US" sz="1200" i="1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y</a:t>
                    </a:r>
                    <a:r>
                      <a:rPr lang="en-US" sz="1200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 = 159.18</a:t>
                    </a:r>
                    <a:r>
                      <a:rPr lang="en-US" sz="1200" i="1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x</a:t>
                    </a:r>
                    <a:r>
                      <a:rPr lang="en-US" sz="1200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 + 220.59</a:t>
                    </a:r>
                    <a:br>
                      <a:rPr lang="en-US" sz="1200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</a:br>
                    <a:r>
                      <a:rPr lang="en-US" sz="1200" i="1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R</a:t>
                    </a:r>
                    <a:r>
                      <a:rPr lang="en-US" sz="1200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² = 0.9132</a:t>
                    </a:r>
                    <a:endParaRPr lang="en-US" sz="1200">
                      <a:latin typeface="CMU Serif" panose="02000603000000000000" pitchFamily="2" charset="0"/>
                      <a:ea typeface="CMU Serif" panose="02000603000000000000" pitchFamily="2" charset="0"/>
                      <a:cs typeface="CMU Serif" panose="02000603000000000000" pitchFamily="2" charset="0"/>
                    </a:endParaRPr>
                  </a:p>
                </c:rich>
              </c:tx>
              <c:numFmt formatCode="General" sourceLinked="0"/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contact!$C$2:$C$11</c:f>
                <c:numCache>
                  <c:formatCode>General</c:formatCode>
                  <c:ptCount val="10"/>
                  <c:pt idx="1">
                    <c:v>4.0506942516606068E-2</c:v>
                  </c:pt>
                  <c:pt idx="2">
                    <c:v>3.7169063893982605E-2</c:v>
                  </c:pt>
                  <c:pt idx="3">
                    <c:v>9.3885306216198214E-2</c:v>
                  </c:pt>
                  <c:pt idx="4">
                    <c:v>7.5975045568891744E-2</c:v>
                  </c:pt>
                  <c:pt idx="5">
                    <c:v>0.15183594975950124</c:v>
                  </c:pt>
                  <c:pt idx="6">
                    <c:v>0.17297647751321893</c:v>
                  </c:pt>
                  <c:pt idx="7">
                    <c:v>0.17297647751321893</c:v>
                  </c:pt>
                  <c:pt idx="8">
                    <c:v>0.14350429961869399</c:v>
                  </c:pt>
                  <c:pt idx="9">
                    <c:v>0.15006103929581049</c:v>
                  </c:pt>
                </c:numCache>
              </c:numRef>
            </c:plus>
            <c:minus>
              <c:numRef>
                <c:f>contact!$C$2:$C$11</c:f>
                <c:numCache>
                  <c:formatCode>General</c:formatCode>
                  <c:ptCount val="10"/>
                  <c:pt idx="1">
                    <c:v>4.0506942516606068E-2</c:v>
                  </c:pt>
                  <c:pt idx="2">
                    <c:v>3.7169063893982605E-2</c:v>
                  </c:pt>
                  <c:pt idx="3">
                    <c:v>9.3885306216198214E-2</c:v>
                  </c:pt>
                  <c:pt idx="4">
                    <c:v>7.5975045568891744E-2</c:v>
                  </c:pt>
                  <c:pt idx="5">
                    <c:v>0.15183594975950124</c:v>
                  </c:pt>
                  <c:pt idx="6">
                    <c:v>0.17297647751321893</c:v>
                  </c:pt>
                  <c:pt idx="7">
                    <c:v>0.17297647751321893</c:v>
                  </c:pt>
                  <c:pt idx="8">
                    <c:v>0.14350429961869399</c:v>
                  </c:pt>
                  <c:pt idx="9">
                    <c:v>0.15006103929581049</c:v>
                  </c:pt>
                </c:numCache>
              </c:numRef>
            </c:minus>
          </c:errBars>
          <c:xVal>
            <c:numRef>
              <c:f>contact!$B$2:$B$11</c:f>
              <c:numCache>
                <c:formatCode>0.00</c:formatCode>
                <c:ptCount val="10"/>
                <c:pt idx="0">
                  <c:v>0</c:v>
                </c:pt>
                <c:pt idx="1">
                  <c:v>0.52315699750762257</c:v>
                </c:pt>
                <c:pt idx="2">
                  <c:v>1.2784344721364744</c:v>
                </c:pt>
                <c:pt idx="3">
                  <c:v>1.3184368894010701</c:v>
                </c:pt>
                <c:pt idx="4">
                  <c:v>1.8851770547675193</c:v>
                </c:pt>
                <c:pt idx="5">
                  <c:v>2.14921616027216</c:v>
                </c:pt>
                <c:pt idx="6">
                  <c:v>2.7766596625338225</c:v>
                </c:pt>
                <c:pt idx="7">
                  <c:v>2.7766596625338225</c:v>
                </c:pt>
                <c:pt idx="8">
                  <c:v>2.7909502064686018</c:v>
                </c:pt>
                <c:pt idx="9">
                  <c:v>2.9337313083328511</c:v>
                </c:pt>
              </c:numCache>
            </c:numRef>
          </c:xVal>
          <c:yVal>
            <c:numRef>
              <c:f>contact!$Y$2:$Y$11</c:f>
              <c:numCache>
                <c:formatCode>0</c:formatCode>
                <c:ptCount val="10"/>
                <c:pt idx="0">
                  <c:v>120</c:v>
                </c:pt>
                <c:pt idx="1">
                  <c:v>380</c:v>
                </c:pt>
                <c:pt idx="2">
                  <c:v>410</c:v>
                </c:pt>
                <c:pt idx="3">
                  <c:v>490</c:v>
                </c:pt>
                <c:pt idx="4">
                  <c:v>540</c:v>
                </c:pt>
                <c:pt idx="5">
                  <c:v>600</c:v>
                </c:pt>
                <c:pt idx="6">
                  <c:v>640</c:v>
                </c:pt>
                <c:pt idx="7">
                  <c:v>630</c:v>
                </c:pt>
                <c:pt idx="8">
                  <c:v>650</c:v>
                </c:pt>
                <c:pt idx="9">
                  <c:v>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62-4633-BE86-DFDD321E7FE9}"/>
            </c:ext>
          </c:extLst>
        </c:ser>
        <c:ser>
          <c:idx val="2"/>
          <c:order val="1"/>
          <c:tx>
            <c:v>Uniaxial compressive strength (this study)</c:v>
          </c:tx>
          <c:spPr>
            <a:ln w="19050">
              <a:solidFill>
                <a:srgbClr val="5B9BD5"/>
              </a:solidFill>
            </a:ln>
          </c:spPr>
          <c:marker>
            <c:symbol val="none"/>
          </c:marker>
          <c:xVal>
            <c:numRef>
              <c:f>contact!$AD$2:$AD$6</c:f>
              <c:numCache>
                <c:formatCode>General</c:formatCode>
                <c:ptCount val="5"/>
                <c:pt idx="0">
                  <c:v>0</c:v>
                </c:pt>
                <c:pt idx="1">
                  <c:v>3.5</c:v>
                </c:pt>
                <c:pt idx="2">
                  <c:v>3.5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contact!$AE$2:$AE$6</c:f>
              <c:numCache>
                <c:formatCode>General</c:formatCode>
                <c:ptCount val="5"/>
                <c:pt idx="0">
                  <c:v>333</c:v>
                </c:pt>
                <c:pt idx="1">
                  <c:v>333</c:v>
                </c:pt>
                <c:pt idx="2">
                  <c:v>518</c:v>
                </c:pt>
                <c:pt idx="3">
                  <c:v>518</c:v>
                </c:pt>
                <c:pt idx="4">
                  <c:v>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E62-4633-BE86-DFDD321E7FE9}"/>
            </c:ext>
          </c:extLst>
        </c:ser>
        <c:ser>
          <c:idx val="1"/>
          <c:order val="2"/>
          <c:tx>
            <c:v>Uniaxial compressive strength (Nichol, 2001)</c:v>
          </c:tx>
          <c:spPr>
            <a:ln w="19050">
              <a:solidFill>
                <a:srgbClr val="FFC000"/>
              </a:solidFill>
            </a:ln>
          </c:spPr>
          <c:marker>
            <c:symbol val="none"/>
          </c:marker>
          <c:xVal>
            <c:numRef>
              <c:f>contact!$AA$2:$AA$5</c:f>
              <c:numCache>
                <c:formatCode>General</c:formatCode>
                <c:ptCount val="4"/>
                <c:pt idx="0">
                  <c:v>0</c:v>
                </c:pt>
                <c:pt idx="1">
                  <c:v>3.5</c:v>
                </c:pt>
                <c:pt idx="2">
                  <c:v>3.5</c:v>
                </c:pt>
                <c:pt idx="3">
                  <c:v>0</c:v>
                </c:pt>
              </c:numCache>
            </c:numRef>
          </c:xVal>
          <c:yVal>
            <c:numRef>
              <c:f>contact!$AB$2:$AB$5</c:f>
              <c:numCache>
                <c:formatCode>General</c:formatCode>
                <c:ptCount val="4"/>
                <c:pt idx="0">
                  <c:v>232</c:v>
                </c:pt>
                <c:pt idx="1">
                  <c:v>232</c:v>
                </c:pt>
                <c:pt idx="2">
                  <c:v>395</c:v>
                </c:pt>
                <c:pt idx="3">
                  <c:v>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E62-4633-BE86-DFDD321E7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719504"/>
        <c:axId val="672721424"/>
      </c:scatterChart>
      <c:valAx>
        <c:axId val="672719504"/>
        <c:scaling>
          <c:orientation val="minMax"/>
          <c:max val="3.500010000000000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CA" sz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Normal (radial) velocity, </a:t>
                </a:r>
                <a:r>
                  <a:rPr lang="en-CA" sz="1200" i="1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v</a:t>
                </a:r>
                <a:r>
                  <a:rPr lang="en-CA" sz="1200" i="1" baseline="-2500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n</a:t>
                </a:r>
                <a:r>
                  <a:rPr lang="en-CA" sz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 (ms</a:t>
                </a:r>
                <a:r>
                  <a:rPr lang="en-CA" sz="1200" baseline="3000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-1</a:t>
                </a:r>
                <a:r>
                  <a:rPr lang="en-CA" sz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)</a:t>
                </a:r>
                <a:endParaRPr lang="en-CA" sz="1200" baseline="-2500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endParaRPr>
              </a:p>
            </c:rich>
          </c:tx>
          <c:layout>
            <c:manualLayout>
              <c:xMode val="edge"/>
              <c:yMode val="edge"/>
              <c:x val="0.36718169588657562"/>
              <c:y val="0.93163533690735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672721424"/>
        <c:crosses val="autoZero"/>
        <c:crossBetween val="midCat"/>
      </c:valAx>
      <c:valAx>
        <c:axId val="6727214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CA" sz="120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Mean</a:t>
                </a:r>
                <a:r>
                  <a:rPr lang="en-CA" sz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 Hertzian contact stress, </a:t>
                </a:r>
                <a:r>
                  <a:rPr lang="en-CA" sz="1200" i="1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p</a:t>
                </a:r>
                <a:r>
                  <a:rPr lang="en-CA" sz="1200" i="1" baseline="-2500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m</a:t>
                </a:r>
                <a:r>
                  <a:rPr lang="en-CA" sz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 (MPa)</a:t>
                </a:r>
                <a:endParaRPr lang="en-CA" sz="120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endParaRPr>
              </a:p>
            </c:rich>
          </c:tx>
          <c:layout>
            <c:manualLayout>
              <c:xMode val="edge"/>
              <c:yMode val="edge"/>
              <c:x val="2.6756944444444444E-2"/>
              <c:y val="0.1842464139395655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67271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45883499999999999"/>
          <c:y val="0.73232369206478354"/>
          <c:w val="0.46307375000000001"/>
          <c:h val="0.10059732633028964"/>
        </c:manualLayout>
      </c:layout>
      <c:overlay val="0"/>
      <c:txPr>
        <a:bodyPr/>
        <a:lstStyle/>
        <a:p>
          <a:pPr>
            <a:defRPr sz="1200"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858669340921765"/>
          <c:y val="7.9445372714303325E-2"/>
          <c:w val="0.80332053186597252"/>
          <c:h val="0.78911820155603207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7"/>
            <c:spPr>
              <a:noFill/>
              <a:ln w="12700">
                <a:solidFill>
                  <a:sysClr val="windowText" lastClr="000000"/>
                </a:solidFill>
              </a:ln>
              <a:effectLst/>
            </c:spPr>
          </c:marker>
          <c:trendline>
            <c:spPr>
              <a:ln>
                <a:solidFill>
                  <a:sysClr val="window" lastClr="FFFFFF">
                    <a:lumMod val="50000"/>
                  </a:sysClr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0.3965098749415068"/>
                  <c:y val="0.1190727054968239"/>
                </c:manualLayout>
              </c:layout>
              <c:tx>
                <c:rich>
                  <a:bodyPr/>
                  <a:lstStyle/>
                  <a:p>
                    <a:pPr>
                      <a:defRPr sz="120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defRPr>
                    </a:pPr>
                    <a:r>
                      <a:rPr lang="en-US" sz="1200" i="1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y</a:t>
                    </a:r>
                    <a:r>
                      <a:rPr lang="en-US" sz="1200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 = 0.1775</a:t>
                    </a:r>
                    <a:r>
                      <a:rPr lang="en-US" sz="1200" i="1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x</a:t>
                    </a:r>
                    <a:r>
                      <a:rPr lang="en-US" sz="1200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 + 0.0773</a:t>
                    </a:r>
                    <a:br>
                      <a:rPr lang="en-US" sz="1200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</a:br>
                    <a:r>
                      <a:rPr lang="en-US" sz="1200" i="1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R</a:t>
                    </a:r>
                    <a:r>
                      <a:rPr lang="en-US" sz="1200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² = 0.9604</a:t>
                    </a:r>
                    <a:endParaRPr lang="en-US" sz="1200">
                      <a:latin typeface="CMU Serif" panose="02000603000000000000" pitchFamily="2" charset="0"/>
                      <a:ea typeface="CMU Serif" panose="02000603000000000000" pitchFamily="2" charset="0"/>
                      <a:cs typeface="CMU Serif" panose="02000603000000000000" pitchFamily="2" charset="0"/>
                    </a:endParaRPr>
                  </a:p>
                </c:rich>
              </c:tx>
              <c:numFmt formatCode="General" sourceLinked="0"/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contact!$C$2:$C$11</c:f>
                <c:numCache>
                  <c:formatCode>General</c:formatCode>
                  <c:ptCount val="10"/>
                  <c:pt idx="1">
                    <c:v>4.0506942516606068E-2</c:v>
                  </c:pt>
                  <c:pt idx="2">
                    <c:v>3.7169063893982605E-2</c:v>
                  </c:pt>
                  <c:pt idx="3">
                    <c:v>9.3885306216198214E-2</c:v>
                  </c:pt>
                  <c:pt idx="4">
                    <c:v>7.5975045568891744E-2</c:v>
                  </c:pt>
                  <c:pt idx="5">
                    <c:v>0.15183594975950124</c:v>
                  </c:pt>
                  <c:pt idx="6">
                    <c:v>0.17297647751321893</c:v>
                  </c:pt>
                  <c:pt idx="7">
                    <c:v>0.17297647751321893</c:v>
                  </c:pt>
                  <c:pt idx="8">
                    <c:v>0.14350429961869399</c:v>
                  </c:pt>
                  <c:pt idx="9">
                    <c:v>0.15006103929581049</c:v>
                  </c:pt>
                </c:numCache>
              </c:numRef>
            </c:plus>
            <c:minus>
              <c:numRef>
                <c:f>contact!$C$2:$C$11</c:f>
                <c:numCache>
                  <c:formatCode>General</c:formatCode>
                  <c:ptCount val="10"/>
                  <c:pt idx="1">
                    <c:v>4.0506942516606068E-2</c:v>
                  </c:pt>
                  <c:pt idx="2">
                    <c:v>3.7169063893982605E-2</c:v>
                  </c:pt>
                  <c:pt idx="3">
                    <c:v>9.3885306216198214E-2</c:v>
                  </c:pt>
                  <c:pt idx="4">
                    <c:v>7.5975045568891744E-2</c:v>
                  </c:pt>
                  <c:pt idx="5">
                    <c:v>0.15183594975950124</c:v>
                  </c:pt>
                  <c:pt idx="6">
                    <c:v>0.17297647751321893</c:v>
                  </c:pt>
                  <c:pt idx="7">
                    <c:v>0.17297647751321893</c:v>
                  </c:pt>
                  <c:pt idx="8">
                    <c:v>0.14350429961869399</c:v>
                  </c:pt>
                  <c:pt idx="9">
                    <c:v>0.15006103929581049</c:v>
                  </c:pt>
                </c:numCache>
              </c:numRef>
            </c:minus>
          </c:errBars>
          <c:xVal>
            <c:numRef>
              <c:f>contact!$B$2:$B$11</c:f>
              <c:numCache>
                <c:formatCode>0.00</c:formatCode>
                <c:ptCount val="10"/>
                <c:pt idx="0">
                  <c:v>0</c:v>
                </c:pt>
                <c:pt idx="1">
                  <c:v>0.52315699750762257</c:v>
                </c:pt>
                <c:pt idx="2">
                  <c:v>1.2784344721364744</c:v>
                </c:pt>
                <c:pt idx="3">
                  <c:v>1.3184368894010701</c:v>
                </c:pt>
                <c:pt idx="4">
                  <c:v>1.8851770547675193</c:v>
                </c:pt>
                <c:pt idx="5">
                  <c:v>2.14921616027216</c:v>
                </c:pt>
                <c:pt idx="6">
                  <c:v>2.7766596625338225</c:v>
                </c:pt>
                <c:pt idx="7">
                  <c:v>2.7766596625338225</c:v>
                </c:pt>
                <c:pt idx="8">
                  <c:v>2.7909502064686018</c:v>
                </c:pt>
                <c:pt idx="9">
                  <c:v>2.9337313083328511</c:v>
                </c:pt>
              </c:numCache>
            </c:numRef>
          </c:xVal>
          <c:yVal>
            <c:numRef>
              <c:f>contact!$V$2:$V$11</c:f>
              <c:numCache>
                <c:formatCode>0.00</c:formatCode>
                <c:ptCount val="10"/>
                <c:pt idx="0">
                  <c:v>2.7108E-2</c:v>
                </c:pt>
                <c:pt idx="1">
                  <c:v>0.22514999999999999</c:v>
                </c:pt>
                <c:pt idx="2">
                  <c:v>0.27315</c:v>
                </c:pt>
                <c:pt idx="3">
                  <c:v>0.34672000000000003</c:v>
                </c:pt>
                <c:pt idx="4">
                  <c:v>0.39627000000000001</c:v>
                </c:pt>
                <c:pt idx="5">
                  <c:v>0.50317999999999996</c:v>
                </c:pt>
                <c:pt idx="6">
                  <c:v>0.55015000000000003</c:v>
                </c:pt>
                <c:pt idx="7">
                  <c:v>0.52855000000000008</c:v>
                </c:pt>
                <c:pt idx="8">
                  <c:v>0.5754999999999999</c:v>
                </c:pt>
                <c:pt idx="9">
                  <c:v>0.61914000000000002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9C-4955-9324-ABF761CAF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719504"/>
        <c:axId val="672721424"/>
      </c:scatterChart>
      <c:valAx>
        <c:axId val="672719504"/>
        <c:scaling>
          <c:orientation val="minMax"/>
          <c:max val="3.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CA" sz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Normal (radial) velocity, </a:t>
                </a:r>
                <a:r>
                  <a:rPr lang="en-CA" sz="1200" i="1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v</a:t>
                </a:r>
                <a:r>
                  <a:rPr lang="en-CA" sz="1200" i="1" baseline="-2500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n</a:t>
                </a:r>
                <a:r>
                  <a:rPr lang="en-CA" sz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 (ms</a:t>
                </a:r>
                <a:r>
                  <a:rPr lang="en-CA" sz="1200" baseline="3000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-1</a:t>
                </a:r>
                <a:r>
                  <a:rPr lang="en-CA" sz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)</a:t>
                </a:r>
                <a:endParaRPr lang="en-CA" sz="1200" baseline="-2500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endParaRPr>
              </a:p>
            </c:rich>
          </c:tx>
          <c:layout>
            <c:manualLayout>
              <c:xMode val="edge"/>
              <c:yMode val="edge"/>
              <c:x val="0.37065352243537192"/>
              <c:y val="0.9316353231393109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672721424"/>
        <c:crosses val="autoZero"/>
        <c:crossBetween val="midCat"/>
      </c:valAx>
      <c:valAx>
        <c:axId val="672721424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CA" sz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Total rigid-body compression, </a:t>
                </a:r>
                <a:r>
                  <a:rPr lang="en-CA" sz="1200" i="1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∆</a:t>
                </a:r>
                <a:r>
                  <a:rPr lang="en-CA" sz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 (mm)</a:t>
                </a:r>
                <a:endParaRPr lang="en-CA" sz="1200">
                  <a:solidFill>
                    <a:schemeClr val="tx1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endParaRPr>
              </a:p>
            </c:rich>
          </c:tx>
          <c:layout>
            <c:manualLayout>
              <c:xMode val="edge"/>
              <c:yMode val="edge"/>
              <c:x val="2.6756845384489261E-2"/>
              <c:y val="0.2067452374493476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67271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05057430514119"/>
          <c:y val="8.1721542961918359E-2"/>
          <c:w val="0.80832511764512549"/>
          <c:h val="0.77826077485134348"/>
        </c:manualLayout>
      </c:layout>
      <c:scatterChart>
        <c:scatterStyle val="lineMarker"/>
        <c:varyColors val="0"/>
        <c:ser>
          <c:idx val="1"/>
          <c:order val="0"/>
          <c:tx>
            <c:v>Height</c:v>
          </c:tx>
          <c:spPr>
            <a:ln w="19050">
              <a:noFill/>
            </a:ln>
          </c:spPr>
          <c:marker>
            <c:symbol val="square"/>
            <c:size val="7"/>
            <c:spPr>
              <a:noFill/>
              <a:ln w="12700">
                <a:solidFill>
                  <a:srgbClr val="0070C0"/>
                </a:solidFill>
              </a:ln>
              <a:effectLst/>
            </c:spPr>
          </c:marker>
          <c:trendline>
            <c:spPr>
              <a:ln w="6350" cap="rnd" cmpd="sng">
                <a:solidFill>
                  <a:sysClr val="windowText" lastClr="000000">
                    <a:lumMod val="50000"/>
                    <a:lumOff val="50000"/>
                  </a:sys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336033038962097"/>
                  <c:y val="-1.126201572818590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00" b="0" i="0" u="none" strike="noStrike" kern="1200" baseline="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200" i="1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y</a:t>
                    </a:r>
                    <a:r>
                      <a:rPr lang="en-US" sz="1200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 = 3.0949</a:t>
                    </a:r>
                    <a:r>
                      <a:rPr lang="en-US" sz="1200" i="1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x</a:t>
                    </a:r>
                    <a:r>
                      <a:rPr lang="en-US" sz="1200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 + 12.147</a:t>
                    </a:r>
                    <a:br>
                      <a:rPr lang="en-US" sz="1200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</a:br>
                    <a:r>
                      <a:rPr lang="en-US" sz="1200" i="1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R</a:t>
                    </a:r>
                    <a:r>
                      <a:rPr lang="en-US" sz="1200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² = 0.6994</a:t>
                    </a:r>
                    <a:endParaRPr lang="en-US" sz="1200">
                      <a:latin typeface="CMU Serif" panose="02000603000000000000" pitchFamily="2" charset="0"/>
                      <a:ea typeface="CMU Serif" panose="02000603000000000000" pitchFamily="2" charset="0"/>
                      <a:cs typeface="CMU Serif" panose="02000603000000000000" pitchFamily="2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errBars>
            <c:errDir val="y"/>
            <c:errBarType val="both"/>
            <c:errValType val="fixedVal"/>
            <c:noEndCap val="0"/>
            <c:val val="0.5"/>
          </c:errBars>
          <c:errBars>
            <c:errDir val="x"/>
            <c:errBarType val="both"/>
            <c:errValType val="cust"/>
            <c:noEndCap val="0"/>
            <c:plus>
              <c:numRef>
                <c:f>contact!$C$2:$C$11</c:f>
                <c:numCache>
                  <c:formatCode>General</c:formatCode>
                  <c:ptCount val="10"/>
                  <c:pt idx="1">
                    <c:v>4.0506942516606068E-2</c:v>
                  </c:pt>
                  <c:pt idx="2">
                    <c:v>3.7169063893982605E-2</c:v>
                  </c:pt>
                  <c:pt idx="3">
                    <c:v>9.3885306216198214E-2</c:v>
                  </c:pt>
                  <c:pt idx="4">
                    <c:v>7.5975045568891744E-2</c:v>
                  </c:pt>
                  <c:pt idx="5">
                    <c:v>0.15183594975950124</c:v>
                  </c:pt>
                  <c:pt idx="6">
                    <c:v>0.17297647751321893</c:v>
                  </c:pt>
                  <c:pt idx="7">
                    <c:v>0.17297647751321893</c:v>
                  </c:pt>
                  <c:pt idx="8">
                    <c:v>0.14350429961869399</c:v>
                  </c:pt>
                  <c:pt idx="9">
                    <c:v>0.15006103929581049</c:v>
                  </c:pt>
                </c:numCache>
              </c:numRef>
            </c:plus>
            <c:minus>
              <c:numRef>
                <c:f>contact!$C$2:$C$11</c:f>
                <c:numCache>
                  <c:formatCode>General</c:formatCode>
                  <c:ptCount val="10"/>
                  <c:pt idx="1">
                    <c:v>4.0506942516606068E-2</c:v>
                  </c:pt>
                  <c:pt idx="2">
                    <c:v>3.7169063893982605E-2</c:v>
                  </c:pt>
                  <c:pt idx="3">
                    <c:v>9.3885306216198214E-2</c:v>
                  </c:pt>
                  <c:pt idx="4">
                    <c:v>7.5975045568891744E-2</c:v>
                  </c:pt>
                  <c:pt idx="5">
                    <c:v>0.15183594975950124</c:v>
                  </c:pt>
                  <c:pt idx="6">
                    <c:v>0.17297647751321893</c:v>
                  </c:pt>
                  <c:pt idx="7">
                    <c:v>0.17297647751321893</c:v>
                  </c:pt>
                  <c:pt idx="8">
                    <c:v>0.14350429961869399</c:v>
                  </c:pt>
                  <c:pt idx="9">
                    <c:v>0.15006103929581049</c:v>
                  </c:pt>
                </c:numCache>
              </c:numRef>
            </c:minus>
          </c:errBars>
          <c:xVal>
            <c:numRef>
              <c:f>contact!$B$2:$B$11</c:f>
              <c:numCache>
                <c:formatCode>0.00</c:formatCode>
                <c:ptCount val="10"/>
                <c:pt idx="0">
                  <c:v>0</c:v>
                </c:pt>
                <c:pt idx="1">
                  <c:v>0.52315699750762257</c:v>
                </c:pt>
                <c:pt idx="2">
                  <c:v>1.2784344721364744</c:v>
                </c:pt>
                <c:pt idx="3">
                  <c:v>1.3184368894010701</c:v>
                </c:pt>
                <c:pt idx="4">
                  <c:v>1.8851770547675193</c:v>
                </c:pt>
                <c:pt idx="5">
                  <c:v>2.14921616027216</c:v>
                </c:pt>
                <c:pt idx="6">
                  <c:v>2.7766596625338225</c:v>
                </c:pt>
                <c:pt idx="7">
                  <c:v>2.7766596625338225</c:v>
                </c:pt>
                <c:pt idx="8">
                  <c:v>2.7909502064686018</c:v>
                </c:pt>
                <c:pt idx="9">
                  <c:v>2.9337313083328511</c:v>
                </c:pt>
              </c:numCache>
            </c:numRef>
          </c:xVal>
          <c:yVal>
            <c:numRef>
              <c:f>contact!$F$2:$F$11</c:f>
              <c:numCache>
                <c:formatCode>0.000</c:formatCode>
                <c:ptCount val="10"/>
                <c:pt idx="0">
                  <c:v>7.8319999999999999</c:v>
                </c:pt>
                <c:pt idx="1">
                  <c:v>16.425000000000001</c:v>
                </c:pt>
                <c:pt idx="2">
                  <c:v>18.669</c:v>
                </c:pt>
                <c:pt idx="3">
                  <c:v>17.738</c:v>
                </c:pt>
                <c:pt idx="4">
                  <c:v>17.314</c:v>
                </c:pt>
                <c:pt idx="5">
                  <c:v>19.600000000000001</c:v>
                </c:pt>
                <c:pt idx="6">
                  <c:v>19.939</c:v>
                </c:pt>
                <c:pt idx="7">
                  <c:v>18.922999999999998</c:v>
                </c:pt>
                <c:pt idx="8">
                  <c:v>21.123999999999999</c:v>
                </c:pt>
                <c:pt idx="9">
                  <c:v>20.954999999999998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A9-4ED6-B6A0-E939AA96B4ED}"/>
            </c:ext>
          </c:extLst>
        </c:ser>
        <c:ser>
          <c:idx val="0"/>
          <c:order val="1"/>
          <c:tx>
            <c:v>Width</c:v>
          </c:tx>
          <c:spPr>
            <a:ln w="19050">
              <a:noFill/>
            </a:ln>
          </c:spPr>
          <c:marker>
            <c:symbol val="circle"/>
            <c:size val="7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trendline>
            <c:spPr>
              <a:ln>
                <a:solidFill>
                  <a:sysClr val="windowText" lastClr="000000">
                    <a:lumMod val="50000"/>
                    <a:lumOff val="50000"/>
                  </a:sysClr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3.016671440910923E-2"/>
                  <c:y val="0.17053548418652692"/>
                </c:manualLayout>
              </c:layout>
              <c:tx>
                <c:rich>
                  <a:bodyPr/>
                  <a:lstStyle/>
                  <a:p>
                    <a:pPr>
                      <a:defRPr sz="120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defRPr>
                    </a:pPr>
                    <a:r>
                      <a:rPr lang="en-US" sz="1200" i="1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y</a:t>
                    </a:r>
                    <a:r>
                      <a:rPr lang="en-US" sz="1200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 = 2.779</a:t>
                    </a:r>
                    <a:r>
                      <a:rPr lang="en-US" sz="1200" i="1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x</a:t>
                    </a:r>
                    <a:r>
                      <a:rPr lang="en-US" sz="1200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 + 4.2417</a:t>
                    </a:r>
                    <a:br>
                      <a:rPr lang="en-US" sz="1200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</a:br>
                    <a:r>
                      <a:rPr lang="en-US" sz="1200" i="1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R</a:t>
                    </a:r>
                    <a:r>
                      <a:rPr lang="en-US" sz="1200" baseline="0">
                        <a:latin typeface="CMU Serif" panose="02000603000000000000" pitchFamily="2" charset="0"/>
                        <a:ea typeface="CMU Serif" panose="02000603000000000000" pitchFamily="2" charset="0"/>
                        <a:cs typeface="CMU Serif" panose="02000603000000000000" pitchFamily="2" charset="0"/>
                      </a:rPr>
                      <a:t>² = 0.9032</a:t>
                    </a:r>
                    <a:endParaRPr lang="en-US" sz="1200">
                      <a:latin typeface="CMU Serif" panose="02000603000000000000" pitchFamily="2" charset="0"/>
                      <a:ea typeface="CMU Serif" panose="02000603000000000000" pitchFamily="2" charset="0"/>
                      <a:cs typeface="CMU Serif" panose="02000603000000000000" pitchFamily="2" charset="0"/>
                    </a:endParaRPr>
                  </a:p>
                </c:rich>
              </c:tx>
              <c:numFmt formatCode="General" sourceLinked="0"/>
            </c:trendlineLbl>
          </c:trendline>
          <c:errBars>
            <c:errDir val="y"/>
            <c:errBarType val="both"/>
            <c:errValType val="fixedVal"/>
            <c:noEndCap val="0"/>
            <c:val val="0.5"/>
          </c:errBars>
          <c:errBars>
            <c:errDir val="x"/>
            <c:errBarType val="both"/>
            <c:errValType val="cust"/>
            <c:noEndCap val="0"/>
            <c:plus>
              <c:numRef>
                <c:f>contact!$C$2:$C$11</c:f>
                <c:numCache>
                  <c:formatCode>General</c:formatCode>
                  <c:ptCount val="10"/>
                  <c:pt idx="1">
                    <c:v>4.0506942516606068E-2</c:v>
                  </c:pt>
                  <c:pt idx="2">
                    <c:v>3.7169063893982605E-2</c:v>
                  </c:pt>
                  <c:pt idx="3">
                    <c:v>9.3885306216198214E-2</c:v>
                  </c:pt>
                  <c:pt idx="4">
                    <c:v>7.5975045568891744E-2</c:v>
                  </c:pt>
                  <c:pt idx="5">
                    <c:v>0.15183594975950124</c:v>
                  </c:pt>
                  <c:pt idx="6">
                    <c:v>0.17297647751321893</c:v>
                  </c:pt>
                  <c:pt idx="7">
                    <c:v>0.17297647751321893</c:v>
                  </c:pt>
                  <c:pt idx="8">
                    <c:v>0.14350429961869399</c:v>
                  </c:pt>
                  <c:pt idx="9">
                    <c:v>0.15006103929581049</c:v>
                  </c:pt>
                </c:numCache>
              </c:numRef>
            </c:plus>
            <c:minus>
              <c:numRef>
                <c:f>contact!$C$2:$C$11</c:f>
                <c:numCache>
                  <c:formatCode>General</c:formatCode>
                  <c:ptCount val="10"/>
                  <c:pt idx="1">
                    <c:v>4.0506942516606068E-2</c:v>
                  </c:pt>
                  <c:pt idx="2">
                    <c:v>3.7169063893982605E-2</c:v>
                  </c:pt>
                  <c:pt idx="3">
                    <c:v>9.3885306216198214E-2</c:v>
                  </c:pt>
                  <c:pt idx="4">
                    <c:v>7.5975045568891744E-2</c:v>
                  </c:pt>
                  <c:pt idx="5">
                    <c:v>0.15183594975950124</c:v>
                  </c:pt>
                  <c:pt idx="6">
                    <c:v>0.17297647751321893</c:v>
                  </c:pt>
                  <c:pt idx="7">
                    <c:v>0.17297647751321893</c:v>
                  </c:pt>
                  <c:pt idx="8">
                    <c:v>0.14350429961869399</c:v>
                  </c:pt>
                  <c:pt idx="9">
                    <c:v>0.15006103929581049</c:v>
                  </c:pt>
                </c:numCache>
              </c:numRef>
            </c:minus>
          </c:errBars>
          <c:xVal>
            <c:numRef>
              <c:f>contact!$B$2:$B$11</c:f>
              <c:numCache>
                <c:formatCode>0.00</c:formatCode>
                <c:ptCount val="10"/>
                <c:pt idx="0">
                  <c:v>0</c:v>
                </c:pt>
                <c:pt idx="1">
                  <c:v>0.52315699750762257</c:v>
                </c:pt>
                <c:pt idx="2">
                  <c:v>1.2784344721364744</c:v>
                </c:pt>
                <c:pt idx="3">
                  <c:v>1.3184368894010701</c:v>
                </c:pt>
                <c:pt idx="4">
                  <c:v>1.8851770547675193</c:v>
                </c:pt>
                <c:pt idx="5">
                  <c:v>2.14921616027216</c:v>
                </c:pt>
                <c:pt idx="6">
                  <c:v>2.7766596625338225</c:v>
                </c:pt>
                <c:pt idx="7">
                  <c:v>2.7766596625338225</c:v>
                </c:pt>
                <c:pt idx="8">
                  <c:v>2.7909502064686018</c:v>
                </c:pt>
                <c:pt idx="9">
                  <c:v>2.9337313083328511</c:v>
                </c:pt>
              </c:numCache>
            </c:numRef>
          </c:xVal>
          <c:yVal>
            <c:numRef>
              <c:f>contact!$E$2:$E$11</c:f>
              <c:numCache>
                <c:formatCode>0.000</c:formatCode>
                <c:ptCount val="10"/>
                <c:pt idx="0">
                  <c:v>2.3279999999999998</c:v>
                </c:pt>
                <c:pt idx="1">
                  <c:v>7.07</c:v>
                </c:pt>
                <c:pt idx="2">
                  <c:v>7.7469999999999999</c:v>
                </c:pt>
                <c:pt idx="3">
                  <c:v>8.9749999999999996</c:v>
                </c:pt>
                <c:pt idx="4">
                  <c:v>9.7370000000000001</c:v>
                </c:pt>
                <c:pt idx="5">
                  <c:v>10.964</c:v>
                </c:pt>
                <c:pt idx="6">
                  <c:v>11.515000000000001</c:v>
                </c:pt>
                <c:pt idx="7">
                  <c:v>11.345000000000001</c:v>
                </c:pt>
                <c:pt idx="8">
                  <c:v>11.726000000000001</c:v>
                </c:pt>
                <c:pt idx="9">
                  <c:v>12.234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A9-4ED6-B6A0-E939AA96B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719504"/>
        <c:axId val="672721424"/>
      </c:scatterChart>
      <c:valAx>
        <c:axId val="672719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CA" sz="120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Normal component</a:t>
                </a:r>
                <a:r>
                  <a:rPr lang="en-CA" sz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 of impact v</a:t>
                </a:r>
                <a:r>
                  <a:rPr lang="en-CA" sz="120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elocity, </a:t>
                </a:r>
                <a:r>
                  <a:rPr lang="en-CA" sz="1200" i="1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v</a:t>
                </a:r>
                <a:r>
                  <a:rPr lang="en-CA" sz="1200" i="1" baseline="-2500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n</a:t>
                </a:r>
                <a:r>
                  <a:rPr lang="en-CA" sz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 (ms</a:t>
                </a:r>
                <a:r>
                  <a:rPr lang="en-CA" sz="1200" baseline="3000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-1</a:t>
                </a:r>
                <a:r>
                  <a:rPr lang="en-CA" sz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)</a:t>
                </a:r>
                <a:endParaRPr lang="en-CA" sz="1200">
                  <a:solidFill>
                    <a:schemeClr val="tx1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endParaRPr>
              </a:p>
            </c:rich>
          </c:tx>
          <c:layout>
            <c:manualLayout>
              <c:xMode val="edge"/>
              <c:yMode val="edge"/>
              <c:x val="0.28572527777777779"/>
              <c:y val="0.921948412378968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672721424"/>
        <c:crosses val="autoZero"/>
        <c:crossBetween val="midCat"/>
      </c:valAx>
      <c:valAx>
        <c:axId val="672721424"/>
        <c:scaling>
          <c:orientation val="minMax"/>
          <c:max val="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CA" sz="120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Length</a:t>
                </a:r>
                <a:r>
                  <a:rPr lang="en-CA" sz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 (mm)</a:t>
                </a:r>
                <a:endParaRPr lang="en-CA" sz="1200">
                  <a:solidFill>
                    <a:schemeClr val="tx1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endParaRPr>
              </a:p>
            </c:rich>
          </c:tx>
          <c:layout>
            <c:manualLayout>
              <c:xMode val="edge"/>
              <c:yMode val="edge"/>
              <c:x val="2.2734433156019317E-2"/>
              <c:y val="0.377230464821203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271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0600515123306837"/>
          <c:y val="0.70806070511438557"/>
          <c:w val="0.10904873538452103"/>
          <c:h val="0.112622453652946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SB</a:t>
            </a:r>
            <a:endParaRPr lang="en-CA" baseline="0"/>
          </a:p>
          <a:p>
            <a:pPr>
              <a:defRPr/>
            </a:pPr>
            <a:r>
              <a:rPr lang="en-CA" baseline="0"/>
              <a:t>Profile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contact!$Q$2:$Q$11</c:f>
              <c:numCache>
                <c:formatCode>0.00E+00</c:formatCode>
                <c:ptCount val="10"/>
                <c:pt idx="0">
                  <c:v>1.3554E-2</c:v>
                </c:pt>
                <c:pt idx="1">
                  <c:v>0.11257499999999999</c:v>
                </c:pt>
                <c:pt idx="2">
                  <c:v>0.136575</c:v>
                </c:pt>
                <c:pt idx="3">
                  <c:v>0.17336000000000001</c:v>
                </c:pt>
                <c:pt idx="4">
                  <c:v>0.19813500000000001</c:v>
                </c:pt>
                <c:pt idx="5">
                  <c:v>0.25158999999999998</c:v>
                </c:pt>
                <c:pt idx="6">
                  <c:v>0.27507500000000001</c:v>
                </c:pt>
                <c:pt idx="7">
                  <c:v>0.26427500000000004</c:v>
                </c:pt>
                <c:pt idx="8">
                  <c:v>0.28774999999999995</c:v>
                </c:pt>
                <c:pt idx="9">
                  <c:v>0.30957000000000001</c:v>
                </c:pt>
              </c:numCache>
            </c:numRef>
          </c:xVal>
          <c:yVal>
            <c:numRef>
              <c:f>contact!$R$2:$R$11</c:f>
              <c:numCache>
                <c:formatCode>0.00E+00</c:formatCode>
                <c:ptCount val="10"/>
                <c:pt idx="0">
                  <c:v>-3.9160000000000004</c:v>
                </c:pt>
                <c:pt idx="1">
                  <c:v>-8.2125000000000004</c:v>
                </c:pt>
                <c:pt idx="2">
                  <c:v>-9.3345000000000002</c:v>
                </c:pt>
                <c:pt idx="3">
                  <c:v>-8.8689999999999998</c:v>
                </c:pt>
                <c:pt idx="4">
                  <c:v>-8.657</c:v>
                </c:pt>
                <c:pt idx="5">
                  <c:v>-9.8000000000000007</c:v>
                </c:pt>
                <c:pt idx="6">
                  <c:v>-9.9695</c:v>
                </c:pt>
                <c:pt idx="7">
                  <c:v>-9.4614999999999991</c:v>
                </c:pt>
                <c:pt idx="8">
                  <c:v>-10.561999999999999</c:v>
                </c:pt>
                <c:pt idx="9">
                  <c:v>-10.477499999999999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0A-4C05-8A0F-371C91D1E596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contact!$Q$2:$Q$11</c:f>
              <c:numCache>
                <c:formatCode>0.00E+00</c:formatCode>
                <c:ptCount val="10"/>
                <c:pt idx="0">
                  <c:v>1.3554E-2</c:v>
                </c:pt>
                <c:pt idx="1">
                  <c:v>0.11257499999999999</c:v>
                </c:pt>
                <c:pt idx="2">
                  <c:v>0.136575</c:v>
                </c:pt>
                <c:pt idx="3">
                  <c:v>0.17336000000000001</c:v>
                </c:pt>
                <c:pt idx="4">
                  <c:v>0.19813500000000001</c:v>
                </c:pt>
                <c:pt idx="5">
                  <c:v>0.25158999999999998</c:v>
                </c:pt>
                <c:pt idx="6">
                  <c:v>0.27507500000000001</c:v>
                </c:pt>
                <c:pt idx="7">
                  <c:v>0.26427500000000004</c:v>
                </c:pt>
                <c:pt idx="8">
                  <c:v>0.28774999999999995</c:v>
                </c:pt>
                <c:pt idx="9">
                  <c:v>0.30957000000000001</c:v>
                </c:pt>
              </c:numCache>
            </c:numRef>
          </c:xVal>
          <c:yVal>
            <c:numRef>
              <c:f>contact!$S$2:$S$11</c:f>
              <c:numCache>
                <c:formatCode>0.0</c:formatCode>
                <c:ptCount val="10"/>
                <c:pt idx="0">
                  <c:v>3.9160000000000004</c:v>
                </c:pt>
                <c:pt idx="1">
                  <c:v>8.2125000000000004</c:v>
                </c:pt>
                <c:pt idx="2">
                  <c:v>9.3345000000000002</c:v>
                </c:pt>
                <c:pt idx="3">
                  <c:v>8.8689999999999998</c:v>
                </c:pt>
                <c:pt idx="4">
                  <c:v>8.657</c:v>
                </c:pt>
                <c:pt idx="5">
                  <c:v>9.8000000000000007</c:v>
                </c:pt>
                <c:pt idx="6">
                  <c:v>9.9695</c:v>
                </c:pt>
                <c:pt idx="7">
                  <c:v>9.4614999999999991</c:v>
                </c:pt>
                <c:pt idx="8">
                  <c:v>10.561999999999999</c:v>
                </c:pt>
                <c:pt idx="9">
                  <c:v>10.477499999999999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0A-4C05-8A0F-371C91D1E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212344"/>
        <c:axId val="806211704"/>
      </c:scatterChart>
      <c:valAx>
        <c:axId val="806212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211704"/>
        <c:crosses val="autoZero"/>
        <c:crossBetween val="midCat"/>
        <c:majorUnit val="0.4"/>
      </c:valAx>
      <c:valAx>
        <c:axId val="80621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212344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angles!$K$1</c:f>
              <c:strCache>
                <c:ptCount val="1"/>
                <c:pt idx="0">
                  <c:v>resultant angle (β-γ)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angles!$L:$L</c:f>
                <c:numCache>
                  <c:formatCode>General</c:formatCode>
                  <c:ptCount val="1048576"/>
                  <c:pt idx="0">
                    <c:v>0</c:v>
                  </c:pt>
                  <c:pt idx="1">
                    <c:v>0.44836945235530817</c:v>
                  </c:pt>
                  <c:pt idx="2">
                    <c:v>0.60298178616248665</c:v>
                  </c:pt>
                  <c:pt idx="3">
                    <c:v>2.6224386969468267</c:v>
                  </c:pt>
                  <c:pt idx="4">
                    <c:v>3.956166906363551</c:v>
                  </c:pt>
                  <c:pt idx="5">
                    <c:v>2.7212976015104755</c:v>
                  </c:pt>
                  <c:pt idx="6">
                    <c:v>4.8950515382949185</c:v>
                  </c:pt>
                  <c:pt idx="7">
                    <c:v>0.32503838530004564</c:v>
                  </c:pt>
                  <c:pt idx="8">
                    <c:v>0.45466992716861665</c:v>
                  </c:pt>
                  <c:pt idx="9">
                    <c:v>4.5074314704687328</c:v>
                  </c:pt>
                  <c:pt idx="10">
                    <c:v>6.1037821646815216</c:v>
                  </c:pt>
                  <c:pt idx="11">
                    <c:v>4.5115292808017644</c:v>
                  </c:pt>
                  <c:pt idx="12">
                    <c:v>6.3919636911858948</c:v>
                  </c:pt>
                </c:numCache>
              </c:numRef>
            </c:plus>
            <c:minus>
              <c:numRef>
                <c:f>angles!$L:$L</c:f>
                <c:numCache>
                  <c:formatCode>General</c:formatCode>
                  <c:ptCount val="1048576"/>
                  <c:pt idx="0">
                    <c:v>0</c:v>
                  </c:pt>
                  <c:pt idx="1">
                    <c:v>0.44836945235530817</c:v>
                  </c:pt>
                  <c:pt idx="2">
                    <c:v>0.60298178616248665</c:v>
                  </c:pt>
                  <c:pt idx="3">
                    <c:v>2.6224386969468267</c:v>
                  </c:pt>
                  <c:pt idx="4">
                    <c:v>3.956166906363551</c:v>
                  </c:pt>
                  <c:pt idx="5">
                    <c:v>2.7212976015104755</c:v>
                  </c:pt>
                  <c:pt idx="6">
                    <c:v>4.8950515382949185</c:v>
                  </c:pt>
                  <c:pt idx="7">
                    <c:v>0.32503838530004564</c:v>
                  </c:pt>
                  <c:pt idx="8">
                    <c:v>0.45466992716861665</c:v>
                  </c:pt>
                  <c:pt idx="9">
                    <c:v>4.5074314704687328</c:v>
                  </c:pt>
                  <c:pt idx="10">
                    <c:v>6.1037821646815216</c:v>
                  </c:pt>
                  <c:pt idx="11">
                    <c:v>4.5115292808017644</c:v>
                  </c:pt>
                  <c:pt idx="12">
                    <c:v>6.3919636911858948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angles!$J:$J</c:f>
                <c:numCache>
                  <c:formatCode>General</c:formatCode>
                  <c:ptCount val="1048576"/>
                  <c:pt idx="0">
                    <c:v>0</c:v>
                  </c:pt>
                  <c:pt idx="1">
                    <c:v>0.11704367248175718</c:v>
                  </c:pt>
                  <c:pt idx="2">
                    <c:v>0.12400860641327462</c:v>
                  </c:pt>
                  <c:pt idx="3">
                    <c:v>0.12427754947545393</c:v>
                  </c:pt>
                  <c:pt idx="4">
                    <c:v>0.1487240115295044</c:v>
                  </c:pt>
                  <c:pt idx="5">
                    <c:v>0.12669081638118057</c:v>
                  </c:pt>
                  <c:pt idx="6">
                    <c:v>0.16423206905182453</c:v>
                  </c:pt>
                  <c:pt idx="7">
                    <c:v>0.1749978316455133</c:v>
                  </c:pt>
                  <c:pt idx="8">
                    <c:v>0.28280097934277987</c:v>
                  </c:pt>
                  <c:pt idx="9">
                    <c:v>0.16389387632910463</c:v>
                  </c:pt>
                  <c:pt idx="10">
                    <c:v>0.31633620743355961</c:v>
                  </c:pt>
                  <c:pt idx="11">
                    <c:v>0.16658533771814307</c:v>
                  </c:pt>
                  <c:pt idx="12">
                    <c:v>0.33026276712913932</c:v>
                  </c:pt>
                </c:numCache>
              </c:numRef>
            </c:plus>
            <c:minus>
              <c:numRef>
                <c:f>angles!$J:$J</c:f>
                <c:numCache>
                  <c:formatCode>General</c:formatCode>
                  <c:ptCount val="1048576"/>
                  <c:pt idx="0">
                    <c:v>0</c:v>
                  </c:pt>
                  <c:pt idx="1">
                    <c:v>0.11704367248175718</c:v>
                  </c:pt>
                  <c:pt idx="2">
                    <c:v>0.12400860641327462</c:v>
                  </c:pt>
                  <c:pt idx="3">
                    <c:v>0.12427754947545393</c:v>
                  </c:pt>
                  <c:pt idx="4">
                    <c:v>0.1487240115295044</c:v>
                  </c:pt>
                  <c:pt idx="5">
                    <c:v>0.12669081638118057</c:v>
                  </c:pt>
                  <c:pt idx="6">
                    <c:v>0.16423206905182453</c:v>
                  </c:pt>
                  <c:pt idx="7">
                    <c:v>0.1749978316455133</c:v>
                  </c:pt>
                  <c:pt idx="8">
                    <c:v>0.28280097934277987</c:v>
                  </c:pt>
                  <c:pt idx="9">
                    <c:v>0.16389387632910463</c:v>
                  </c:pt>
                  <c:pt idx="10">
                    <c:v>0.31633620743355961</c:v>
                  </c:pt>
                  <c:pt idx="11">
                    <c:v>0.16658533771814307</c:v>
                  </c:pt>
                  <c:pt idx="12">
                    <c:v>0.33026276712913932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angles!$I$2:$I$52</c:f>
              <c:numCache>
                <c:formatCode>General</c:formatCode>
                <c:ptCount val="51"/>
                <c:pt idx="0">
                  <c:v>14.664089985499743</c:v>
                </c:pt>
                <c:pt idx="1">
                  <c:v>15.562666662220309</c:v>
                </c:pt>
                <c:pt idx="2">
                  <c:v>5.0810558357553361</c:v>
                </c:pt>
                <c:pt idx="3">
                  <c:v>5.5224908863096118</c:v>
                </c:pt>
                <c:pt idx="4">
                  <c:v>1.0400505449357524</c:v>
                </c:pt>
                <c:pt idx="5">
                  <c:v>2.3062160990078553</c:v>
                </c:pt>
                <c:pt idx="6">
                  <c:v>-9.1174522117230481</c:v>
                </c:pt>
                <c:pt idx="7">
                  <c:v>-8.6316600642043113</c:v>
                </c:pt>
                <c:pt idx="8">
                  <c:v>0.5630046025521267</c:v>
                </c:pt>
                <c:pt idx="9">
                  <c:v>0.6618030030553399</c:v>
                </c:pt>
                <c:pt idx="10">
                  <c:v>12.89830378477879</c:v>
                </c:pt>
                <c:pt idx="11">
                  <c:v>13.611943214713165</c:v>
                </c:pt>
              </c:numCache>
            </c:numRef>
          </c:xVal>
          <c:yVal>
            <c:numRef>
              <c:f>angles!$K$2:$K$52</c:f>
              <c:numCache>
                <c:formatCode>General</c:formatCode>
                <c:ptCount val="51"/>
                <c:pt idx="0">
                  <c:v>80.117992935904468</c:v>
                </c:pt>
                <c:pt idx="1">
                  <c:v>80.360946220128625</c:v>
                </c:pt>
                <c:pt idx="2">
                  <c:v>60.60394714505675</c:v>
                </c:pt>
                <c:pt idx="3">
                  <c:v>71.506586116234104</c:v>
                </c:pt>
                <c:pt idx="4">
                  <c:v>1.4441255309358496</c:v>
                </c:pt>
                <c:pt idx="5">
                  <c:v>5.0277397259013128</c:v>
                </c:pt>
                <c:pt idx="6">
                  <c:v>-80.496872068429795</c:v>
                </c:pt>
                <c:pt idx="7">
                  <c:v>-82.443066913490966</c:v>
                </c:pt>
                <c:pt idx="8">
                  <c:v>-13.416183481840889</c:v>
                </c:pt>
                <c:pt idx="9">
                  <c:v>-31.259346925157146</c:v>
                </c:pt>
                <c:pt idx="10">
                  <c:v>75.555964275507762</c:v>
                </c:pt>
                <c:pt idx="11">
                  <c:v>59.2259638987518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62-4572-A672-3B9B83421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147184"/>
        <c:axId val="634149424"/>
      </c:scatterChart>
      <c:valAx>
        <c:axId val="63414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49424"/>
        <c:crosses val="autoZero"/>
        <c:crossBetween val="midCat"/>
      </c:valAx>
      <c:valAx>
        <c:axId val="63414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4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234577</xdr:colOff>
      <xdr:row>53</xdr:row>
      <xdr:rowOff>76199</xdr:rowOff>
    </xdr:from>
    <xdr:to>
      <xdr:col>39</xdr:col>
      <xdr:colOff>198577</xdr:colOff>
      <xdr:row>79</xdr:row>
      <xdr:rowOff>74572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08FF61-271B-4ECF-87B1-AF4BC8B38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288992</xdr:colOff>
      <xdr:row>6</xdr:row>
      <xdr:rowOff>105896</xdr:rowOff>
    </xdr:from>
    <xdr:to>
      <xdr:col>51</xdr:col>
      <xdr:colOff>595257</xdr:colOff>
      <xdr:row>22</xdr:row>
      <xdr:rowOff>134471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72FCEB-F500-44DD-B9D6-AFF58F0AD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476506</xdr:colOff>
      <xdr:row>29</xdr:row>
      <xdr:rowOff>81026</xdr:rowOff>
    </xdr:from>
    <xdr:to>
      <xdr:col>43</xdr:col>
      <xdr:colOff>361306</xdr:colOff>
      <xdr:row>56</xdr:row>
      <xdr:rowOff>124483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ED7930-E22B-4877-9745-DBDDF72EAE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419349</xdr:colOff>
      <xdr:row>57</xdr:row>
      <xdr:rowOff>56408</xdr:rowOff>
    </xdr:from>
    <xdr:to>
      <xdr:col>43</xdr:col>
      <xdr:colOff>304149</xdr:colOff>
      <xdr:row>84</xdr:row>
      <xdr:rowOff>99865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6CC50BF-0466-4707-9948-ABFE098579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478971</xdr:colOff>
      <xdr:row>3</xdr:row>
      <xdr:rowOff>1</xdr:rowOff>
    </xdr:from>
    <xdr:to>
      <xdr:col>43</xdr:col>
      <xdr:colOff>363771</xdr:colOff>
      <xdr:row>30</xdr:row>
      <xdr:rowOff>43458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EEC8F0B-0A44-4BDA-BDC2-88BBD2B87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408902</xdr:colOff>
      <xdr:row>12</xdr:row>
      <xdr:rowOff>154032</xdr:rowOff>
    </xdr:from>
    <xdr:to>
      <xdr:col>17</xdr:col>
      <xdr:colOff>381000</xdr:colOff>
      <xdr:row>68</xdr:row>
      <xdr:rowOff>18602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0F9E33-AE36-426B-8FD5-1A5C0744D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46</xdr:col>
      <xdr:colOff>38100</xdr:colOff>
      <xdr:row>25</xdr:row>
      <xdr:rowOff>133350</xdr:rowOff>
    </xdr:from>
    <xdr:ext cx="3395673" cy="29367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BAAB16D-5563-4552-B73F-FF3E1CB57EF0}"/>
            </a:ext>
          </a:extLst>
        </xdr:cNvPr>
        <xdr:cNvSpPr txBox="1"/>
      </xdr:nvSpPr>
      <xdr:spPr>
        <a:xfrm>
          <a:off x="29813250" y="4657725"/>
          <a:ext cx="3395673" cy="2936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200"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Normal </a:t>
          </a:r>
          <a:r>
            <a:rPr lang="en-CA" sz="120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component</a:t>
          </a:r>
          <a:r>
            <a:rPr lang="en-CA" sz="1200" baseline="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 of impact v</a:t>
          </a:r>
          <a:r>
            <a:rPr lang="en-CA" sz="120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elocity, </a:t>
          </a:r>
          <a:r>
            <a:rPr lang="en-CA" sz="1200" i="1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v</a:t>
          </a:r>
          <a:r>
            <a:rPr lang="en-CA" sz="1200" i="1" baseline="-2500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n</a:t>
          </a:r>
          <a:r>
            <a:rPr lang="en-CA" sz="1200" baseline="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 (ms</a:t>
          </a:r>
          <a:r>
            <a:rPr lang="en-CA" sz="1200" baseline="3000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-1</a:t>
          </a:r>
          <a:r>
            <a:rPr lang="en-CA" sz="1200" baseline="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)</a:t>
          </a:r>
          <a:endParaRPr lang="en-CA" sz="1200">
            <a:latin typeface="CMU Serif" panose="02000603000000000000" pitchFamily="2" charset="0"/>
            <a:ea typeface="CMU Serif" panose="02000603000000000000" pitchFamily="2" charset="0"/>
            <a:cs typeface="CMU Serif" panose="02000603000000000000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174746</xdr:colOff>
      <xdr:row>14</xdr:row>
      <xdr:rowOff>68549</xdr:rowOff>
    </xdr:from>
    <xdr:to>
      <xdr:col>15</xdr:col>
      <xdr:colOff>522659</xdr:colOff>
      <xdr:row>29</xdr:row>
      <xdr:rowOff>68549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EB0217-2610-4218-8DB4-E989D956B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2.0/UofE%20MSc/Curling%20Experiment/Velocities_experiment_2019-01-29%202sigma%202020-05-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oE%20MSc\Curling%20Stone%20Impact%20Test\Curling%20Stone%20Impact%20Test\Experiment%202020-02-19\High_Speed\Exp13_annotated\Exp13_annot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p1"/>
      <sheetName val="Exp2"/>
      <sheetName val="Exp3"/>
      <sheetName val="Exp4"/>
      <sheetName val="Exp5"/>
      <sheetName val="Exp6"/>
      <sheetName val="Exp7"/>
      <sheetName val="Exp89"/>
      <sheetName val="Stone diameter"/>
      <sheetName val="Angles"/>
      <sheetName val="Sheet1"/>
      <sheetName val="ElasticCheck"/>
      <sheetName val="Contact area"/>
      <sheetName val="1.1"/>
      <sheetName val="1.2"/>
      <sheetName val="1.3"/>
      <sheetName val="1.4"/>
      <sheetName val="1.5"/>
      <sheetName val="1.6"/>
      <sheetName val="1.7"/>
      <sheetName val="1.8"/>
      <sheetName val="StoneDiameter"/>
      <sheetName val="MassDimensions"/>
      <sheetName val="Master"/>
      <sheetName val="ContactAre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O3">
            <v>2.1223404255319149</v>
          </cell>
        </row>
      </sheetData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p13_annotated"/>
      <sheetName val="use master"/>
      <sheetName val="using vm"/>
      <sheetName val="based on thresholded"/>
      <sheetName val="use these v (secant)"/>
    </sheetNames>
    <sheetDataSet>
      <sheetData sheetId="0">
        <row r="17">
          <cell r="M17">
            <v>1.3750000000000001E-4</v>
          </cell>
        </row>
        <row r="22">
          <cell r="G22">
            <v>5.7500000000000086E-4</v>
          </cell>
        </row>
      </sheetData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243D-D709-4451-95A5-ED24FC0ABA7A}">
  <dimension ref="A1:BH55"/>
  <sheetViews>
    <sheetView zoomScaleNormal="100" workbookViewId="0">
      <pane xSplit="1" ySplit="2" topLeftCell="AD3" activePane="bottomRight" state="frozen"/>
      <selection pane="topRight" activeCell="B1" sqref="B1"/>
      <selection pane="bottomLeft" activeCell="A2" sqref="A2"/>
      <selection pane="bottomRight" activeCell="AH1" sqref="AH1:AM2"/>
    </sheetView>
  </sheetViews>
  <sheetFormatPr defaultRowHeight="15" x14ac:dyDescent="0.25"/>
  <cols>
    <col min="1" max="1" width="19.28515625" customWidth="1"/>
    <col min="12" max="13" width="8.28515625" customWidth="1"/>
    <col min="18" max="18" width="12" bestFit="1" customWidth="1"/>
    <col min="19" max="20" width="12" customWidth="1"/>
    <col min="25" max="26" width="5.7109375" customWidth="1"/>
  </cols>
  <sheetData>
    <row r="1" spans="1:60" s="2" customFormat="1" x14ac:dyDescent="0.25">
      <c r="A1" s="2" t="s">
        <v>166</v>
      </c>
      <c r="K1" s="2" t="s">
        <v>48</v>
      </c>
      <c r="N1" s="2" t="s">
        <v>49</v>
      </c>
      <c r="U1" s="2" t="s">
        <v>51</v>
      </c>
      <c r="AA1" s="2" t="s">
        <v>50</v>
      </c>
      <c r="AL1" s="2" t="s">
        <v>101</v>
      </c>
      <c r="AQ1" s="2" t="s">
        <v>97</v>
      </c>
    </row>
    <row r="2" spans="1:60" ht="18" x14ac:dyDescent="0.35">
      <c r="A2" t="s">
        <v>14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K2" s="2" t="s">
        <v>15</v>
      </c>
      <c r="L2" s="1" t="s">
        <v>45</v>
      </c>
      <c r="M2" s="1"/>
      <c r="N2" s="2" t="s">
        <v>41</v>
      </c>
      <c r="O2" s="1" t="s">
        <v>43</v>
      </c>
      <c r="P2" s="2" t="s">
        <v>42</v>
      </c>
      <c r="Q2" s="1" t="s">
        <v>44</v>
      </c>
      <c r="R2" s="2" t="s">
        <v>17</v>
      </c>
      <c r="S2" s="1" t="s">
        <v>33</v>
      </c>
      <c r="T2" s="1"/>
      <c r="U2" s="2" t="s">
        <v>37</v>
      </c>
      <c r="V2" t="s">
        <v>36</v>
      </c>
      <c r="W2" s="1" t="s">
        <v>35</v>
      </c>
      <c r="X2" s="2" t="s">
        <v>38</v>
      </c>
      <c r="Y2" s="1" t="s">
        <v>47</v>
      </c>
      <c r="Z2" s="1"/>
      <c r="AA2" s="2" t="s">
        <v>18</v>
      </c>
      <c r="AB2" t="s">
        <v>99</v>
      </c>
      <c r="AC2" s="2" t="s">
        <v>19</v>
      </c>
      <c r="AD2" t="s">
        <v>100</v>
      </c>
      <c r="AE2" s="2" t="s">
        <v>16</v>
      </c>
      <c r="AF2" t="s">
        <v>40</v>
      </c>
      <c r="AG2" s="1" t="s">
        <v>39</v>
      </c>
      <c r="AH2" s="3" t="s">
        <v>224</v>
      </c>
      <c r="AI2" s="1" t="s">
        <v>225</v>
      </c>
      <c r="AL2" s="3" t="s">
        <v>226</v>
      </c>
      <c r="AM2" s="1" t="s">
        <v>227</v>
      </c>
      <c r="AN2" t="s">
        <v>180</v>
      </c>
      <c r="AO2" t="s">
        <v>181</v>
      </c>
      <c r="AP2" s="2"/>
      <c r="AQ2" t="s">
        <v>30</v>
      </c>
      <c r="AR2" t="s">
        <v>34</v>
      </c>
      <c r="AU2" t="s">
        <v>108</v>
      </c>
      <c r="AV2" t="s">
        <v>61</v>
      </c>
      <c r="AW2" t="s">
        <v>112</v>
      </c>
      <c r="AX2" s="1" t="s">
        <v>109</v>
      </c>
      <c r="AY2" s="1" t="s">
        <v>110</v>
      </c>
      <c r="AZ2" s="1" t="s">
        <v>111</v>
      </c>
      <c r="BA2" s="1" t="str">
        <f>AE2</f>
        <v>v</v>
      </c>
      <c r="BB2" s="1" t="str">
        <f>AF2</f>
        <v>σv</v>
      </c>
      <c r="BC2" s="1" t="str">
        <f>X12</f>
        <v>collision angle</v>
      </c>
      <c r="BD2" s="1" t="str">
        <f>Y12</f>
        <v>σcollision angle</v>
      </c>
      <c r="BE2" t="str">
        <f>AH2</f>
        <v>vn</v>
      </c>
      <c r="BF2" t="str">
        <f>AI2</f>
        <v>σvn</v>
      </c>
      <c r="BG2" t="str">
        <f>AN2</f>
        <v>COR</v>
      </c>
      <c r="BH2" t="str">
        <f>AO2</f>
        <v>σCOR</v>
      </c>
    </row>
    <row r="3" spans="1:60" x14ac:dyDescent="0.25">
      <c r="A3" t="s">
        <v>0</v>
      </c>
      <c r="B3">
        <v>764.5</v>
      </c>
      <c r="C3">
        <v>699.5</v>
      </c>
      <c r="D3">
        <v>631.46</v>
      </c>
      <c r="E3">
        <v>664</v>
      </c>
      <c r="F3">
        <v>800</v>
      </c>
      <c r="G3">
        <v>201</v>
      </c>
      <c r="H3">
        <v>201</v>
      </c>
      <c r="I3">
        <v>138</v>
      </c>
      <c r="K3">
        <f>(I3-I4)/240</f>
        <v>0.18333333333333332</v>
      </c>
      <c r="L3">
        <f>1/240</f>
        <v>4.1666666666666666E-3</v>
      </c>
      <c r="N3">
        <f>B3-B4</f>
        <v>49</v>
      </c>
      <c r="O3">
        <f>ABS(N3)*$AQ$3+$AR$3</f>
        <v>0.85517004800528995</v>
      </c>
      <c r="P3">
        <f>C3-C4</f>
        <v>245</v>
      </c>
      <c r="Q3">
        <f>ABS(P3)*$AQ$3+$AR$3</f>
        <v>2.3893791046176336</v>
      </c>
      <c r="R3">
        <f>SQRT(N3^2+P3^2)</f>
        <v>249.85195616604645</v>
      </c>
      <c r="S3">
        <f>ABS(R3)*$AQ$3+$AR$3</f>
        <v>2.4273582632514836</v>
      </c>
      <c r="T3" s="1"/>
      <c r="U3" s="5">
        <f>IFERROR(DEGREES(ATAN2(N3, P3)), 90)</f>
        <v>78.690067525979785</v>
      </c>
      <c r="V3" s="5">
        <f>N3^2+P3^2</f>
        <v>62426</v>
      </c>
      <c r="W3" s="5">
        <f>DEGREES(SQRT(((P3/V3)^2)*O3^2+((N3/V3)^2)*Q3^2))</f>
        <v>0.22028589106591509</v>
      </c>
      <c r="X3" s="5">
        <f>U3-$U$3</f>
        <v>0</v>
      </c>
      <c r="Y3" s="5">
        <f>SQRT($W$3^2+W3^2)</f>
        <v>0.31153129474485936</v>
      </c>
      <c r="AA3" s="5">
        <f>N3/K3</f>
        <v>267.27272727272731</v>
      </c>
      <c r="AB3" s="5">
        <f>ABS(AA3)*SQRT((L3/K3)^2+(O3/N3)^2)</f>
        <v>7.6587368901764661</v>
      </c>
      <c r="AC3" s="5">
        <f>P3/K3</f>
        <v>1336.3636363636365</v>
      </c>
      <c r="AD3" s="5">
        <f>ABS(AC3)*SQRT((L3/K3)^2+(Q3/P3)^2)</f>
        <v>33.050126286913198</v>
      </c>
      <c r="AE3" s="5">
        <f>R3/K3</f>
        <v>1362.828851814799</v>
      </c>
      <c r="AF3" s="5">
        <f>ABS(AE3)*SQRT((L3/K3)^2+(S3/R3)^2)</f>
        <v>33.684590765054018</v>
      </c>
      <c r="AG3" s="5">
        <f>AF3/AE3</f>
        <v>2.4716669829963043E-2</v>
      </c>
      <c r="AH3" s="5">
        <f>AE3*COS(RADIANS(X13))</f>
        <v>1318.4368894010702</v>
      </c>
      <c r="AI3" s="5">
        <f>SQRT(COS(RADIANS(X13))^2*AF3^2+(AE3*SIN(RADIANS(X13)))^2*Y13^2)</f>
        <v>93.885306216198217</v>
      </c>
      <c r="AL3">
        <f>AH3</f>
        <v>1318.4368894010702</v>
      </c>
      <c r="AM3">
        <f>AI3</f>
        <v>93.885306216198217</v>
      </c>
      <c r="AN3">
        <f>AL5/AL3</f>
        <v>0.93601206234903145</v>
      </c>
      <c r="AO3">
        <f>ABS(AN3)*SQRT((AM3/AL3)^2+(AM5/AL5)^2)</f>
        <v>0.17649437077845292</v>
      </c>
      <c r="AQ3">
        <f>AS3*0.003913798613807</f>
        <v>7.8275972276139992E-3</v>
      </c>
      <c r="AR3">
        <f>AS3*0.235808891926102</f>
        <v>0.47161778385220399</v>
      </c>
      <c r="AS3">
        <v>2</v>
      </c>
      <c r="AU3">
        <v>1.1000000000000001</v>
      </c>
      <c r="AV3">
        <v>1</v>
      </c>
      <c r="AW3">
        <v>10.34</v>
      </c>
      <c r="AX3">
        <v>0.2</v>
      </c>
      <c r="AY3">
        <v>8.9749999999999996</v>
      </c>
      <c r="AZ3">
        <v>17.738</v>
      </c>
      <c r="BA3" s="1">
        <f>AE3</f>
        <v>1362.828851814799</v>
      </c>
      <c r="BB3" s="1">
        <f>AF3</f>
        <v>33.684590765054018</v>
      </c>
      <c r="BC3" s="1">
        <f>X13</f>
        <v>14.664089985499743</v>
      </c>
      <c r="BD3" s="1">
        <f>Y13</f>
        <v>0.25521087725779174</v>
      </c>
      <c r="BE3">
        <f>AH3</f>
        <v>1318.4368894010702</v>
      </c>
      <c r="BF3">
        <f>AI3</f>
        <v>93.885306216198217</v>
      </c>
      <c r="BG3">
        <f>AN3</f>
        <v>0.93601206234903145</v>
      </c>
      <c r="BH3">
        <f>AO3</f>
        <v>0.17649437077845292</v>
      </c>
    </row>
    <row r="4" spans="1:60" x14ac:dyDescent="0.25">
      <c r="A4" t="s">
        <v>1</v>
      </c>
      <c r="B4">
        <v>715.5</v>
      </c>
      <c r="C4">
        <v>454.5</v>
      </c>
      <c r="D4">
        <v>631.46</v>
      </c>
      <c r="E4">
        <v>615</v>
      </c>
      <c r="F4">
        <v>555</v>
      </c>
      <c r="G4">
        <v>201</v>
      </c>
      <c r="H4">
        <v>201</v>
      </c>
      <c r="I4">
        <v>94</v>
      </c>
      <c r="L4">
        <f t="shared" ref="L4:L8" si="0">1/240</f>
        <v>4.1666666666666666E-3</v>
      </c>
      <c r="AQ4">
        <f>AS3*0.000205630802414239</f>
        <v>4.11261604828478E-4</v>
      </c>
      <c r="AR4">
        <f>AS3*0.0272049920008763</f>
        <v>5.44099840017526E-2</v>
      </c>
    </row>
    <row r="5" spans="1:60" x14ac:dyDescent="0.25">
      <c r="A5" t="s">
        <v>27</v>
      </c>
      <c r="B5">
        <v>804.5</v>
      </c>
      <c r="C5">
        <v>707.5</v>
      </c>
      <c r="D5">
        <v>631.46</v>
      </c>
      <c r="E5">
        <v>704</v>
      </c>
      <c r="F5">
        <v>808</v>
      </c>
      <c r="G5">
        <v>201</v>
      </c>
      <c r="H5">
        <v>201</v>
      </c>
      <c r="I5">
        <v>180</v>
      </c>
      <c r="K5">
        <f>(I5-I6)/240</f>
        <v>0.16666666666666666</v>
      </c>
      <c r="L5">
        <f t="shared" si="0"/>
        <v>4.1666666666666666E-3</v>
      </c>
      <c r="N5">
        <f>B5-B6</f>
        <v>38</v>
      </c>
      <c r="O5">
        <f>ABS(N5)*$AQ$3+$AR$3</f>
        <v>0.76906647850153598</v>
      </c>
      <c r="P5">
        <f>C5-C6</f>
        <v>6</v>
      </c>
      <c r="Q5">
        <f>ABS(P5)*$AQ$3+$AR$3</f>
        <v>0.518583367217888</v>
      </c>
      <c r="R5">
        <f>SQRT(N5^2+P5^2)</f>
        <v>38.470768123342687</v>
      </c>
      <c r="S5">
        <f>ABS(R5)*$AQ$3+$AR$3</f>
        <v>0.77275146175866216</v>
      </c>
      <c r="T5" s="1" t="s">
        <v>85</v>
      </c>
      <c r="U5" s="5">
        <f>IFERROR(DEGREES(ATAN2(N5, P5)), 90)</f>
        <v>8.9726266148963933</v>
      </c>
      <c r="V5" s="5">
        <f>N5^2+P5^2</f>
        <v>1480</v>
      </c>
      <c r="W5" s="5">
        <f>DEGREES(SQRT(((P5/V5)^2)*O5^2+((N5/V5)^2)*Q5^2))</f>
        <v>0.78352802076855055</v>
      </c>
      <c r="X5" s="5">
        <f>U5-$U$3</f>
        <v>-69.717440911083386</v>
      </c>
      <c r="Y5" s="5">
        <f>SQRT($W$3^2+W5^2)</f>
        <v>0.81390542026219881</v>
      </c>
      <c r="AA5" s="5">
        <f>N5/K5</f>
        <v>228</v>
      </c>
      <c r="AB5" s="5">
        <f>ABS(AA5)*SQRT((L5/K5)^2+(O5/N5)^2)</f>
        <v>7.333667359566503</v>
      </c>
      <c r="AC5" s="5">
        <f>P5/K5</f>
        <v>36</v>
      </c>
      <c r="AD5" s="5">
        <f>ABS(AC5)*SQRT((L5/K5)^2+(Q5/P5)^2)</f>
        <v>3.2390482421818825</v>
      </c>
      <c r="AE5" s="5">
        <f>R5/K5</f>
        <v>230.82460874005614</v>
      </c>
      <c r="AF5" s="5">
        <f>ABS(AE5)*SQRT((L5/K5)^2+(S5/R5)^2)</f>
        <v>7.4025140039992756</v>
      </c>
      <c r="AG5" s="5">
        <f>AF5/AE5</f>
        <v>3.206986483982581E-2</v>
      </c>
      <c r="AH5">
        <f>AE5*COS(RADIANS(X14))</f>
        <v>22.59858391993178</v>
      </c>
      <c r="AI5">
        <f>SQRT(COS(RADIANS(X14))^2*AF5^2+(AE5*SIN(RADIANS(X14)))^2*Y14^2)</f>
        <v>182.40827458772051</v>
      </c>
      <c r="AL5">
        <f>AH7-AH5</f>
        <v>1234.0728319253376</v>
      </c>
      <c r="AM5">
        <f>SQRT(AI5^2+AI7^2)</f>
        <v>215.46518305428245</v>
      </c>
    </row>
    <row r="6" spans="1:60" x14ac:dyDescent="0.25">
      <c r="A6" t="s">
        <v>5</v>
      </c>
      <c r="B6">
        <v>766.5</v>
      </c>
      <c r="C6">
        <v>701.5</v>
      </c>
      <c r="D6">
        <v>631.46</v>
      </c>
      <c r="E6">
        <v>666</v>
      </c>
      <c r="F6">
        <v>802</v>
      </c>
      <c r="G6">
        <v>201</v>
      </c>
      <c r="H6">
        <v>201</v>
      </c>
      <c r="I6">
        <v>140</v>
      </c>
      <c r="L6">
        <f t="shared" si="0"/>
        <v>4.1666666666666666E-3</v>
      </c>
    </row>
    <row r="7" spans="1:60" x14ac:dyDescent="0.25">
      <c r="A7" t="s">
        <v>2</v>
      </c>
      <c r="B7">
        <v>749.5</v>
      </c>
      <c r="C7">
        <v>1042.5</v>
      </c>
      <c r="D7">
        <v>631.46</v>
      </c>
      <c r="E7">
        <v>649</v>
      </c>
      <c r="F7">
        <v>1143</v>
      </c>
      <c r="G7">
        <v>201</v>
      </c>
      <c r="H7">
        <v>201</v>
      </c>
      <c r="I7">
        <v>152</v>
      </c>
      <c r="K7">
        <f>(I7-I8)/240</f>
        <v>0.05</v>
      </c>
      <c r="L7">
        <f t="shared" si="0"/>
        <v>4.1666666666666666E-3</v>
      </c>
      <c r="N7">
        <f>B7-B8</f>
        <v>1</v>
      </c>
      <c r="O7">
        <f>ABS(N7)*$AQ$3+$AR$3</f>
        <v>0.47944538107981799</v>
      </c>
      <c r="P7">
        <f>C7-C8</f>
        <v>63</v>
      </c>
      <c r="Q7">
        <f>ABS(P7)*$AQ$3+$AR$3</f>
        <v>0.96475640919188588</v>
      </c>
      <c r="R7">
        <f>SQRT(N7^2+P7^2)</f>
        <v>63.007936008093459</v>
      </c>
      <c r="S7">
        <f>ABS(R7)*$AQ$3+$AR$3</f>
        <v>0.96481852906683663</v>
      </c>
      <c r="T7" s="1" t="s">
        <v>86</v>
      </c>
      <c r="U7">
        <f>IFERROR(DEGREES(ATAN2(N7, P7)), 90)</f>
        <v>89.090619550800866</v>
      </c>
      <c r="V7">
        <f>N7^2+P7^2</f>
        <v>3970</v>
      </c>
      <c r="W7">
        <f>DEGREES(SQRT(((P7/V7)^2)*O7^2+((N7/V7)^2)*Q7^2))</f>
        <v>0.43614734195236593</v>
      </c>
      <c r="X7">
        <f>U7-$U$3</f>
        <v>10.400552024821081</v>
      </c>
      <c r="Y7">
        <f>SQRT($W$3^2+W7^2)</f>
        <v>0.48862089363310918</v>
      </c>
      <c r="AA7">
        <f>N7/K7</f>
        <v>20</v>
      </c>
      <c r="AB7">
        <f>ABS(AA7)*SQRT((L7/K7)^2+(O7/N7)^2)</f>
        <v>9.7326731761262035</v>
      </c>
      <c r="AC7">
        <f>P7/K7</f>
        <v>1260</v>
      </c>
      <c r="AD7">
        <f>ABS(AC7)*SQRT((L7/K7)^2+(Q7/P7)^2)</f>
        <v>106.75814709721561</v>
      </c>
      <c r="AE7">
        <f>R7/K7</f>
        <v>1260.158720161869</v>
      </c>
      <c r="AF7">
        <f>ABS(AE7)*SQRT((L7/K7)^2+(S7/R7)^2)</f>
        <v>106.77138050709119</v>
      </c>
      <c r="AG7">
        <f>AF7/AE7</f>
        <v>8.4728517764314851E-2</v>
      </c>
      <c r="AH7">
        <f>AE7*COS(RADIANS(X15))</f>
        <v>1256.6714158452694</v>
      </c>
      <c r="AI7">
        <f>SQRT(COS(RADIANS(X15))^2*AF7^2+(AE7*SIN(RADIANS(X15)))^2*Y15^2)</f>
        <v>114.68420323020172</v>
      </c>
    </row>
    <row r="8" spans="1:60" x14ac:dyDescent="0.25">
      <c r="A8" t="s">
        <v>3</v>
      </c>
      <c r="B8">
        <v>748.5</v>
      </c>
      <c r="C8">
        <v>979.5</v>
      </c>
      <c r="D8">
        <v>631.46</v>
      </c>
      <c r="E8">
        <v>648</v>
      </c>
      <c r="F8">
        <v>1080</v>
      </c>
      <c r="G8">
        <v>201</v>
      </c>
      <c r="H8">
        <v>201</v>
      </c>
      <c r="I8">
        <v>140</v>
      </c>
      <c r="L8">
        <f t="shared" si="0"/>
        <v>4.1666666666666666E-3</v>
      </c>
    </row>
    <row r="10" spans="1:60" x14ac:dyDescent="0.25">
      <c r="AE10" t="s">
        <v>102</v>
      </c>
      <c r="AF10" t="s">
        <v>103</v>
      </c>
      <c r="AG10" s="1" t="s">
        <v>105</v>
      </c>
      <c r="AH10" s="1" t="s">
        <v>36</v>
      </c>
      <c r="AI10" t="s">
        <v>106</v>
      </c>
      <c r="AJ10" s="1" t="s">
        <v>104</v>
      </c>
      <c r="AK10" t="s">
        <v>107</v>
      </c>
    </row>
    <row r="11" spans="1:60" x14ac:dyDescent="0.25">
      <c r="U11">
        <f>U7-U5</f>
        <v>80.117992935904468</v>
      </c>
      <c r="W11">
        <f>SQRT(W5^2+W7^2)</f>
        <v>0.89673890471061657</v>
      </c>
      <c r="AA11">
        <f>SUM(AA3:AA4)-SUM(AA5:AA7)</f>
        <v>19.272727272727309</v>
      </c>
      <c r="AB11">
        <f>SQRT(SUMPRODUCT(AB3:AB7,AB3:AB7))</f>
        <v>14.393187793084879</v>
      </c>
      <c r="AC11">
        <f>SUM(AC3:AC4)-SUM(AC5:AC7)</f>
        <v>40.363636363636488</v>
      </c>
      <c r="AD11">
        <f>SQRT(SUMPRODUCT(AD3:AD7,AD3:AD7))</f>
        <v>111.80386510638537</v>
      </c>
      <c r="AE11">
        <f>SQRT(AA11^2+AC11^2)</f>
        <v>44.728750899447263</v>
      </c>
      <c r="AF11">
        <f>SQRT((AA11/AE11)^2*AB11^2+(AC11/AE11)^2*AD11^2)</f>
        <v>101.08326283574179</v>
      </c>
      <c r="AG11">
        <f>IF(DEGREES(ATAN(AC11/AA11))&lt;0, 180+DEGREES(ATAN(AC11/AA11)), DEGREES(ATAN(AC11/AA11)))</f>
        <v>64.476575498932007</v>
      </c>
      <c r="AH11">
        <f>AA11^2+AC11^2</f>
        <v>2000.6611570248047</v>
      </c>
      <c r="AI11">
        <f>DEGREES(SQRT(((AC11/AH11)^2)*AB11^2+((AA11/AH11)^2)*AD11^2))</f>
        <v>63.912657441117354</v>
      </c>
      <c r="AJ11">
        <f>AG11-U3</f>
        <v>-14.213492027047778</v>
      </c>
      <c r="AK11">
        <f>SQRT(AI11^2+W3^2)</f>
        <v>63.913037066465677</v>
      </c>
    </row>
    <row r="12" spans="1:60" x14ac:dyDescent="0.25">
      <c r="X12" t="s">
        <v>32</v>
      </c>
      <c r="Y12" s="1" t="s">
        <v>186</v>
      </c>
    </row>
    <row r="13" spans="1:60" x14ac:dyDescent="0.25">
      <c r="A13" t="s">
        <v>29</v>
      </c>
      <c r="B13">
        <v>748.5</v>
      </c>
      <c r="C13">
        <v>972.5</v>
      </c>
      <c r="D13">
        <v>631.46</v>
      </c>
      <c r="E13">
        <v>648</v>
      </c>
      <c r="F13">
        <v>1073</v>
      </c>
      <c r="G13">
        <v>201</v>
      </c>
      <c r="H13">
        <v>201</v>
      </c>
      <c r="I13">
        <v>138</v>
      </c>
      <c r="K13">
        <f>(I13-I14)/240</f>
        <v>0</v>
      </c>
      <c r="N13">
        <f>B13-B14</f>
        <v>-16</v>
      </c>
      <c r="O13">
        <f>ABS(N13)*$AQ$3+$AR$3</f>
        <v>0.59685933949402803</v>
      </c>
      <c r="P13">
        <f>C13-C14</f>
        <v>273</v>
      </c>
      <c r="Q13">
        <f>ABS(P13)*$AQ$3+$AR$3</f>
        <v>2.6085518269908254</v>
      </c>
      <c r="R13">
        <f>SQRT(N13^2+P13^2)</f>
        <v>273.46846253270229</v>
      </c>
      <c r="S13">
        <f>ABS(R13)*$AQ$3+$AR$3</f>
        <v>2.6122187630130469</v>
      </c>
      <c r="T13" t="s">
        <v>87</v>
      </c>
      <c r="U13">
        <f>IF(DEGREES(ATAN(P13/N13))&lt;0, 180+DEGREES(ATAN(P13/N13)), DEGREES(ATAN(P13/N13)))</f>
        <v>93.354157511479528</v>
      </c>
      <c r="V13">
        <f>N13^2+P13^2</f>
        <v>74785</v>
      </c>
      <c r="W13">
        <f>DEGREES(SQRT(((P13/V13)^2)*O13^2+((N13/V13)^2)*Q13^2))</f>
        <v>0.12886705579001725</v>
      </c>
      <c r="X13">
        <f>U13-$U$3</f>
        <v>14.664089985499743</v>
      </c>
      <c r="Y13">
        <f>SQRT($W$3^2+W13^2)</f>
        <v>0.25521087725779174</v>
      </c>
    </row>
    <row r="14" spans="1:60" x14ac:dyDescent="0.25">
      <c r="A14" t="s">
        <v>0</v>
      </c>
      <c r="B14">
        <v>764.5</v>
      </c>
      <c r="C14">
        <v>699.5</v>
      </c>
      <c r="D14">
        <v>631.46</v>
      </c>
      <c r="E14">
        <v>664</v>
      </c>
      <c r="F14">
        <v>800</v>
      </c>
      <c r="G14">
        <v>201</v>
      </c>
      <c r="H14">
        <v>201</v>
      </c>
      <c r="I14">
        <v>138</v>
      </c>
      <c r="X14">
        <f>U13-U5</f>
        <v>84.381530896583129</v>
      </c>
      <c r="Y14">
        <f>SQRT($W$5^2+W13^2)</f>
        <v>0.79405470680392642</v>
      </c>
    </row>
    <row r="15" spans="1:60" x14ac:dyDescent="0.25">
      <c r="X15">
        <f>U13-U7</f>
        <v>4.2635379606786614</v>
      </c>
      <c r="Y15">
        <f>SQRT($W$7^2+W13^2)</f>
        <v>0.45478700724636079</v>
      </c>
    </row>
    <row r="16" spans="1:60" x14ac:dyDescent="0.25">
      <c r="D16">
        <f>(640-D18)/640</f>
        <v>2.8070312500000048E-2</v>
      </c>
    </row>
    <row r="17" spans="1:60" x14ac:dyDescent="0.25">
      <c r="A17" t="s">
        <v>25</v>
      </c>
    </row>
    <row r="18" spans="1:60" x14ac:dyDescent="0.25">
      <c r="A18" t="s">
        <v>0</v>
      </c>
      <c r="B18">
        <v>501</v>
      </c>
      <c r="C18">
        <v>621</v>
      </c>
      <c r="D18">
        <v>622.03499999999997</v>
      </c>
      <c r="E18">
        <v>402</v>
      </c>
      <c r="F18">
        <v>720</v>
      </c>
      <c r="G18">
        <v>198</v>
      </c>
      <c r="H18">
        <v>198</v>
      </c>
      <c r="I18">
        <v>112</v>
      </c>
      <c r="K18">
        <f>(I18-I19)/240</f>
        <v>0.15833333333333333</v>
      </c>
      <c r="L18">
        <f>1/240</f>
        <v>4.1666666666666666E-3</v>
      </c>
      <c r="N18">
        <f>B18-B19</f>
        <v>40</v>
      </c>
      <c r="O18">
        <f>ABS(N18)*$AQ$18+$AR$18</f>
        <v>1.3812158529189507</v>
      </c>
      <c r="P18">
        <f>C18-C19</f>
        <v>209</v>
      </c>
      <c r="Q18">
        <f>ABS(P18)*$AQ$18+$AR$18</f>
        <v>4.3286100551697189</v>
      </c>
      <c r="R18">
        <f>SQRT(N18^2+P18^2)</f>
        <v>212.79332696304178</v>
      </c>
      <c r="S18">
        <f>ABS(R18)*$AQ$18+$AR$18</f>
        <v>4.3947664450993686</v>
      </c>
      <c r="U18">
        <f>IFERROR(DEGREES(ATAN2(N18, P18)), 90)</f>
        <v>79.1653211566219</v>
      </c>
      <c r="V18">
        <f>N18^2+P18^2</f>
        <v>45281</v>
      </c>
      <c r="W18">
        <f>DEGREES(SQRT(((P18/V18)^2)*O18^2+((N18/V18)^2)*Q18^2))</f>
        <v>0.42593571128715135</v>
      </c>
      <c r="X18">
        <f>U18-$U$18</f>
        <v>0</v>
      </c>
      <c r="Y18">
        <f>SQRT($W$18^2+W18^2)</f>
        <v>0.60236405960132045</v>
      </c>
      <c r="AA18">
        <f>N18/K18</f>
        <v>252.63157894736844</v>
      </c>
      <c r="AB18">
        <f>ABS(AA18)*SQRT((L18/K18)^2+(O18/N18)^2)</f>
        <v>10.968019845206268</v>
      </c>
      <c r="AC18">
        <f>P18/K18</f>
        <v>1320</v>
      </c>
      <c r="AD18">
        <f>ABS(AC18)*SQRT((L18/K18)^2+(Q18/P18)^2)</f>
        <v>44.204600359106912</v>
      </c>
      <c r="AE18">
        <f>R18/K18</f>
        <v>1343.9578545034219</v>
      </c>
      <c r="AF18">
        <f>ABS(AE18)*SQRT((L18/K18)^2+(S18/R18)^2)</f>
        <v>44.95848737766196</v>
      </c>
      <c r="AG18">
        <f>AF18/AE18</f>
        <v>3.3452304495272762E-2</v>
      </c>
      <c r="AH18">
        <f>AE18*COS(RADIANS(X28))</f>
        <v>1294.6851175231825</v>
      </c>
      <c r="AI18">
        <f>SQRT(COS(RADIANS(X28))^2*AF18^2+(AE18*SIN(RADIANS(X28)))^2*Y28^2)</f>
        <v>182.74107109035731</v>
      </c>
      <c r="AJ18">
        <f>(AE3-AE18)/AE18</f>
        <v>1.4041360931180188E-2</v>
      </c>
      <c r="AL18">
        <f>AH18</f>
        <v>1294.6851175231825</v>
      </c>
      <c r="AM18">
        <f>AI18</f>
        <v>182.74107109035731</v>
      </c>
      <c r="AN18">
        <f>AL20/AL18</f>
        <v>0.91090754929586415</v>
      </c>
      <c r="AO18">
        <f>ABS(AN18)*SQRT((AM18/AL18)^2+(AM20/AL20)^2)</f>
        <v>0.25267713905561495</v>
      </c>
      <c r="AQ18">
        <f>AS3*0.00872010119009103</f>
        <v>1.7440202380182061E-2</v>
      </c>
      <c r="AR18">
        <f>AS3*0.341803878855834</f>
        <v>0.68360775771166804</v>
      </c>
      <c r="AU18">
        <v>1.1000000000000001</v>
      </c>
      <c r="AV18">
        <v>2</v>
      </c>
      <c r="AW18">
        <v>10.34</v>
      </c>
      <c r="AX18">
        <v>0.2</v>
      </c>
      <c r="AY18">
        <v>8.9749999999999996</v>
      </c>
      <c r="AZ18">
        <v>17.738</v>
      </c>
      <c r="BA18" s="1">
        <f>AE18</f>
        <v>1343.9578545034219</v>
      </c>
      <c r="BB18" s="1">
        <f>AF18</f>
        <v>44.95848737766196</v>
      </c>
      <c r="BC18" s="1">
        <f>X28</f>
        <v>15.562666662220309</v>
      </c>
      <c r="BD18" s="1">
        <f>Y28</f>
        <v>0.49236739700720866</v>
      </c>
      <c r="BE18">
        <f>AH18</f>
        <v>1294.6851175231825</v>
      </c>
      <c r="BF18">
        <f>AI18</f>
        <v>182.74107109035731</v>
      </c>
      <c r="BG18">
        <f>AN18</f>
        <v>0.91090754929586415</v>
      </c>
      <c r="BH18">
        <f>AO18</f>
        <v>0.25267713905561495</v>
      </c>
    </row>
    <row r="19" spans="1:60" x14ac:dyDescent="0.25">
      <c r="A19" t="s">
        <v>1</v>
      </c>
      <c r="B19">
        <v>461</v>
      </c>
      <c r="C19">
        <v>412</v>
      </c>
      <c r="D19">
        <v>622.03499999999997</v>
      </c>
      <c r="E19">
        <v>362</v>
      </c>
      <c r="F19">
        <v>511</v>
      </c>
      <c r="G19">
        <v>198</v>
      </c>
      <c r="H19">
        <v>198</v>
      </c>
      <c r="I19">
        <v>74</v>
      </c>
      <c r="L19">
        <f t="shared" ref="L19:L23" si="1">1/240</f>
        <v>4.1666666666666666E-3</v>
      </c>
      <c r="AQ19">
        <f>AS3*0.00051291753818516</f>
        <v>1.0258350763703199E-3</v>
      </c>
      <c r="AR19">
        <f>AS3*0.0676280548663656</f>
        <v>0.13525610973273119</v>
      </c>
    </row>
    <row r="20" spans="1:60" x14ac:dyDescent="0.25">
      <c r="A20" t="s">
        <v>27</v>
      </c>
      <c r="B20">
        <v>539.5</v>
      </c>
      <c r="C20">
        <v>629.5</v>
      </c>
      <c r="D20">
        <v>625.17700000000002</v>
      </c>
      <c r="E20">
        <v>440</v>
      </c>
      <c r="F20">
        <v>729</v>
      </c>
      <c r="G20">
        <v>199</v>
      </c>
      <c r="H20">
        <v>199</v>
      </c>
      <c r="I20">
        <v>154</v>
      </c>
      <c r="K20">
        <f>(I20-I21)/240</f>
        <v>0.16666666666666666</v>
      </c>
      <c r="L20">
        <f t="shared" si="1"/>
        <v>4.1666666666666666E-3</v>
      </c>
      <c r="N20">
        <f>B20-B21</f>
        <v>37.5</v>
      </c>
      <c r="O20">
        <f>ABS(N20)*$AQ$18+$AR$18</f>
        <v>1.3376153469684953</v>
      </c>
      <c r="P20">
        <f>C20-C21</f>
        <v>5.5</v>
      </c>
      <c r="Q20">
        <f>ABS(P20)*$AQ$18+$AR$18</f>
        <v>0.77952887080266942</v>
      </c>
      <c r="R20">
        <f>SQRT(N20^2+P20^2)</f>
        <v>37.90118731649445</v>
      </c>
      <c r="S20">
        <f>ABS(R20)*$AQ$18+$AR$18</f>
        <v>1.3446121349605207</v>
      </c>
      <c r="T20" s="1" t="s">
        <v>85</v>
      </c>
      <c r="U20">
        <f>IFERROR(DEGREES(ATAN2(N20, P20)), 90)</f>
        <v>8.3438915840330949</v>
      </c>
      <c r="V20">
        <f>N20^2+P20^2</f>
        <v>1436.5</v>
      </c>
      <c r="W20">
        <f>DEGREES(SQRT(((P20/V20)^2)*O20^2+((N20/V20)^2)*Q20^2))</f>
        <v>1.2023088375993647</v>
      </c>
      <c r="X20">
        <f>U20-$U$18</f>
        <v>-70.821429572588812</v>
      </c>
      <c r="Y20">
        <f>SQRT($W$18^2+W20^2)</f>
        <v>1.2755264682158607</v>
      </c>
      <c r="AA20">
        <f>N20/K20</f>
        <v>225</v>
      </c>
      <c r="AB20">
        <f>ABS(AA20)*SQRT((L20/K20)^2+(O20/N20)^2)</f>
        <v>9.8006305099234989</v>
      </c>
      <c r="AC20">
        <f>P20/K20</f>
        <v>33</v>
      </c>
      <c r="AD20">
        <f>ABS(AC20)*SQRT((L20/K20)^2+(Q20/P20)^2)</f>
        <v>4.7493762090337555</v>
      </c>
      <c r="AE20">
        <f>R20/K20</f>
        <v>227.40712389896672</v>
      </c>
      <c r="AF20">
        <f>ABS(AE20)*SQRT((L20/K20)^2+(S20/R20)^2)</f>
        <v>9.8695792496636461</v>
      </c>
      <c r="AG20">
        <f>AF20/AE20</f>
        <v>4.3400484032543062E-2</v>
      </c>
      <c r="AH20">
        <f>AE20*COS(RADIANS(X29))</f>
        <v>14.34200843898819</v>
      </c>
      <c r="AI20">
        <f>SQRT(COS(RADIANS(X29))^2*AF20^2+(AE20*SIN(RADIANS(X29)))^2*Y29^2)</f>
        <v>278.56826223030362</v>
      </c>
      <c r="AJ20">
        <f>(AE5-AE20)/AE20</f>
        <v>1.5028046538277101E-2</v>
      </c>
      <c r="AL20">
        <f>AH22-AH20</f>
        <v>1179.3384475128701</v>
      </c>
      <c r="AM20">
        <f>SQRT(AI20^2+AI22^2)</f>
        <v>281.62000709149078</v>
      </c>
    </row>
    <row r="21" spans="1:60" x14ac:dyDescent="0.25">
      <c r="A21" t="s">
        <v>20</v>
      </c>
      <c r="B21">
        <v>502</v>
      </c>
      <c r="C21">
        <v>624</v>
      </c>
      <c r="D21">
        <v>622.03499999999997</v>
      </c>
      <c r="E21">
        <v>403</v>
      </c>
      <c r="F21">
        <v>723</v>
      </c>
      <c r="G21">
        <v>198</v>
      </c>
      <c r="H21">
        <v>198</v>
      </c>
      <c r="I21">
        <v>114</v>
      </c>
      <c r="L21">
        <f t="shared" si="1"/>
        <v>4.1666666666666666E-3</v>
      </c>
    </row>
    <row r="22" spans="1:60" x14ac:dyDescent="0.25">
      <c r="A22" t="s">
        <v>2</v>
      </c>
      <c r="B22">
        <v>492</v>
      </c>
      <c r="C22">
        <v>1471</v>
      </c>
      <c r="D22">
        <v>634.60199999999998</v>
      </c>
      <c r="E22">
        <v>391</v>
      </c>
      <c r="F22">
        <v>1572</v>
      </c>
      <c r="G22">
        <v>202</v>
      </c>
      <c r="H22">
        <v>202</v>
      </c>
      <c r="I22">
        <v>229</v>
      </c>
      <c r="K22">
        <f>(I22-I23)/240</f>
        <v>0.47916666666666669</v>
      </c>
      <c r="L22">
        <f t="shared" si="1"/>
        <v>4.1666666666666666E-3</v>
      </c>
      <c r="N22">
        <f>B22-B23</f>
        <v>13</v>
      </c>
      <c r="O22">
        <f>ABS(N22)*$AQ$18+$AR$18</f>
        <v>0.91033038865403482</v>
      </c>
      <c r="P22">
        <f>C22-C23</f>
        <v>575</v>
      </c>
      <c r="Q22">
        <f>ABS(P22)*$AQ$18+$AR$18</f>
        <v>10.711724126316353</v>
      </c>
      <c r="R22">
        <f>SQRT(N22^2+P22^2)</f>
        <v>575.14693774721604</v>
      </c>
      <c r="S22">
        <f>ABS(R22)*$AQ$18+$AR$18</f>
        <v>10.714286750365089</v>
      </c>
      <c r="T22" s="1" t="s">
        <v>86</v>
      </c>
      <c r="U22" s="5">
        <f>IFERROR(DEGREES(ATAN2(N22, P22)), 90)</f>
        <v>88.704837804161713</v>
      </c>
      <c r="V22">
        <f>N22^2+P22^2</f>
        <v>330794</v>
      </c>
      <c r="W22">
        <f>DEGREES(SQRT(((P22/V22)^2)*O22^2+((N22/V22)^2)*Q22^2))</f>
        <v>9.3816825811133889E-2</v>
      </c>
      <c r="X22">
        <f>U22-$U$18</f>
        <v>9.5395166475398128</v>
      </c>
      <c r="Y22">
        <f>SQRT($W$18^2+W22^2)</f>
        <v>0.43614541950474295</v>
      </c>
      <c r="AA22">
        <f>N22/K22</f>
        <v>27.130434782608695</v>
      </c>
      <c r="AB22">
        <f>ABS(AA22)*SQRT((L22/K22)^2+(O22/N22)^2)</f>
        <v>1.9144118047608536</v>
      </c>
      <c r="AC22">
        <f>P22/K22</f>
        <v>1200</v>
      </c>
      <c r="AD22">
        <f>ABS(AC22)*SQRT((L22/K22)^2+(Q22/P22)^2)</f>
        <v>24.670353766616749</v>
      </c>
      <c r="AE22">
        <f>R22/K22</f>
        <v>1200.3066526898422</v>
      </c>
      <c r="AF22">
        <f>ABS(AE22)*SQRT((L22/K22)^2+(S22/R22)^2)</f>
        <v>24.676327768864315</v>
      </c>
      <c r="AG22">
        <f>AF22/AE22</f>
        <v>2.055835291220422E-2</v>
      </c>
      <c r="AH22">
        <f>AE22*COS(RADIANS(X30))</f>
        <v>1193.6804559518582</v>
      </c>
      <c r="AI22">
        <f>SQRT(COS(RADIANS(X30))^2*AF22^2+(AE22*SIN(RADIANS(X30)))^2*Y30^2)</f>
        <v>41.34672504806295</v>
      </c>
      <c r="AJ22">
        <f>(AE7-AE22)/AE22</f>
        <v>4.9863980456911268E-2</v>
      </c>
    </row>
    <row r="23" spans="1:60" x14ac:dyDescent="0.25">
      <c r="A23" t="s">
        <v>3</v>
      </c>
      <c r="B23">
        <v>479</v>
      </c>
      <c r="C23">
        <v>896</v>
      </c>
      <c r="D23">
        <v>634.60199999999998</v>
      </c>
      <c r="E23">
        <v>378</v>
      </c>
      <c r="F23">
        <v>997</v>
      </c>
      <c r="G23">
        <v>202</v>
      </c>
      <c r="H23">
        <v>202</v>
      </c>
      <c r="I23">
        <v>114</v>
      </c>
      <c r="L23">
        <f t="shared" si="1"/>
        <v>4.1666666666666666E-3</v>
      </c>
    </row>
    <row r="25" spans="1:60" x14ac:dyDescent="0.25">
      <c r="AE25" t="s">
        <v>102</v>
      </c>
      <c r="AF25" t="s">
        <v>103</v>
      </c>
      <c r="AG25" s="1" t="s">
        <v>105</v>
      </c>
      <c r="AH25" s="1" t="s">
        <v>36</v>
      </c>
      <c r="AI25" t="s">
        <v>106</v>
      </c>
      <c r="AJ25" s="1" t="s">
        <v>104</v>
      </c>
      <c r="AK25" t="s">
        <v>107</v>
      </c>
    </row>
    <row r="26" spans="1:60" x14ac:dyDescent="0.25">
      <c r="U26">
        <f>U22-U20</f>
        <v>80.360946220128625</v>
      </c>
      <c r="W26">
        <f>SQRT(W20^2+W22^2)</f>
        <v>1.2059635723249738</v>
      </c>
      <c r="AA26">
        <f>SUM(AA18:AA19)-SUM(AA20:AA22)</f>
        <v>0.50114416475975077</v>
      </c>
      <c r="AB26">
        <f>SQRT(SUMPRODUCT(AB18:AB22,AB18:AB22))</f>
        <v>14.832895545883467</v>
      </c>
      <c r="AC26">
        <f>SUM(AC18:AC19)-SUM(AC20:AC22)</f>
        <v>87</v>
      </c>
      <c r="AD26">
        <f>SQRT(SUMPRODUCT(AD18:AD22,AD18:AD22))</f>
        <v>50.845153380172938</v>
      </c>
      <c r="AE26">
        <f>SQRT(AA26^2+AC26^2)</f>
        <v>87.001443352819564</v>
      </c>
      <c r="AF26">
        <f>SQRT((AA26/AE26)^2*AB26^2+(AC26/AE26)^2*AD26^2)</f>
        <v>50.844381647703841</v>
      </c>
      <c r="AG26">
        <f>IF(DEGREES(ATAN(AC26/AA26))&lt;0, 180+DEGREES(ATAN(AC26/AA26)), DEGREES(ATAN(AC26/AA26)))</f>
        <v>89.66996404601953</v>
      </c>
      <c r="AH26">
        <f>AA26^2+AC26^2</f>
        <v>7569.2511454738724</v>
      </c>
      <c r="AI26">
        <f>DEGREES(SQRT(((AC26/AH26)^2)*AB26^2+((AA26/AH26)^2)*AD26^2))</f>
        <v>9.7701122560607772</v>
      </c>
      <c r="AJ26">
        <f>AG26-U18</f>
        <v>10.50464288939763</v>
      </c>
      <c r="AK26">
        <f>SQRT(AI26^2+W18^2)</f>
        <v>9.7793923495367903</v>
      </c>
    </row>
    <row r="27" spans="1:60" x14ac:dyDescent="0.25">
      <c r="X27" t="s">
        <v>32</v>
      </c>
      <c r="Y27" s="1" t="s">
        <v>186</v>
      </c>
    </row>
    <row r="28" spans="1:60" x14ac:dyDescent="0.25">
      <c r="A28" t="s">
        <v>29</v>
      </c>
      <c r="B28">
        <v>479</v>
      </c>
      <c r="C28">
        <v>887</v>
      </c>
      <c r="D28">
        <v>634.60199999999998</v>
      </c>
      <c r="E28">
        <v>378</v>
      </c>
      <c r="F28">
        <v>988</v>
      </c>
      <c r="G28">
        <v>202</v>
      </c>
      <c r="H28">
        <v>202</v>
      </c>
      <c r="I28">
        <v>112</v>
      </c>
      <c r="K28">
        <f>(I28-I29)/240</f>
        <v>0</v>
      </c>
      <c r="N28">
        <f>B28-B29</f>
        <v>-22</v>
      </c>
      <c r="O28">
        <f>ABS(N28)*$AQ$18+$AR$18</f>
        <v>1.0672922100756734</v>
      </c>
      <c r="P28">
        <f>C28-C29</f>
        <v>266</v>
      </c>
      <c r="Q28">
        <f>ABS(P28)*$AQ$18+$AR$18</f>
        <v>5.3227015908400963</v>
      </c>
      <c r="R28">
        <f>SQRT(N28^2+P28^2)</f>
        <v>266.90822392725181</v>
      </c>
      <c r="S28">
        <f>ABS(R28)*$AQ$18+$AR$18</f>
        <v>5.3385411999378913</v>
      </c>
      <c r="T28" t="s">
        <v>87</v>
      </c>
      <c r="U28">
        <f>IF(DEGREES(ATAN(P28/N28))&lt;0, 180+DEGREES(ATAN(P28/N28)), DEGREES(ATAN(P28/N28)))</f>
        <v>94.727987818842209</v>
      </c>
      <c r="V28">
        <f>N28^2+P28^2</f>
        <v>71240</v>
      </c>
      <c r="W28">
        <f>DEGREES(SQRT(((P28/V28)^2)*O28^2+((N28/V28)^2)*Q28^2))</f>
        <v>0.24699073562780177</v>
      </c>
      <c r="X28">
        <f>U28-$U$18</f>
        <v>15.562666662220309</v>
      </c>
      <c r="Y28">
        <f>SQRT($W$18^2+W28^2)</f>
        <v>0.49236739700720866</v>
      </c>
    </row>
    <row r="29" spans="1:60" x14ac:dyDescent="0.25">
      <c r="A29" t="s">
        <v>0</v>
      </c>
      <c r="B29">
        <v>501</v>
      </c>
      <c r="C29">
        <v>621</v>
      </c>
      <c r="D29">
        <v>622.03499999999997</v>
      </c>
      <c r="E29">
        <v>402</v>
      </c>
      <c r="F29">
        <v>720</v>
      </c>
      <c r="G29">
        <v>198</v>
      </c>
      <c r="H29">
        <v>198</v>
      </c>
      <c r="I29">
        <v>112</v>
      </c>
      <c r="X29">
        <f>U28-U20</f>
        <v>86.384096234809107</v>
      </c>
      <c r="Y29">
        <f>SQRT($W$20^2+W28^2)</f>
        <v>1.227416377785264</v>
      </c>
    </row>
    <row r="30" spans="1:60" x14ac:dyDescent="0.25">
      <c r="U30" s="1" t="s">
        <v>90</v>
      </c>
      <c r="V30">
        <f>X28-90</f>
        <v>-74.437333337779691</v>
      </c>
      <c r="W30">
        <f>Y28</f>
        <v>0.49236739700720866</v>
      </c>
      <c r="X30">
        <f>U28-U22</f>
        <v>6.0231500146804962</v>
      </c>
      <c r="Y30">
        <f>SQRT($W$22^2+W28^2)</f>
        <v>0.26420828959599152</v>
      </c>
    </row>
    <row r="31" spans="1:60" x14ac:dyDescent="0.25">
      <c r="U31" t="s">
        <v>92</v>
      </c>
      <c r="V31" t="e">
        <f>'1.5'!#REF!</f>
        <v>#REF!</v>
      </c>
      <c r="W31" t="e">
        <f>'1.5'!#REF!</f>
        <v>#REF!</v>
      </c>
    </row>
    <row r="32" spans="1:60" x14ac:dyDescent="0.25">
      <c r="U32" s="1" t="s">
        <v>93</v>
      </c>
      <c r="V32">
        <f>X28-X22</f>
        <v>6.0231500146804962</v>
      </c>
      <c r="W32">
        <f>SQRT(Y28^2+Y22^2)</f>
        <v>0.65776019991378498</v>
      </c>
    </row>
    <row r="33" spans="1:33" x14ac:dyDescent="0.25">
      <c r="U33" s="1" t="s">
        <v>94</v>
      </c>
      <c r="V33">
        <f>V30-X20</f>
        <v>-3.615903765190879</v>
      </c>
      <c r="W33">
        <f>SQRT(W30^2+Y20^2)</f>
        <v>1.3672576292545897</v>
      </c>
    </row>
    <row r="34" spans="1:33" x14ac:dyDescent="0.25">
      <c r="U34" s="1" t="s">
        <v>95</v>
      </c>
      <c r="V34">
        <f>ATAN(RADIANS(V32))</f>
        <v>0.10473910515401225</v>
      </c>
    </row>
    <row r="35" spans="1:33" x14ac:dyDescent="0.25">
      <c r="U35" s="1" t="s">
        <v>96</v>
      </c>
      <c r="V35" t="e">
        <f>DEGREES(ATAN((1/2*(1-V31))/(_xlfn.COT(RADIANS(V30))-V34*1/2*(1+V31))))</f>
        <v>#REF!</v>
      </c>
    </row>
    <row r="36" spans="1:33" x14ac:dyDescent="0.25">
      <c r="A36" t="s">
        <v>24</v>
      </c>
    </row>
    <row r="37" spans="1:33" x14ac:dyDescent="0.25">
      <c r="A37" t="s">
        <v>4</v>
      </c>
      <c r="B37">
        <v>804.5</v>
      </c>
      <c r="C37">
        <v>707.5</v>
      </c>
      <c r="D37">
        <v>631.46</v>
      </c>
      <c r="E37">
        <v>704</v>
      </c>
      <c r="F37">
        <v>808</v>
      </c>
      <c r="G37">
        <v>201</v>
      </c>
      <c r="H37">
        <v>201</v>
      </c>
      <c r="I37">
        <v>180</v>
      </c>
      <c r="K37">
        <f>(I37-I38)/240</f>
        <v>0.16666666666666666</v>
      </c>
      <c r="L37">
        <f t="shared" ref="L37" si="2">1/240</f>
        <v>4.1666666666666666E-3</v>
      </c>
      <c r="N37">
        <f>B37-B38</f>
        <v>38</v>
      </c>
      <c r="O37">
        <f>N37*$AQ$3+$AR$3</f>
        <v>0.76906647850153598</v>
      </c>
      <c r="P37">
        <f>C37-C38</f>
        <v>6</v>
      </c>
      <c r="Q37">
        <f>P37*$AQ$3+$AR$3</f>
        <v>0.518583367217888</v>
      </c>
      <c r="R37">
        <f>SQRT(N37^2+P37^2)</f>
        <v>38.470768123342687</v>
      </c>
      <c r="S37">
        <f>R37*$AQ$3+$AR$3</f>
        <v>0.77275146175866216</v>
      </c>
      <c r="U37">
        <f>IF(DEGREES(ATAN(P37/N37))&lt;0, 180+DEGREES(ATAN(P37/N37)), DEGREES(ATAN(P37/N37)))</f>
        <v>8.9726266148963933</v>
      </c>
      <c r="V37">
        <f>N37^2+P37^2</f>
        <v>1480</v>
      </c>
      <c r="W37">
        <f>DEGREES(SQRT(((P37/V37)^2)*O37^2+((N37/V37)^2)*Q37^2))</f>
        <v>0.78352802076855055</v>
      </c>
      <c r="AA37">
        <f>N37/K37</f>
        <v>228</v>
      </c>
      <c r="AC37">
        <f>P37/K37</f>
        <v>36</v>
      </c>
      <c r="AE37">
        <f>R37/K37</f>
        <v>230.82460874005614</v>
      </c>
      <c r="AF37">
        <f>ABS(AE37)*SQRT((L37/K37)^2+(S37/R37)^2)</f>
        <v>7.4025140039992756</v>
      </c>
      <c r="AG37">
        <f>AF37/AE37</f>
        <v>3.206986483982581E-2</v>
      </c>
    </row>
    <row r="38" spans="1:33" x14ac:dyDescent="0.25">
      <c r="A38" t="s">
        <v>5</v>
      </c>
      <c r="B38">
        <v>766.5</v>
      </c>
      <c r="C38">
        <v>701.5</v>
      </c>
      <c r="D38">
        <v>631.46</v>
      </c>
      <c r="E38">
        <v>666</v>
      </c>
      <c r="F38">
        <v>802</v>
      </c>
      <c r="G38">
        <v>201</v>
      </c>
      <c r="H38">
        <v>201</v>
      </c>
      <c r="I38">
        <v>140</v>
      </c>
    </row>
    <row r="40" spans="1:33" x14ac:dyDescent="0.25">
      <c r="A40" t="s">
        <v>23</v>
      </c>
      <c r="B40">
        <v>784.5</v>
      </c>
      <c r="C40">
        <v>704.5</v>
      </c>
      <c r="D40">
        <v>631.46</v>
      </c>
      <c r="E40">
        <v>684</v>
      </c>
      <c r="F40">
        <v>805</v>
      </c>
      <c r="G40">
        <v>201</v>
      </c>
      <c r="H40">
        <v>201</v>
      </c>
      <c r="I40">
        <v>159</v>
      </c>
      <c r="K40">
        <f>(I40-I41)/240</f>
        <v>7.9166666666666663E-2</v>
      </c>
      <c r="L40">
        <f t="shared" ref="L40" si="3">1/240</f>
        <v>4.1666666666666666E-3</v>
      </c>
      <c r="N40">
        <f>B40-B41</f>
        <v>18</v>
      </c>
      <c r="O40">
        <f>N40*$AQ$3+$AR$3</f>
        <v>0.61251453394925592</v>
      </c>
      <c r="P40">
        <f>C40-C41</f>
        <v>3</v>
      </c>
      <c r="Q40">
        <f>P40*$AQ$3+$AR$3</f>
        <v>0.49510057553504599</v>
      </c>
      <c r="R40">
        <f>SQRT(N40^2+P40^2)</f>
        <v>18.248287590894659</v>
      </c>
      <c r="S40">
        <f>R40*$AQ$3+$AR$3</f>
        <v>0.61445802920739401</v>
      </c>
      <c r="U40">
        <f>IF(DEGREES(ATAN(P40/N40))&lt;0, 180+DEGREES(ATAN(P40/N40)), DEGREES(ATAN(P40/N40)))</f>
        <v>9.4623222080256166</v>
      </c>
      <c r="V40">
        <f>N40^2+P40^2</f>
        <v>333</v>
      </c>
      <c r="W40">
        <f>DEGREES(SQRT(((P40/V40)^2)*O40^2+((N40/V40)^2)*Q40^2))</f>
        <v>1.5656169585584283</v>
      </c>
      <c r="AA40">
        <f>N40/K40</f>
        <v>227.36842105263159</v>
      </c>
      <c r="AC40">
        <f>P40/K40</f>
        <v>37.894736842105267</v>
      </c>
      <c r="AE40">
        <f>R40/K40</f>
        <v>230.50468535866938</v>
      </c>
      <c r="AF40">
        <f>ABS(AE40)*SQRT((L40/K40)^2+(S40/R40)^2)</f>
        <v>14.402195637527884</v>
      </c>
      <c r="AG40">
        <f>AF40/AE40</f>
        <v>6.2481140524834937E-2</v>
      </c>
    </row>
    <row r="41" spans="1:33" x14ac:dyDescent="0.25">
      <c r="A41" t="s">
        <v>5</v>
      </c>
      <c r="B41">
        <v>766.5</v>
      </c>
      <c r="C41">
        <v>701.5</v>
      </c>
      <c r="D41">
        <v>631.46</v>
      </c>
      <c r="E41">
        <v>666</v>
      </c>
      <c r="F41">
        <v>802</v>
      </c>
      <c r="G41">
        <v>201</v>
      </c>
      <c r="H41">
        <v>201</v>
      </c>
      <c r="I41">
        <v>140</v>
      </c>
    </row>
    <row r="43" spans="1:33" x14ac:dyDescent="0.25">
      <c r="A43" t="s">
        <v>22</v>
      </c>
      <c r="B43">
        <v>803.5</v>
      </c>
      <c r="C43">
        <v>707.5</v>
      </c>
      <c r="D43">
        <v>631.46</v>
      </c>
      <c r="E43">
        <v>703</v>
      </c>
      <c r="F43">
        <v>808</v>
      </c>
      <c r="G43">
        <v>201</v>
      </c>
      <c r="H43">
        <v>201</v>
      </c>
      <c r="I43">
        <v>179</v>
      </c>
      <c r="K43">
        <f>(I43-I44)/240</f>
        <v>0.16250000000000001</v>
      </c>
      <c r="L43">
        <f t="shared" ref="L43" si="4">1/240</f>
        <v>4.1666666666666666E-3</v>
      </c>
      <c r="N43">
        <f>B43-B44</f>
        <v>37</v>
      </c>
      <c r="O43">
        <f>N43*$AQ$3+$AR$3</f>
        <v>0.76123888127392192</v>
      </c>
      <c r="P43">
        <f>C43-C44</f>
        <v>6</v>
      </c>
      <c r="Q43">
        <f>P43*$AQ$3+$AR$3</f>
        <v>0.518583367217888</v>
      </c>
      <c r="R43">
        <f>SQRT(N43^2+P43^2)</f>
        <v>37.483329627982627</v>
      </c>
      <c r="S43">
        <f>R43*$AQ$3+$AR$3</f>
        <v>0.7650221909299425</v>
      </c>
      <c r="U43">
        <f>IF(DEGREES(ATAN(P43/N43))&lt;0, 180+DEGREES(ATAN(P43/N43)), DEGREES(ATAN(P43/N43)))</f>
        <v>9.2110265408166683</v>
      </c>
      <c r="V43">
        <f>N43^2+P43^2</f>
        <v>1405</v>
      </c>
      <c r="W43">
        <f>DEGREES(SQRT(((P43/V43)^2)*O43^2+((N43/V43)^2)*Q43^2))</f>
        <v>0.80433131915145628</v>
      </c>
      <c r="AA43">
        <f>N43/K43</f>
        <v>227.69230769230768</v>
      </c>
      <c r="AC43">
        <f>P43/K43</f>
        <v>36.92307692307692</v>
      </c>
      <c r="AE43">
        <f>R43/K43</f>
        <v>230.66664386450847</v>
      </c>
      <c r="AF43">
        <f>ABS(AE43)*SQRT((L43/K43)^2+(S43/R43)^2)</f>
        <v>7.5594516889244252</v>
      </c>
      <c r="AG43">
        <f>AF43/AE43</f>
        <v>3.2772192642490518E-2</v>
      </c>
    </row>
    <row r="44" spans="1:33" x14ac:dyDescent="0.25">
      <c r="A44" t="s">
        <v>5</v>
      </c>
      <c r="B44">
        <v>766.5</v>
      </c>
      <c r="C44">
        <v>701.5</v>
      </c>
      <c r="D44">
        <v>631.46</v>
      </c>
      <c r="E44">
        <v>666</v>
      </c>
      <c r="F44">
        <v>802</v>
      </c>
      <c r="G44">
        <v>201</v>
      </c>
      <c r="H44">
        <v>201</v>
      </c>
      <c r="I44">
        <v>140</v>
      </c>
    </row>
    <row r="46" spans="1:33" x14ac:dyDescent="0.25">
      <c r="A46" t="s">
        <v>21</v>
      </c>
      <c r="B46">
        <v>821.5</v>
      </c>
      <c r="C46">
        <v>710.5</v>
      </c>
      <c r="D46">
        <v>631.46</v>
      </c>
      <c r="E46">
        <v>721</v>
      </c>
      <c r="F46">
        <v>811</v>
      </c>
      <c r="G46">
        <v>201</v>
      </c>
      <c r="H46">
        <v>201</v>
      </c>
      <c r="I46">
        <v>200</v>
      </c>
      <c r="K46">
        <f>(I46-I47)/240</f>
        <v>0.25</v>
      </c>
      <c r="L46">
        <f t="shared" ref="L46" si="5">1/240</f>
        <v>4.1666666666666666E-3</v>
      </c>
      <c r="N46">
        <f>B46-B47</f>
        <v>55</v>
      </c>
      <c r="O46">
        <f>N46*$AQ$3+$AR$3</f>
        <v>0.90213563137097397</v>
      </c>
      <c r="P46">
        <f>C46-C47</f>
        <v>9</v>
      </c>
      <c r="Q46">
        <f>P46*$AQ$3+$AR$3</f>
        <v>0.54206615890072996</v>
      </c>
      <c r="R46">
        <f>SQRT(N46^2+P46^2)</f>
        <v>55.731499172371095</v>
      </c>
      <c r="S46">
        <f>R46*$AQ$3+$AR$3</f>
        <v>0.90786151226462786</v>
      </c>
      <c r="U46">
        <f>IF(DEGREES(ATAN(P46/N46))&lt;0, 180+DEGREES(ATAN(P46/N46)), DEGREES(ATAN(P46/N46)))</f>
        <v>9.2933085993971147</v>
      </c>
      <c r="V46">
        <f>N46^2+P46^2</f>
        <v>3106</v>
      </c>
      <c r="W46">
        <f>DEGREES(SQRT(((P46/V46)^2)*O46^2+((N46/V46)^2)*Q46^2))</f>
        <v>0.56999579896640074</v>
      </c>
      <c r="AA46">
        <f>N46/K46</f>
        <v>220</v>
      </c>
      <c r="AC46">
        <f>P46/K46</f>
        <v>36</v>
      </c>
      <c r="AE46">
        <f>R46/K46</f>
        <v>222.92599668948438</v>
      </c>
      <c r="AF46">
        <f>ABS(AE46)*SQRT((L46/K46)^2+(S46/R46)^2)</f>
        <v>5.1953676339280479</v>
      </c>
      <c r="AG46">
        <f>AF46/AE46</f>
        <v>2.3305346666969137E-2</v>
      </c>
    </row>
    <row r="47" spans="1:33" x14ac:dyDescent="0.25">
      <c r="A47" t="s">
        <v>5</v>
      </c>
      <c r="B47">
        <v>766.5</v>
      </c>
      <c r="C47">
        <v>701.5</v>
      </c>
      <c r="D47">
        <v>631.46</v>
      </c>
      <c r="E47">
        <v>666</v>
      </c>
      <c r="F47">
        <v>802</v>
      </c>
      <c r="G47">
        <v>201</v>
      </c>
      <c r="H47">
        <v>201</v>
      </c>
      <c r="I47">
        <v>140</v>
      </c>
    </row>
    <row r="49" spans="1:33" x14ac:dyDescent="0.25">
      <c r="A49" t="s">
        <v>26</v>
      </c>
      <c r="B49">
        <v>812.5</v>
      </c>
      <c r="C49">
        <v>709.5</v>
      </c>
      <c r="D49">
        <v>631.46</v>
      </c>
      <c r="E49">
        <v>712</v>
      </c>
      <c r="F49">
        <v>810</v>
      </c>
      <c r="G49">
        <v>201</v>
      </c>
      <c r="H49">
        <v>201</v>
      </c>
      <c r="I49">
        <v>190</v>
      </c>
      <c r="K49">
        <f>(I49-I50)/240</f>
        <v>0.20833333333333334</v>
      </c>
      <c r="L49">
        <f t="shared" ref="L49" si="6">1/240</f>
        <v>4.1666666666666666E-3</v>
      </c>
      <c r="N49">
        <f>B49-B50</f>
        <v>46</v>
      </c>
      <c r="O49">
        <f>N49*$AQ$3+$AR$3</f>
        <v>0.831687256322448</v>
      </c>
      <c r="P49">
        <f>C49-C50</f>
        <v>8</v>
      </c>
      <c r="Q49">
        <f>P49*$AQ$3+$AR$3</f>
        <v>0.53423856167311601</v>
      </c>
      <c r="R49">
        <f>SQRT(N49^2+P49^2)</f>
        <v>46.690470119715009</v>
      </c>
      <c r="S49">
        <f>R49*$AQ$3+$AR$3</f>
        <v>0.83709197831727944</v>
      </c>
      <c r="U49">
        <f>IF(DEGREES(ATAN(P49/N49))&lt;0, 180+DEGREES(ATAN(P49/N49)), DEGREES(ATAN(P49/N49)))</f>
        <v>9.8658069430843671</v>
      </c>
      <c r="V49">
        <f>N49^2+P49^2</f>
        <v>2180</v>
      </c>
      <c r="W49">
        <f>DEGREES(SQRT(((P49/V49)^2)*O49^2+((N49/V49)^2)*Q49^2))</f>
        <v>0.66914480084800754</v>
      </c>
      <c r="AA49">
        <f>N49/K49</f>
        <v>220.79999999999998</v>
      </c>
      <c r="AC49">
        <f>P49/K49</f>
        <v>38.4</v>
      </c>
      <c r="AE49">
        <f>R49/K49</f>
        <v>224.11425657463204</v>
      </c>
      <c r="AF49">
        <f>ABS(AE49)*SQRT((L49/K49)^2+(S49/R49)^2)</f>
        <v>6.0195961212492213</v>
      </c>
      <c r="AG49">
        <f>AF49/AE49</f>
        <v>2.6859496639137913E-2</v>
      </c>
    </row>
    <row r="50" spans="1:33" x14ac:dyDescent="0.25">
      <c r="A50" t="s">
        <v>5</v>
      </c>
      <c r="B50">
        <v>766.5</v>
      </c>
      <c r="C50">
        <v>701.5</v>
      </c>
      <c r="D50">
        <v>631.46</v>
      </c>
      <c r="E50">
        <v>666</v>
      </c>
      <c r="F50">
        <v>802</v>
      </c>
      <c r="G50">
        <v>201</v>
      </c>
      <c r="H50">
        <v>201</v>
      </c>
      <c r="I50">
        <v>140</v>
      </c>
    </row>
    <row r="52" spans="1:33" x14ac:dyDescent="0.25">
      <c r="A52" t="s">
        <v>4</v>
      </c>
      <c r="B52">
        <v>837.5</v>
      </c>
      <c r="C52">
        <v>714.5</v>
      </c>
      <c r="D52">
        <v>631.46</v>
      </c>
      <c r="E52">
        <v>737</v>
      </c>
      <c r="F52">
        <v>815</v>
      </c>
      <c r="G52">
        <v>201</v>
      </c>
      <c r="H52">
        <v>201</v>
      </c>
      <c r="I52">
        <v>220</v>
      </c>
      <c r="K52">
        <f>(I52-I54)/240</f>
        <v>0.34166666666666667</v>
      </c>
      <c r="L52">
        <f t="shared" ref="L52" si="7">1/240</f>
        <v>4.1666666666666666E-3</v>
      </c>
      <c r="N52">
        <f>B52-B54</f>
        <v>73</v>
      </c>
      <c r="O52">
        <f>N52*$AQ$3+$AR$3</f>
        <v>1.0430323814680258</v>
      </c>
      <c r="P52">
        <f>C52-C54</f>
        <v>15</v>
      </c>
      <c r="Q52">
        <f>P52*$AQ$3+$AR$3</f>
        <v>0.58903174226641397</v>
      </c>
      <c r="R52">
        <f>SQRT(N52^2+P52^2)</f>
        <v>74.525163535546838</v>
      </c>
      <c r="S52">
        <f>R52*$AQ$3+$AR$3</f>
        <v>1.0549707473305303</v>
      </c>
      <c r="U52">
        <f>IF(DEGREES(ATAN(P52/N52))&lt;0, 180+DEGREES(ATAN(P52/N52)), DEGREES(ATAN(P52/N52)))</f>
        <v>11.611486423888492</v>
      </c>
      <c r="V52">
        <f>N52^2+P52^2</f>
        <v>5554</v>
      </c>
      <c r="W52">
        <f>DEGREES(SQRT(((P52/V52)^2)*O52^2+((N52/V52)^2)*Q52^2))</f>
        <v>0.47203729966987795</v>
      </c>
      <c r="AA52">
        <f>N52/K52</f>
        <v>213.65853658536585</v>
      </c>
      <c r="AC52">
        <f>P52/K52</f>
        <v>43.90243902439024</v>
      </c>
      <c r="AE52">
        <f>R52/K52</f>
        <v>218.12242986013709</v>
      </c>
      <c r="AF52">
        <f>ABS(AE52)*SQRT((L52/K52)^2+(S52/R52)^2)</f>
        <v>4.0755082967648688</v>
      </c>
      <c r="AG52">
        <f>AF52/AE52</f>
        <v>1.8684498881559944E-2</v>
      </c>
    </row>
    <row r="54" spans="1:33" x14ac:dyDescent="0.25">
      <c r="A54" t="s">
        <v>0</v>
      </c>
      <c r="B54">
        <v>764.5</v>
      </c>
      <c r="C54">
        <v>699.5</v>
      </c>
      <c r="D54">
        <v>631.46</v>
      </c>
      <c r="E54">
        <v>664</v>
      </c>
      <c r="F54">
        <v>800</v>
      </c>
      <c r="G54">
        <v>201</v>
      </c>
      <c r="H54">
        <v>201</v>
      </c>
      <c r="I54">
        <v>138</v>
      </c>
      <c r="K54">
        <f>(I54-I55)/240</f>
        <v>8.3333333333333329E-2</v>
      </c>
      <c r="L54">
        <f t="shared" ref="L54" si="8">1/240</f>
        <v>4.1666666666666666E-3</v>
      </c>
      <c r="N54">
        <f>B54-B55</f>
        <v>23</v>
      </c>
      <c r="O54">
        <f>N54*$AQ$3+$AR$3</f>
        <v>0.65165252008732599</v>
      </c>
      <c r="P54">
        <f>C54-C55</f>
        <v>112</v>
      </c>
      <c r="Q54">
        <f>P54*$AQ$3+$AR$3</f>
        <v>1.3483086733449718</v>
      </c>
      <c r="R54">
        <f>SQRT(N54^2+P54^2)</f>
        <v>114.33722053644648</v>
      </c>
      <c r="S54">
        <f>R54*$AQ$3+$AR$3</f>
        <v>1.366603494336383</v>
      </c>
      <c r="U54">
        <f>IF(DEGREES(ATAN(P54/N54))&lt;0, 180+DEGREES(ATAN(P54/N54)), DEGREES(ATAN(P54/N54)))</f>
        <v>78.395237643621201</v>
      </c>
      <c r="V54">
        <f>N54^2+P54^2</f>
        <v>13073</v>
      </c>
      <c r="W54">
        <f>DEGREES(SQRT(((P54/V54)^2)*O54^2+((N54/V54)^2)*Q54^2))</f>
        <v>0.34755318054729323</v>
      </c>
      <c r="AA54">
        <f>N54/K54</f>
        <v>276</v>
      </c>
      <c r="AC54">
        <f>P54/K54</f>
        <v>1344</v>
      </c>
      <c r="AE54">
        <f>R54/K54</f>
        <v>1372.0466464373578</v>
      </c>
      <c r="AF54">
        <f>ABS(AE54)*SQRT((L54/K54)^2+(S54/R54)^2)</f>
        <v>70.53520494012524</v>
      </c>
      <c r="AG54">
        <f>AF54/AE54</f>
        <v>5.1408751388501421E-2</v>
      </c>
    </row>
    <row r="55" spans="1:33" x14ac:dyDescent="0.25">
      <c r="A55" t="s">
        <v>1</v>
      </c>
      <c r="B55">
        <v>741.5</v>
      </c>
      <c r="C55">
        <v>587.5</v>
      </c>
      <c r="D55">
        <v>631.46</v>
      </c>
      <c r="E55">
        <v>641</v>
      </c>
      <c r="F55">
        <v>688</v>
      </c>
      <c r="G55">
        <v>201</v>
      </c>
      <c r="H55">
        <v>201</v>
      </c>
      <c r="I55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4C1B-E6DC-4F5C-8BAD-9B85212E5A72}">
  <dimension ref="A1:BH54"/>
  <sheetViews>
    <sheetView workbookViewId="0">
      <pane xSplit="1" ySplit="2" topLeftCell="AA3" activePane="bottomRight" state="frozen"/>
      <selection pane="topRight" activeCell="B1" sqref="B1"/>
      <selection pane="bottomLeft" activeCell="A2" sqref="A2"/>
      <selection pane="bottomRight" activeCell="AH1" sqref="AH1:AM2"/>
    </sheetView>
  </sheetViews>
  <sheetFormatPr defaultRowHeight="15" x14ac:dyDescent="0.25"/>
  <cols>
    <col min="1" max="1" width="13.7109375" customWidth="1"/>
    <col min="18" max="18" width="12" bestFit="1" customWidth="1"/>
    <col min="19" max="19" width="12" customWidth="1"/>
    <col min="20" max="20" width="4.5703125" customWidth="1"/>
    <col min="25" max="25" width="7.7109375" customWidth="1"/>
  </cols>
  <sheetData>
    <row r="1" spans="1:60" s="2" customFormat="1" x14ac:dyDescent="0.25">
      <c r="A1" s="2" t="s">
        <v>167</v>
      </c>
      <c r="K1" s="2" t="s">
        <v>48</v>
      </c>
      <c r="N1" s="2" t="s">
        <v>49</v>
      </c>
      <c r="U1" s="2" t="s">
        <v>51</v>
      </c>
      <c r="AA1" s="2" t="s">
        <v>50</v>
      </c>
      <c r="AL1" s="2" t="s">
        <v>101</v>
      </c>
      <c r="AQ1" s="2" t="s">
        <v>97</v>
      </c>
    </row>
    <row r="2" spans="1:60" ht="18" x14ac:dyDescent="0.35">
      <c r="A2" t="s">
        <v>14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K2" s="2" t="s">
        <v>15</v>
      </c>
      <c r="L2" s="1" t="s">
        <v>52</v>
      </c>
      <c r="M2" s="1"/>
      <c r="N2" s="2" t="s">
        <v>41</v>
      </c>
      <c r="O2" s="1" t="s">
        <v>43</v>
      </c>
      <c r="P2" s="2" t="s">
        <v>42</v>
      </c>
      <c r="Q2" s="1" t="s">
        <v>44</v>
      </c>
      <c r="R2" s="2" t="s">
        <v>17</v>
      </c>
      <c r="S2" s="1" t="s">
        <v>33</v>
      </c>
      <c r="T2" s="1"/>
      <c r="U2" s="2" t="s">
        <v>37</v>
      </c>
      <c r="V2" t="s">
        <v>36</v>
      </c>
      <c r="W2" s="1" t="s">
        <v>35</v>
      </c>
      <c r="X2" s="2" t="s">
        <v>38</v>
      </c>
      <c r="Y2" s="1" t="s">
        <v>47</v>
      </c>
      <c r="Z2" s="1"/>
      <c r="AA2" s="2" t="s">
        <v>18</v>
      </c>
      <c r="AB2" t="s">
        <v>99</v>
      </c>
      <c r="AC2" s="2" t="s">
        <v>19</v>
      </c>
      <c r="AD2" t="s">
        <v>100</v>
      </c>
      <c r="AE2" s="2" t="s">
        <v>16</v>
      </c>
      <c r="AF2" t="s">
        <v>40</v>
      </c>
      <c r="AG2" s="1" t="s">
        <v>39</v>
      </c>
      <c r="AH2" s="3" t="s">
        <v>224</v>
      </c>
      <c r="AI2" s="1" t="s">
        <v>225</v>
      </c>
      <c r="AL2" s="3" t="s">
        <v>226</v>
      </c>
      <c r="AM2" s="1" t="s">
        <v>227</v>
      </c>
      <c r="AN2" t="s">
        <v>180</v>
      </c>
      <c r="AO2" t="s">
        <v>181</v>
      </c>
      <c r="AP2" s="2"/>
      <c r="AQ2" t="s">
        <v>30</v>
      </c>
      <c r="AR2" t="s">
        <v>34</v>
      </c>
      <c r="AU2" t="s">
        <v>108</v>
      </c>
      <c r="AV2" t="s">
        <v>61</v>
      </c>
      <c r="AW2" t="s">
        <v>112</v>
      </c>
      <c r="AX2" s="1" t="s">
        <v>109</v>
      </c>
      <c r="AY2" s="1" t="s">
        <v>110</v>
      </c>
      <c r="AZ2" s="1" t="s">
        <v>111</v>
      </c>
      <c r="BA2" s="1" t="str">
        <f>AE2</f>
        <v>v</v>
      </c>
      <c r="BB2" s="1" t="str">
        <f>AF2</f>
        <v>σv</v>
      </c>
      <c r="BC2" s="1" t="str">
        <f>X12</f>
        <v>collision angle</v>
      </c>
      <c r="BD2" s="1"/>
      <c r="BE2" t="str">
        <f>AH2</f>
        <v>vn</v>
      </c>
      <c r="BF2" t="str">
        <f>AI2</f>
        <v>σvn</v>
      </c>
      <c r="BG2" t="str">
        <f>AN2</f>
        <v>COR</v>
      </c>
      <c r="BH2" t="str">
        <f>AO2</f>
        <v>σCOR</v>
      </c>
    </row>
    <row r="3" spans="1:60" x14ac:dyDescent="0.25">
      <c r="A3" t="s">
        <v>28</v>
      </c>
      <c r="B3">
        <v>721.5</v>
      </c>
      <c r="C3">
        <v>697.5</v>
      </c>
      <c r="D3">
        <v>637.74300000000005</v>
      </c>
      <c r="E3">
        <v>620</v>
      </c>
      <c r="F3">
        <v>799</v>
      </c>
      <c r="G3">
        <v>203</v>
      </c>
      <c r="H3">
        <v>203</v>
      </c>
      <c r="I3">
        <v>84</v>
      </c>
      <c r="K3">
        <f>(I3-I4)/240</f>
        <v>0.12916666666666668</v>
      </c>
      <c r="L3">
        <f>1/240</f>
        <v>4.1666666666666666E-3</v>
      </c>
      <c r="N3">
        <f>B3-B4</f>
        <v>41</v>
      </c>
      <c r="O3">
        <f>ABS(N3)*$AQ$3+$AR$3</f>
        <v>0.79254927018437793</v>
      </c>
      <c r="P3">
        <f>C3-C4</f>
        <v>241</v>
      </c>
      <c r="Q3">
        <f>ABS(P3)*$AQ$3+$AR$3</f>
        <v>2.3580687157071778</v>
      </c>
      <c r="R3">
        <f>SQRT(N3^2+P3^2)</f>
        <v>244.46267608778237</v>
      </c>
      <c r="S3">
        <f>ABS(R3)*$AQ$3+$AR$3</f>
        <v>2.3851731494520285</v>
      </c>
      <c r="U3">
        <f>IFERROR(DEGREES(ATAN2(N3, P3)), 90)</f>
        <v>80.345022904343807</v>
      </c>
      <c r="V3">
        <f>N3^2+P3^2</f>
        <v>59762</v>
      </c>
      <c r="W3">
        <f>DEGREES(SQRT(((P3/V3)^2)*O3^2+((N3/V3)^2)*Q3^2))</f>
        <v>0.20524459717043553</v>
      </c>
      <c r="X3" s="5">
        <f>U3-$U$3</f>
        <v>0</v>
      </c>
      <c r="Y3" s="5">
        <f>SQRT($W$3^2+W3^2)</f>
        <v>0.29025969292223247</v>
      </c>
      <c r="AA3">
        <f>N3/K3</f>
        <v>317.41935483870964</v>
      </c>
      <c r="AB3">
        <f>ABS(AA3)*SQRT((L3/K3)^2+(O3/N3)^2)</f>
        <v>11.937034996715132</v>
      </c>
      <c r="AC3">
        <f>P3/K3</f>
        <v>1865.8064516129029</v>
      </c>
      <c r="AD3">
        <f>ABS(AC3)*SQRT((L3/K3)^2+(Q3/P3)^2)</f>
        <v>62.895101440577655</v>
      </c>
      <c r="AE3">
        <f>R3/K3</f>
        <v>1892.614266486057</v>
      </c>
      <c r="AF3">
        <f>ABS(AE3)*SQRT((L3/K3)^2+(S3/R3)^2)</f>
        <v>63.783567576699014</v>
      </c>
      <c r="AG3">
        <f>AF3/AE3</f>
        <v>3.3701303380283334E-2</v>
      </c>
      <c r="AH3" s="5">
        <f>AE3*COS(RADIANS(X13))</f>
        <v>1885.1770547675194</v>
      </c>
      <c r="AI3" s="5">
        <f>SQRT(COS(RADIANS(X13))^2*AF3^2+(AE3*SIN(RADIANS(X13)))^2*Y13^2)</f>
        <v>75.975045568891744</v>
      </c>
      <c r="AL3">
        <f>AH3</f>
        <v>1885.1770547675194</v>
      </c>
      <c r="AM3">
        <f>AI3</f>
        <v>75.975045568891744</v>
      </c>
      <c r="AN3">
        <f>AL5/AL3</f>
        <v>0.94017403915881093</v>
      </c>
      <c r="AO3">
        <f>ABS(AN3)*SQRT((AM3/AL3)^2+(AM5/AL5)^2)</f>
        <v>0.26331685695863849</v>
      </c>
      <c r="AQ3">
        <f>AS3*0.003913798613807</f>
        <v>7.8275972276139992E-3</v>
      </c>
      <c r="AR3">
        <f>AS3*0.235808891926102</f>
        <v>0.47161778385220399</v>
      </c>
      <c r="AS3">
        <v>2</v>
      </c>
      <c r="AU3">
        <v>1.2</v>
      </c>
      <c r="AV3">
        <v>1</v>
      </c>
      <c r="AW3">
        <v>8.68</v>
      </c>
      <c r="AX3">
        <v>0.2</v>
      </c>
      <c r="AY3">
        <v>9.7370000000000001</v>
      </c>
      <c r="AZ3">
        <v>17.314</v>
      </c>
      <c r="BA3" s="1">
        <f>AE3</f>
        <v>1892.614266486057</v>
      </c>
      <c r="BB3" s="1">
        <f>AF3</f>
        <v>63.783567576699014</v>
      </c>
      <c r="BC3" s="1">
        <f>X13</f>
        <v>5.0810558357553361</v>
      </c>
      <c r="BD3" s="1">
        <f>Y13</f>
        <v>0.24855509895090797</v>
      </c>
      <c r="BE3">
        <f>AH3</f>
        <v>1885.1770547675194</v>
      </c>
      <c r="BF3">
        <f>AI3</f>
        <v>75.975045568891744</v>
      </c>
      <c r="BG3">
        <f>AN3</f>
        <v>0.94017403915881093</v>
      </c>
      <c r="BH3">
        <f>AO3</f>
        <v>0.26331685695863849</v>
      </c>
    </row>
    <row r="4" spans="1:60" x14ac:dyDescent="0.25">
      <c r="A4" t="s">
        <v>1</v>
      </c>
      <c r="B4">
        <v>680.5</v>
      </c>
      <c r="C4">
        <v>456.5</v>
      </c>
      <c r="D4">
        <v>637.74300000000005</v>
      </c>
      <c r="E4">
        <v>579</v>
      </c>
      <c r="F4">
        <v>558</v>
      </c>
      <c r="G4">
        <v>203</v>
      </c>
      <c r="H4">
        <v>203</v>
      </c>
      <c r="I4">
        <v>53</v>
      </c>
      <c r="L4">
        <f t="shared" ref="L4:L8" si="0">1/240</f>
        <v>4.1666666666666666E-3</v>
      </c>
      <c r="AQ4">
        <f>AS3*0.000205630802414239</f>
        <v>4.11261604828478E-4</v>
      </c>
      <c r="AR4">
        <f>AS3*0.0272049920008763</f>
        <v>5.44099840017526E-2</v>
      </c>
    </row>
    <row r="5" spans="1:60" x14ac:dyDescent="0.25">
      <c r="A5" t="s">
        <v>4</v>
      </c>
      <c r="B5">
        <v>727.5</v>
      </c>
      <c r="C5">
        <v>701.5</v>
      </c>
      <c r="D5">
        <v>637.74300000000005</v>
      </c>
      <c r="E5">
        <v>626</v>
      </c>
      <c r="F5">
        <v>803</v>
      </c>
      <c r="G5">
        <v>203</v>
      </c>
      <c r="H5">
        <v>203</v>
      </c>
      <c r="I5">
        <v>100</v>
      </c>
      <c r="K5">
        <f>(I5-I6)/240</f>
        <v>5.8333333333333334E-2</v>
      </c>
      <c r="L5">
        <f t="shared" si="0"/>
        <v>4.1666666666666666E-3</v>
      </c>
      <c r="N5">
        <f>B5-B6</f>
        <v>5</v>
      </c>
      <c r="O5">
        <f>ABS(N5)*$AQ$3+$AR$3</f>
        <v>0.51075576999027394</v>
      </c>
      <c r="P5">
        <f>C5-C6</f>
        <v>2</v>
      </c>
      <c r="Q5">
        <f>ABS(P5)*$AQ$3+$AR$3</f>
        <v>0.48727297830743199</v>
      </c>
      <c r="R5">
        <f>SQRT(N5^2+P5^2)</f>
        <v>5.3851648071345037</v>
      </c>
      <c r="S5">
        <f>ABS(R5)*$AQ$3+$AR$3</f>
        <v>0.51377068496677447</v>
      </c>
      <c r="U5">
        <f>IFERROR(DEGREES(ATAN2(N5, P5)), 90)</f>
        <v>21.801409486351812</v>
      </c>
      <c r="V5">
        <f>N5^2+P5^2</f>
        <v>29</v>
      </c>
      <c r="W5">
        <f>DEGREES(SQRT(((P5/V5)^2)*O5^2+((N5/V5)^2)*Q5^2))</f>
        <v>5.2195423485811867</v>
      </c>
      <c r="X5" s="5">
        <f>U5-$U$3</f>
        <v>-58.543613417991992</v>
      </c>
      <c r="Y5" s="5">
        <f>SQRT($W$3^2+W5^2)</f>
        <v>5.2235761383653694</v>
      </c>
      <c r="AA5">
        <f>N5/K5</f>
        <v>85.714285714285708</v>
      </c>
      <c r="AB5">
        <f>ABS(AA5)*SQRT((L5/K5)^2+(O5/N5)^2)</f>
        <v>10.684036985057642</v>
      </c>
      <c r="AC5">
        <f>P5/K5</f>
        <v>34.285714285714285</v>
      </c>
      <c r="AD5">
        <f>ABS(AC5)*SQRT((L5/K5)^2+(Q5/P5)^2)</f>
        <v>8.7048437238972305</v>
      </c>
      <c r="AE5">
        <f>R5/K5</f>
        <v>92.317110979448628</v>
      </c>
      <c r="AF5">
        <f>ABS(AE5)*SQRT((L5/K5)^2+(S5/R5)^2)</f>
        <v>11.002449454393446</v>
      </c>
      <c r="AG5">
        <f>AF5/AE5</f>
        <v>0.11918104171222148</v>
      </c>
      <c r="AH5">
        <f>AE5*COS(RADIANS(X14))</f>
        <v>41.011828602629144</v>
      </c>
      <c r="AI5">
        <f>SQRT(COS(RADIANS(X14))^2*AF5^2+(AE5*SIN(RADIANS(X14)))^2*Y14^2)</f>
        <v>431.87701863108174</v>
      </c>
      <c r="AL5">
        <f>AH7-AH5</f>
        <v>1772.3945261102897</v>
      </c>
      <c r="AM5">
        <f>SQRT(AI5^2+AI7^2)</f>
        <v>491.23278943987782</v>
      </c>
    </row>
    <row r="6" spans="1:60" x14ac:dyDescent="0.25">
      <c r="A6" t="s">
        <v>20</v>
      </c>
      <c r="B6">
        <v>722.5</v>
      </c>
      <c r="C6">
        <v>699.5</v>
      </c>
      <c r="D6">
        <v>637.74300000000005</v>
      </c>
      <c r="E6">
        <v>621</v>
      </c>
      <c r="F6">
        <v>801</v>
      </c>
      <c r="G6">
        <v>203</v>
      </c>
      <c r="H6">
        <v>203</v>
      </c>
      <c r="I6">
        <v>86</v>
      </c>
      <c r="L6">
        <f t="shared" si="0"/>
        <v>4.1666666666666666E-3</v>
      </c>
    </row>
    <row r="7" spans="1:60" x14ac:dyDescent="0.25">
      <c r="A7" t="s">
        <v>2</v>
      </c>
      <c r="B7">
        <v>752.5</v>
      </c>
      <c r="C7">
        <v>1040.5</v>
      </c>
      <c r="D7">
        <v>637.74300000000005</v>
      </c>
      <c r="E7">
        <v>651</v>
      </c>
      <c r="F7">
        <v>1142</v>
      </c>
      <c r="G7">
        <v>203</v>
      </c>
      <c r="H7">
        <v>203</v>
      </c>
      <c r="I7">
        <v>94</v>
      </c>
      <c r="K7">
        <f>(I7-I8)/240</f>
        <v>3.3333333333333333E-2</v>
      </c>
      <c r="L7">
        <f t="shared" si="0"/>
        <v>4.1666666666666666E-3</v>
      </c>
      <c r="N7">
        <f>B7-B8</f>
        <v>8</v>
      </c>
      <c r="O7">
        <f>ABS(N7)*$AQ$3+$AR$3</f>
        <v>0.53423856167311601</v>
      </c>
      <c r="P7">
        <f>C7-C8</f>
        <v>60</v>
      </c>
      <c r="Q7">
        <f>ABS(P7)*$AQ$3+$AR$3</f>
        <v>0.94127361750904393</v>
      </c>
      <c r="R7">
        <f>SQRT(N7^2+P7^2)</f>
        <v>60.530983801686226</v>
      </c>
      <c r="S7">
        <f>ABS(R7)*$AQ$3+$AR$3</f>
        <v>0.945429944843031</v>
      </c>
      <c r="U7">
        <f>IFERROR(DEGREES(ATAN2(N7, P7)), 90)</f>
        <v>82.405356631408566</v>
      </c>
      <c r="V7">
        <f>N7^2+P7^2</f>
        <v>3664</v>
      </c>
      <c r="W7">
        <f>DEGREES(SQRT(((P7/V7)^2)*O7^2+((N7/V7)^2)*Q7^2))</f>
        <v>0.51489469636449459</v>
      </c>
      <c r="X7">
        <f>U7-$U$3</f>
        <v>2.0603337270647586</v>
      </c>
      <c r="Y7">
        <f>SQRT($W$3^2+W7^2)</f>
        <v>0.55429404923013503</v>
      </c>
      <c r="AA7">
        <f>N7/K7</f>
        <v>240</v>
      </c>
      <c r="AB7">
        <f>ABS(AA7)*SQRT((L7/K7)^2+(O7/N7)^2)</f>
        <v>34.012788134769302</v>
      </c>
      <c r="AC7">
        <f>P7/K7</f>
        <v>1800</v>
      </c>
      <c r="AD7">
        <f>ABS(AC7)*SQRT((L7/K7)^2+(Q7/P7)^2)</f>
        <v>226.76506878423032</v>
      </c>
      <c r="AE7">
        <f>R7/K7</f>
        <v>1815.9295140505867</v>
      </c>
      <c r="AF7">
        <f>ABS(AE7)*SQRT((L7/K7)^2+(S7/R7)^2)</f>
        <v>228.75632013683315</v>
      </c>
      <c r="AG7">
        <f>AF7/AE7</f>
        <v>0.1259720260983988</v>
      </c>
      <c r="AH7">
        <f>AE7*COS(RADIANS(X15))</f>
        <v>1813.4063547129188</v>
      </c>
      <c r="AI7">
        <f>SQRT(COS(RADIANS(X15))^2*AF7^2+(AE7*SIN(RADIANS(X15)))^2*Y15^2)</f>
        <v>234.0766844416838</v>
      </c>
    </row>
    <row r="8" spans="1:60" x14ac:dyDescent="0.25">
      <c r="A8" t="s">
        <v>31</v>
      </c>
      <c r="B8">
        <v>744.5</v>
      </c>
      <c r="C8">
        <v>980.5</v>
      </c>
      <c r="D8">
        <v>637.74300000000005</v>
      </c>
      <c r="E8">
        <v>643</v>
      </c>
      <c r="F8">
        <v>1082</v>
      </c>
      <c r="G8">
        <v>203</v>
      </c>
      <c r="H8">
        <v>203</v>
      </c>
      <c r="I8">
        <v>86</v>
      </c>
      <c r="L8">
        <f t="shared" si="0"/>
        <v>4.1666666666666666E-3</v>
      </c>
    </row>
    <row r="10" spans="1:60" x14ac:dyDescent="0.25">
      <c r="AE10" t="s">
        <v>102</v>
      </c>
      <c r="AF10" t="s">
        <v>103</v>
      </c>
      <c r="AG10" s="1" t="s">
        <v>105</v>
      </c>
      <c r="AH10" s="1" t="s">
        <v>36</v>
      </c>
      <c r="AI10" t="s">
        <v>106</v>
      </c>
      <c r="AJ10" s="1" t="s">
        <v>104</v>
      </c>
      <c r="AK10" t="s">
        <v>107</v>
      </c>
    </row>
    <row r="11" spans="1:60" x14ac:dyDescent="0.25">
      <c r="U11">
        <f>U7-U5</f>
        <v>60.60394714505675</v>
      </c>
      <c r="W11">
        <f>SQRT(W5^2+W7^2)</f>
        <v>5.2448773938936544</v>
      </c>
      <c r="AA11">
        <f>SUM(AA3:AA4)-SUM(AA5:AA7)</f>
        <v>-8.2949308755760853</v>
      </c>
      <c r="AB11">
        <f>SQRT(SUMPRODUCT(AB3:AB7,AB3:AB7))</f>
        <v>37.596691443684044</v>
      </c>
      <c r="AC11">
        <f>SUM(AC3:AC4)-SUM(AC5:AC7)</f>
        <v>31.520737327188726</v>
      </c>
      <c r="AD11">
        <f>SQRT(SUMPRODUCT(AD3:AD7,AD3:AD7))</f>
        <v>235.48665463290001</v>
      </c>
      <c r="AE11">
        <f>SQRT(AA11^2+AC11^2)</f>
        <v>32.593906790690404</v>
      </c>
      <c r="AF11">
        <f>SQRT((AA11/AE11)^2*AB11^2+(AC11/AE11)^2*AD11^2)</f>
        <v>227.93405877843836</v>
      </c>
      <c r="AG11">
        <f>IF(DEGREES(ATAN(AC11/AA11))&lt;0, 180+DEGREES(ATAN(AC11/AA11)), DEGREES(ATAN(AC11/AA11)))</f>
        <v>104.7435628364709</v>
      </c>
      <c r="AH11">
        <f>AA11^2+AC11^2</f>
        <v>1062.3627598802141</v>
      </c>
      <c r="AI11">
        <f>DEGREES(SQRT(((AC11/AH11)^2)*AB11^2+((AA11/AH11)^2)*AD11^2))</f>
        <v>123.22064737017736</v>
      </c>
      <c r="AJ11">
        <f>AG11-U3</f>
        <v>24.398539932127093</v>
      </c>
      <c r="AK11">
        <f>SQRT(AI11^2+W3^2)</f>
        <v>123.22081830466094</v>
      </c>
    </row>
    <row r="12" spans="1:60" x14ac:dyDescent="0.25">
      <c r="X12" t="s">
        <v>32</v>
      </c>
    </row>
    <row r="13" spans="1:60" x14ac:dyDescent="0.25">
      <c r="A13" t="s">
        <v>29</v>
      </c>
      <c r="B13">
        <v>743.5</v>
      </c>
      <c r="C13">
        <v>972.5</v>
      </c>
      <c r="D13">
        <v>637.74300000000005</v>
      </c>
      <c r="E13">
        <v>642</v>
      </c>
      <c r="F13">
        <v>1074</v>
      </c>
      <c r="G13">
        <v>203</v>
      </c>
      <c r="H13">
        <v>203</v>
      </c>
      <c r="I13">
        <v>84</v>
      </c>
      <c r="K13">
        <f>(I13-I14)/240</f>
        <v>0</v>
      </c>
      <c r="N13">
        <f>B13-B14</f>
        <v>22</v>
      </c>
      <c r="O13">
        <f>ABS(N13)*$AQ$3+$AR$3</f>
        <v>0.64382492285971193</v>
      </c>
      <c r="P13">
        <f>C13-C14</f>
        <v>275</v>
      </c>
      <c r="Q13">
        <f>ABS(P13)*$AQ$3+$AR$3</f>
        <v>2.624207021446054</v>
      </c>
      <c r="R13">
        <f>SQRT(N13^2+P13^2)</f>
        <v>275.87859648765794</v>
      </c>
      <c r="S13">
        <f>ABS(R13)*$AQ$3+$AR$3</f>
        <v>2.6310843208770365</v>
      </c>
      <c r="U13">
        <f>IF(DEGREES(ATAN(P13/N13))&lt;0, 180+DEGREES(ATAN(P13/N13)), DEGREES(ATAN(P13/N13)))</f>
        <v>85.426078740099143</v>
      </c>
      <c r="V13">
        <f>N13^2+P13^2</f>
        <v>76109</v>
      </c>
      <c r="W13">
        <f>DEGREES(SQRT(((P13/V13)^2)*O13^2+((N13/V13)^2)*Q13^2))</f>
        <v>0.1401937678602059</v>
      </c>
      <c r="X13">
        <f>U13-$U$3</f>
        <v>5.0810558357553361</v>
      </c>
      <c r="Y13">
        <f>SQRT($W$3^2+W13^2)</f>
        <v>0.24855509895090797</v>
      </c>
    </row>
    <row r="14" spans="1:60" x14ac:dyDescent="0.25">
      <c r="A14" t="s">
        <v>28</v>
      </c>
      <c r="B14">
        <v>721.5</v>
      </c>
      <c r="C14">
        <v>697.5</v>
      </c>
      <c r="D14">
        <v>637.74300000000005</v>
      </c>
      <c r="E14">
        <v>620</v>
      </c>
      <c r="F14">
        <v>799</v>
      </c>
      <c r="G14">
        <v>203</v>
      </c>
      <c r="H14">
        <v>203</v>
      </c>
      <c r="I14">
        <v>84</v>
      </c>
      <c r="X14">
        <f>U13-U5</f>
        <v>63.624669253747328</v>
      </c>
      <c r="Y14">
        <f>SQRT($W$5^2+W13^2)</f>
        <v>5.2214247692731579</v>
      </c>
    </row>
    <row r="15" spans="1:60" x14ac:dyDescent="0.25">
      <c r="X15">
        <f>U13-U7</f>
        <v>3.0207221086905776</v>
      </c>
      <c r="Y15">
        <f>SQRT($W$7^2+W13^2)</f>
        <v>0.53363924227058712</v>
      </c>
    </row>
    <row r="17" spans="1:60" x14ac:dyDescent="0.25">
      <c r="A17" t="s">
        <v>25</v>
      </c>
    </row>
    <row r="18" spans="1:60" x14ac:dyDescent="0.25">
      <c r="A18" t="s">
        <v>28</v>
      </c>
      <c r="B18">
        <v>458.5</v>
      </c>
      <c r="C18">
        <v>617.5</v>
      </c>
      <c r="D18">
        <v>625.17700000000002</v>
      </c>
      <c r="E18">
        <v>359</v>
      </c>
      <c r="F18">
        <v>717</v>
      </c>
      <c r="G18">
        <v>199</v>
      </c>
      <c r="H18">
        <v>199</v>
      </c>
      <c r="I18">
        <v>78</v>
      </c>
      <c r="K18">
        <f>(I18-I19)/240</f>
        <v>0.10416666666666667</v>
      </c>
      <c r="L18">
        <f>1/240</f>
        <v>4.1666666666666666E-3</v>
      </c>
      <c r="N18">
        <f>B18-B19</f>
        <v>30</v>
      </c>
      <c r="O18">
        <f>ABS(N18)*$AQ$18+$AR$18</f>
        <v>1.20681382911713</v>
      </c>
      <c r="P18">
        <f>C18-C19</f>
        <v>191</v>
      </c>
      <c r="Q18">
        <f>ABS(P18)*$AQ$18+$AR$18</f>
        <v>4.0146864123264416</v>
      </c>
      <c r="R18">
        <f>SQRT(N18^2+P18^2)</f>
        <v>193.34166648707671</v>
      </c>
      <c r="S18">
        <f>ABS(R18)*$AQ$18+$AR$18</f>
        <v>4.0555255497679497</v>
      </c>
      <c r="U18">
        <f>IFERROR(DEGREES(ATAN2(N18, P18)), 90)</f>
        <v>81.07359207326067</v>
      </c>
      <c r="V18">
        <f>N18^2+P18^2</f>
        <v>37381</v>
      </c>
      <c r="W18">
        <f>DEGREES(SQRT(((P18/V18)^2)*O18^2+((N18/V18)^2)*Q18^2))</f>
        <v>0.39862396649081938</v>
      </c>
      <c r="X18">
        <f>U18-$U$18</f>
        <v>0</v>
      </c>
      <c r="Y18">
        <f>SQRT($W$18^2+W18^2)</f>
        <v>0.5637394196982749</v>
      </c>
      <c r="AA18">
        <f>N18/K18</f>
        <v>288</v>
      </c>
      <c r="AB18">
        <f>ABS(AA18)*SQRT((L18/K18)^2+(O18/N18)^2)</f>
        <v>16.338059517842133</v>
      </c>
      <c r="AC18">
        <f>P18/K18</f>
        <v>1833.6</v>
      </c>
      <c r="AD18">
        <f>ABS(AC18)*SQRT((L18/K18)^2+(Q18/P18)^2)</f>
        <v>82.853788158029303</v>
      </c>
      <c r="AE18">
        <f>R18/K18</f>
        <v>1856.0799982759363</v>
      </c>
      <c r="AF18">
        <f>ABS(AE18)*SQRT((L18/K18)^2+(S18/R18)^2)</f>
        <v>83.832182069901236</v>
      </c>
      <c r="AG18">
        <f>AF18/AE18</f>
        <v>4.5166254766912384E-2</v>
      </c>
      <c r="AH18">
        <f>AE18*COS(RADIANS(X28))</f>
        <v>1847.4649999674978</v>
      </c>
      <c r="AI18">
        <f>SQRT(COS(RADIANS(X28))^2*AF18^2+(AE18*SIN(RADIANS(X28)))^2*Y28^2)</f>
        <v>116.23895065798642</v>
      </c>
      <c r="AJ18">
        <f>(AE3-AE18)/AE18</f>
        <v>1.9683563339972624E-2</v>
      </c>
      <c r="AL18">
        <f>AH18</f>
        <v>1847.4649999674978</v>
      </c>
      <c r="AM18">
        <f>AI18</f>
        <v>116.23895065798642</v>
      </c>
      <c r="AN18">
        <f>AL20/AL18</f>
        <v>0.96210657804555044</v>
      </c>
      <c r="AO18">
        <f>ABS(AN18)*SQRT((AM18/AL18)^2+(AM20/AL20)^2)</f>
        <v>0.32390935325011189</v>
      </c>
      <c r="AQ18">
        <f>AS3*0.00872010119009103</f>
        <v>1.7440202380182061E-2</v>
      </c>
      <c r="AR18">
        <f>AS3*0.341803878855834</f>
        <v>0.68360775771166804</v>
      </c>
      <c r="AU18">
        <v>1.2</v>
      </c>
      <c r="AV18">
        <v>2</v>
      </c>
      <c r="AW18">
        <v>8.68</v>
      </c>
      <c r="AX18">
        <v>0.2</v>
      </c>
      <c r="AY18">
        <v>9.7370000000000001</v>
      </c>
      <c r="AZ18">
        <v>17.314</v>
      </c>
      <c r="BA18" s="1">
        <f>AE18</f>
        <v>1856.0799982759363</v>
      </c>
      <c r="BB18" s="1">
        <f>AF18</f>
        <v>83.832182069901236</v>
      </c>
      <c r="BC18" s="1">
        <f>X28</f>
        <v>5.5224908863096118</v>
      </c>
      <c r="BD18" s="1">
        <f>Y28</f>
        <v>0.45304640867678475</v>
      </c>
      <c r="BE18">
        <f>AH18</f>
        <v>1847.4649999674978</v>
      </c>
      <c r="BF18">
        <f>AI18</f>
        <v>116.23895065798642</v>
      </c>
      <c r="BG18">
        <f>AN18</f>
        <v>0.96210657804555044</v>
      </c>
      <c r="BH18">
        <f>AO18</f>
        <v>0.32390935325011189</v>
      </c>
    </row>
    <row r="19" spans="1:60" x14ac:dyDescent="0.25">
      <c r="A19" t="s">
        <v>1</v>
      </c>
      <c r="B19">
        <v>428.5</v>
      </c>
      <c r="C19">
        <v>426.5</v>
      </c>
      <c r="D19">
        <v>625.17700000000002</v>
      </c>
      <c r="E19">
        <v>329</v>
      </c>
      <c r="F19">
        <v>526</v>
      </c>
      <c r="G19">
        <v>199</v>
      </c>
      <c r="H19">
        <v>199</v>
      </c>
      <c r="I19">
        <v>53</v>
      </c>
      <c r="L19">
        <f t="shared" ref="L19:L23" si="1">1/240</f>
        <v>4.1666666666666666E-3</v>
      </c>
      <c r="AQ19">
        <f>AS3*0.00051291753818516</f>
        <v>1.0258350763703199E-3</v>
      </c>
      <c r="AR19">
        <f>AS3*0.0676280548663656</f>
        <v>0.13525610973273119</v>
      </c>
    </row>
    <row r="20" spans="1:60" x14ac:dyDescent="0.25">
      <c r="A20" t="s">
        <v>4</v>
      </c>
      <c r="B20">
        <v>464.5</v>
      </c>
      <c r="C20">
        <v>621.5</v>
      </c>
      <c r="D20">
        <v>625.17700000000002</v>
      </c>
      <c r="E20">
        <v>365</v>
      </c>
      <c r="F20">
        <v>721</v>
      </c>
      <c r="G20">
        <v>199</v>
      </c>
      <c r="H20">
        <v>199</v>
      </c>
      <c r="I20">
        <v>96</v>
      </c>
      <c r="K20">
        <f>(I20-I21)/240</f>
        <v>6.6666666666666666E-2</v>
      </c>
      <c r="L20">
        <f t="shared" si="1"/>
        <v>4.1666666666666666E-3</v>
      </c>
      <c r="N20">
        <f>B20-B21</f>
        <v>5</v>
      </c>
      <c r="O20">
        <f>ABS(N20)*$AQ$18+$AR$18</f>
        <v>0.77080876961257838</v>
      </c>
      <c r="P20">
        <f>C20-C21</f>
        <v>1</v>
      </c>
      <c r="Q20">
        <f>ABS(P20)*$AQ$18+$AR$18</f>
        <v>0.70104796009185011</v>
      </c>
      <c r="R20">
        <f>SQRT(N20^2+P20^2)</f>
        <v>5.0990195135927845</v>
      </c>
      <c r="S20">
        <f>ABS(R20)*$AQ$18+$AR$18</f>
        <v>0.77253568996922373</v>
      </c>
      <c r="U20">
        <f>IFERROR(DEGREES(ATAN2(N20, P20)), 90)</f>
        <v>11.309932474020215</v>
      </c>
      <c r="V20">
        <f>N20^2+P20^2</f>
        <v>26</v>
      </c>
      <c r="W20">
        <f>DEGREES(SQRT(((P20/V20)^2)*O20^2+((N20/V20)^2)*Q20^2))</f>
        <v>7.9090001401789483</v>
      </c>
      <c r="X20">
        <f>U20-$U$18</f>
        <v>-69.763659599240455</v>
      </c>
      <c r="Y20">
        <f>SQRT($W$18^2+W20^2)</f>
        <v>7.9190393536092172</v>
      </c>
      <c r="AA20">
        <f>N20/K20</f>
        <v>75</v>
      </c>
      <c r="AB20">
        <f>ABS(AA20)*SQRT((L20/K20)^2+(O20/N20)^2)</f>
        <v>12.476199024347233</v>
      </c>
      <c r="AC20">
        <f>P20/K20</f>
        <v>15</v>
      </c>
      <c r="AD20">
        <f>ABS(AC20)*SQRT((L20/K20)^2+(Q20/P20)^2)</f>
        <v>10.557426806685067</v>
      </c>
      <c r="AE20">
        <f>R20/K20</f>
        <v>76.485292703891773</v>
      </c>
      <c r="AF20">
        <f>ABS(AE20)*SQRT((L20/K20)^2+(S20/R20)^2)</f>
        <v>12.535315144109882</v>
      </c>
      <c r="AG20">
        <f>AF20/AE20</f>
        <v>0.16389183725346523</v>
      </c>
      <c r="AH20">
        <f>AE20*COS(RADIANS(X29))</f>
        <v>19.4266329430721</v>
      </c>
      <c r="AI20">
        <f>SQRT(COS(RADIANS(X29))^2*AF20^2+(AE20*SIN(RADIANS(X29)))^2*Y29^2)</f>
        <v>585.30999343750273</v>
      </c>
      <c r="AJ20">
        <f>(AE5-AE20)/AE20</f>
        <v>0.20699166749415199</v>
      </c>
      <c r="AL20">
        <f>AH22-AH20</f>
        <v>1777.4582291776521</v>
      </c>
      <c r="AM20">
        <f>SQRT(AI20^2+AI22^2)</f>
        <v>587.86822907758426</v>
      </c>
    </row>
    <row r="21" spans="1:60" x14ac:dyDescent="0.25">
      <c r="A21" t="s">
        <v>20</v>
      </c>
      <c r="B21">
        <v>459.5</v>
      </c>
      <c r="C21">
        <v>620.5</v>
      </c>
      <c r="D21">
        <v>625.17700000000002</v>
      </c>
      <c r="E21">
        <v>360</v>
      </c>
      <c r="F21">
        <v>720</v>
      </c>
      <c r="G21">
        <v>199</v>
      </c>
      <c r="H21">
        <v>199</v>
      </c>
      <c r="I21">
        <v>80</v>
      </c>
      <c r="L21">
        <f t="shared" si="1"/>
        <v>4.1666666666666666E-3</v>
      </c>
    </row>
    <row r="22" spans="1:60" x14ac:dyDescent="0.25">
      <c r="A22" t="s">
        <v>2</v>
      </c>
      <c r="B22">
        <v>552.5</v>
      </c>
      <c r="C22">
        <v>1502.5</v>
      </c>
      <c r="D22">
        <v>631.46</v>
      </c>
      <c r="E22">
        <v>452</v>
      </c>
      <c r="F22">
        <v>1603</v>
      </c>
      <c r="G22">
        <v>201</v>
      </c>
      <c r="H22">
        <v>201</v>
      </c>
      <c r="I22">
        <v>161</v>
      </c>
      <c r="K22">
        <f>(I22-I23)/240</f>
        <v>0.33750000000000002</v>
      </c>
      <c r="L22">
        <f t="shared" si="1"/>
        <v>4.1666666666666666E-3</v>
      </c>
      <c r="N22">
        <f>B22-B23</f>
        <v>76</v>
      </c>
      <c r="O22">
        <f>ABS(N22)*$AQ$18+$AR$18</f>
        <v>2.0090631386055047</v>
      </c>
      <c r="P22">
        <f>C22-C23</f>
        <v>603</v>
      </c>
      <c r="Q22">
        <f>ABS(P22)*$AQ$18+$AR$18</f>
        <v>11.200049792961451</v>
      </c>
      <c r="R22">
        <f>SQRT(N22^2+P22^2)</f>
        <v>607.77051590217832</v>
      </c>
      <c r="S22">
        <f>ABS(R22)*$AQ$18+$AR$18</f>
        <v>11.283248555753318</v>
      </c>
      <c r="U22">
        <f>IFERROR(DEGREES(ATAN2(N22, P22)), 90)</f>
        <v>82.816518590254319</v>
      </c>
      <c r="V22">
        <f>N22^2+P22^2</f>
        <v>369385</v>
      </c>
      <c r="W22">
        <f>DEGREES(SQRT(((P22/V22)^2)*O22^2+((N22/V22)^2)*Q22^2))</f>
        <v>0.22965876137002569</v>
      </c>
      <c r="X22">
        <f>U22-$U$18</f>
        <v>1.7429265169936485</v>
      </c>
      <c r="Y22">
        <f>SQRT($W$18^2+W22^2)</f>
        <v>0.46004805546256611</v>
      </c>
      <c r="AA22">
        <f>N22/K22</f>
        <v>225.18518518518516</v>
      </c>
      <c r="AB22">
        <f>ABS(AA22)*SQRT((L22/K22)^2+(O22/N22)^2)</f>
        <v>6.5699575131296637</v>
      </c>
      <c r="AC22">
        <f>P22/K22</f>
        <v>1786.6666666666665</v>
      </c>
      <c r="AD22">
        <f>ABS(AC22)*SQRT((L22/K22)^2+(Q22/P22)^2)</f>
        <v>39.847265984388436</v>
      </c>
      <c r="AE22">
        <f>R22/K22</f>
        <v>1800.8015285990468</v>
      </c>
      <c r="AF22">
        <f>ABS(AE22)*SQRT((L22/K22)^2+(S22/R22)^2)</f>
        <v>40.149165455140562</v>
      </c>
      <c r="AG22">
        <f>AF22/AE22</f>
        <v>2.2295164024197071E-2</v>
      </c>
      <c r="AH22">
        <f>AE22*COS(RADIANS(X30))</f>
        <v>1796.8848621207242</v>
      </c>
      <c r="AI22">
        <f>SQRT(COS(RADIANS(X30))^2*AF22^2+(AE22*SIN(RADIANS(X30)))^2*Y30^2)</f>
        <v>54.783814589764127</v>
      </c>
      <c r="AJ22">
        <f>(AE7-AE22)/AE22</f>
        <v>8.400695585431257E-3</v>
      </c>
    </row>
    <row r="23" spans="1:60" x14ac:dyDescent="0.25">
      <c r="A23" t="s">
        <v>31</v>
      </c>
      <c r="B23">
        <v>476.5</v>
      </c>
      <c r="C23">
        <v>899.5</v>
      </c>
      <c r="D23">
        <v>631.46</v>
      </c>
      <c r="E23">
        <v>376</v>
      </c>
      <c r="F23">
        <v>1000</v>
      </c>
      <c r="G23">
        <v>201</v>
      </c>
      <c r="H23">
        <v>201</v>
      </c>
      <c r="I23">
        <v>80</v>
      </c>
      <c r="L23">
        <f t="shared" si="1"/>
        <v>4.1666666666666666E-3</v>
      </c>
    </row>
    <row r="25" spans="1:60" x14ac:dyDescent="0.25">
      <c r="AE25" t="s">
        <v>102</v>
      </c>
      <c r="AF25" t="s">
        <v>103</v>
      </c>
      <c r="AG25" s="1" t="s">
        <v>105</v>
      </c>
      <c r="AH25" s="1" t="s">
        <v>36</v>
      </c>
      <c r="AI25" t="s">
        <v>106</v>
      </c>
      <c r="AJ25" s="1" t="s">
        <v>104</v>
      </c>
      <c r="AK25" t="s">
        <v>107</v>
      </c>
    </row>
    <row r="26" spans="1:60" x14ac:dyDescent="0.25">
      <c r="U26">
        <f>U22-U20</f>
        <v>71.506586116234104</v>
      </c>
      <c r="W26">
        <f>SQRT(W20^2+W22^2)</f>
        <v>7.9123338127271037</v>
      </c>
      <c r="AA26">
        <f>SUM(AA18:AA19)-SUM(AA20:AA22)</f>
        <v>-12.185185185185162</v>
      </c>
      <c r="AB26">
        <f>SQRT(SUMPRODUCT(AB18:AB22,AB18:AB22))</f>
        <v>21.581289874055344</v>
      </c>
      <c r="AC26">
        <f>SUM(AC18:AC19)-SUM(AC20:AC22)</f>
        <v>31.933333333333394</v>
      </c>
      <c r="AD26">
        <f>SQRT(SUMPRODUCT(AD18:AD22,AD18:AD22))</f>
        <v>92.541958480165675</v>
      </c>
      <c r="AE26">
        <f>SQRT(AA26^2+AC26^2)</f>
        <v>34.1791824913212</v>
      </c>
      <c r="AF26">
        <f>SQRT((AA26/AE26)^2*AB26^2+(AC26/AE26)^2*AD26^2)</f>
        <v>86.802856745196479</v>
      </c>
      <c r="AG26">
        <f>IF(DEGREES(ATAN(AC26/AA26))&lt;0, 180+DEGREES(ATAN(AC26/AA26)), DEGREES(ATAN(AC26/AA26)))</f>
        <v>110.88595411062866</v>
      </c>
      <c r="AH26">
        <f>AA26^2+AC26^2</f>
        <v>1168.2165157750376</v>
      </c>
      <c r="AI26">
        <f>DEGREES(SQRT(((AC26/AH26)^2)*AB26^2+((AA26/AH26)^2)*AD26^2))</f>
        <v>64.816555240185025</v>
      </c>
      <c r="AJ26">
        <f>AG26-U18</f>
        <v>29.81236203736799</v>
      </c>
      <c r="AK26">
        <f>SQRT(AI26^2+W18^2)</f>
        <v>64.817781003908308</v>
      </c>
    </row>
    <row r="27" spans="1:60" x14ac:dyDescent="0.25">
      <c r="X27" t="s">
        <v>32</v>
      </c>
    </row>
    <row r="28" spans="1:60" x14ac:dyDescent="0.25">
      <c r="A28" t="s">
        <v>29</v>
      </c>
      <c r="B28">
        <v>474.5</v>
      </c>
      <c r="C28">
        <v>886.5</v>
      </c>
      <c r="D28">
        <v>631.46</v>
      </c>
      <c r="E28">
        <v>374</v>
      </c>
      <c r="F28">
        <v>987</v>
      </c>
      <c r="G28">
        <v>201</v>
      </c>
      <c r="H28">
        <v>201</v>
      </c>
      <c r="I28">
        <v>78</v>
      </c>
      <c r="K28">
        <f>(I28-I29)/240</f>
        <v>0</v>
      </c>
      <c r="N28">
        <f>B28-B29</f>
        <v>16</v>
      </c>
      <c r="O28">
        <f>ABS(N28)*$AQ$18+$AR$18</f>
        <v>0.96265099579458102</v>
      </c>
      <c r="P28">
        <f>C28-C29</f>
        <v>269</v>
      </c>
      <c r="Q28">
        <f>ABS(P28)*$AQ$18+$AR$18</f>
        <v>5.3750221979806421</v>
      </c>
      <c r="R28">
        <f>SQRT(N28^2+P28^2)</f>
        <v>269.47541631844638</v>
      </c>
      <c r="S28">
        <f>ABS(R28)*$AQ$18+$AR$18</f>
        <v>5.3833135547891882</v>
      </c>
      <c r="U28">
        <f>IF(DEGREES(ATAN(P28/N28))&lt;0, 180+DEGREES(ATAN(P28/N28)), DEGREES(ATAN(P28/N28)))</f>
        <v>86.596082959570282</v>
      </c>
      <c r="V28">
        <f>N28^2+P28^2</f>
        <v>72617</v>
      </c>
      <c r="W28">
        <f>DEGREES(SQRT(((P28/V28)^2)*O28^2+((N28/V28)^2)*Q28^2))</f>
        <v>0.21529045904093932</v>
      </c>
      <c r="X28">
        <f>U28-$U$18</f>
        <v>5.5224908863096118</v>
      </c>
      <c r="Y28">
        <f>SQRT($W$18^2+W28^2)</f>
        <v>0.45304640867678475</v>
      </c>
    </row>
    <row r="29" spans="1:60" x14ac:dyDescent="0.25">
      <c r="A29" t="s">
        <v>28</v>
      </c>
      <c r="B29">
        <v>458.5</v>
      </c>
      <c r="C29">
        <v>617.5</v>
      </c>
      <c r="D29">
        <v>625.17700000000002</v>
      </c>
      <c r="E29">
        <v>359</v>
      </c>
      <c r="F29">
        <v>717</v>
      </c>
      <c r="G29">
        <v>199</v>
      </c>
      <c r="H29">
        <v>199</v>
      </c>
      <c r="I29">
        <v>78</v>
      </c>
      <c r="X29">
        <f>U28-U20</f>
        <v>75.286150485550067</v>
      </c>
      <c r="Y29">
        <f>SQRT($W$20^2+W28^2)</f>
        <v>7.9119298024631561</v>
      </c>
    </row>
    <row r="30" spans="1:60" x14ac:dyDescent="0.25">
      <c r="X30">
        <f>U28-U22</f>
        <v>3.7795643693159633</v>
      </c>
      <c r="Y30">
        <f>SQRT($W$22^2+W28^2)</f>
        <v>0.31479061045093576</v>
      </c>
    </row>
    <row r="37" spans="14:33" x14ac:dyDescent="0.25">
      <c r="N37">
        <f>B37-B38</f>
        <v>0</v>
      </c>
      <c r="O37">
        <f>N37*$AQ$3+$AR$3</f>
        <v>0.47161778385220399</v>
      </c>
      <c r="P37">
        <f>C37-C38</f>
        <v>0</v>
      </c>
      <c r="Q37">
        <f>P37*$AQ$3+$AR$3</f>
        <v>0.47161778385220399</v>
      </c>
      <c r="R37">
        <f>SQRT(N37^2+P37^2)</f>
        <v>0</v>
      </c>
      <c r="S37">
        <f>R37*$AQ$3+$AR$3</f>
        <v>0.47161778385220399</v>
      </c>
      <c r="AA37" t="e">
        <f>N37/K37</f>
        <v>#DIV/0!</v>
      </c>
      <c r="AC37" t="e">
        <f>P37/K37</f>
        <v>#DIV/0!</v>
      </c>
      <c r="AE37" t="e">
        <f>R37/K37</f>
        <v>#DIV/0!</v>
      </c>
      <c r="AF37" t="e">
        <f>ABS(AE37)*SQRT((L37/K37)^2+(S37/R37)^2)</f>
        <v>#DIV/0!</v>
      </c>
      <c r="AG37" t="e">
        <f>AF37/AE37</f>
        <v>#DIV/0!</v>
      </c>
    </row>
    <row r="40" spans="14:33" x14ac:dyDescent="0.25">
      <c r="N40">
        <f>B40-B41</f>
        <v>0</v>
      </c>
      <c r="O40">
        <f>N40*$AQ$3+$AR$3</f>
        <v>0.47161778385220399</v>
      </c>
      <c r="P40">
        <f>C40-C41</f>
        <v>0</v>
      </c>
      <c r="Q40">
        <f>P40*$AQ$3+$AR$3</f>
        <v>0.47161778385220399</v>
      </c>
      <c r="R40">
        <f>SQRT(N40^2+P40^2)</f>
        <v>0</v>
      </c>
      <c r="S40">
        <f>R40*$AQ$3+$AR$3</f>
        <v>0.47161778385220399</v>
      </c>
      <c r="AA40" t="e">
        <f>N40/K40</f>
        <v>#DIV/0!</v>
      </c>
      <c r="AC40" t="e">
        <f>P40/K40</f>
        <v>#DIV/0!</v>
      </c>
      <c r="AE40" t="e">
        <f>R40/K40</f>
        <v>#DIV/0!</v>
      </c>
      <c r="AF40" t="e">
        <f>ABS(AE40)*SQRT((L40/K40)^2+(S40/R40)^2)</f>
        <v>#DIV/0!</v>
      </c>
      <c r="AG40" t="e">
        <f>AF40/AE40</f>
        <v>#DIV/0!</v>
      </c>
    </row>
    <row r="43" spans="14:33" x14ac:dyDescent="0.25">
      <c r="N43">
        <f>B43-B44</f>
        <v>0</v>
      </c>
      <c r="O43">
        <f>N43*$AQ$3+$AR$3</f>
        <v>0.47161778385220399</v>
      </c>
      <c r="P43">
        <f>C43-C44</f>
        <v>0</v>
      </c>
      <c r="Q43">
        <f>P43*$AQ$3+$AR$3</f>
        <v>0.47161778385220399</v>
      </c>
      <c r="R43">
        <f>SQRT(N43^2+P43^2)</f>
        <v>0</v>
      </c>
      <c r="S43">
        <f>R43*$AQ$3+$AR$3</f>
        <v>0.47161778385220399</v>
      </c>
      <c r="AA43" t="e">
        <f>N43/K43</f>
        <v>#DIV/0!</v>
      </c>
      <c r="AC43" t="e">
        <f>P43/K43</f>
        <v>#DIV/0!</v>
      </c>
      <c r="AE43" t="e">
        <f>R43/K43</f>
        <v>#DIV/0!</v>
      </c>
      <c r="AF43" t="e">
        <f>ABS(AE43)*SQRT((L43/K43)^2+(S43/R43)^2)</f>
        <v>#DIV/0!</v>
      </c>
      <c r="AG43" t="e">
        <f>AF43/AE43</f>
        <v>#DIV/0!</v>
      </c>
    </row>
    <row r="46" spans="14:33" x14ac:dyDescent="0.25">
      <c r="N46">
        <f>B46-B47</f>
        <v>0</v>
      </c>
      <c r="O46">
        <f>N46*$AQ$3+$AR$3</f>
        <v>0.47161778385220399</v>
      </c>
      <c r="P46">
        <f>C46-C47</f>
        <v>0</v>
      </c>
      <c r="Q46">
        <f>P46*$AQ$3+$AR$3</f>
        <v>0.47161778385220399</v>
      </c>
      <c r="R46">
        <f>SQRT(N46^2+P46^2)</f>
        <v>0</v>
      </c>
      <c r="S46">
        <f>R46*$AQ$3+$AR$3</f>
        <v>0.47161778385220399</v>
      </c>
      <c r="AA46" t="e">
        <f>N46/K46</f>
        <v>#DIV/0!</v>
      </c>
      <c r="AC46" t="e">
        <f>P46/K46</f>
        <v>#DIV/0!</v>
      </c>
      <c r="AE46" t="e">
        <f>R46/K46</f>
        <v>#DIV/0!</v>
      </c>
      <c r="AF46" t="e">
        <f>ABS(AE46)*SQRT((L46/K46)^2+(S46/R46)^2)</f>
        <v>#DIV/0!</v>
      </c>
      <c r="AG46" t="e">
        <f>AF46/AE46</f>
        <v>#DIV/0!</v>
      </c>
    </row>
    <row r="49" spans="14:33" x14ac:dyDescent="0.25">
      <c r="N49">
        <f>B49-B50</f>
        <v>0</v>
      </c>
      <c r="O49">
        <f>N49*$AQ$3+$AR$3</f>
        <v>0.47161778385220399</v>
      </c>
      <c r="P49">
        <f>C49-C50</f>
        <v>0</v>
      </c>
      <c r="Q49">
        <f>P49*$AQ$3+$AR$3</f>
        <v>0.47161778385220399</v>
      </c>
      <c r="R49">
        <f>SQRT(N49^2+P49^2)</f>
        <v>0</v>
      </c>
      <c r="S49">
        <f>R49*$AQ$3+$AR$3</f>
        <v>0.47161778385220399</v>
      </c>
      <c r="AA49" t="e">
        <f>N49/K49</f>
        <v>#DIV/0!</v>
      </c>
      <c r="AC49" t="e">
        <f>P49/K49</f>
        <v>#DIV/0!</v>
      </c>
      <c r="AE49" t="e">
        <f>R49/K49</f>
        <v>#DIV/0!</v>
      </c>
      <c r="AF49" t="e">
        <f>ABS(AE49)*SQRT((L49/K49)^2+(S49/R49)^2)</f>
        <v>#DIV/0!</v>
      </c>
      <c r="AG49" t="e">
        <f>AF49/AE49</f>
        <v>#DIV/0!</v>
      </c>
    </row>
    <row r="52" spans="14:33" x14ac:dyDescent="0.25">
      <c r="N52">
        <f>B52-B54</f>
        <v>0</v>
      </c>
      <c r="O52">
        <f>N52*$AQ$3+$AR$3</f>
        <v>0.47161778385220399</v>
      </c>
      <c r="P52">
        <f>C52-C54</f>
        <v>0</v>
      </c>
      <c r="Q52">
        <f>P52*$AQ$3+$AR$3</f>
        <v>0.47161778385220399</v>
      </c>
      <c r="R52">
        <f>SQRT(N52^2+P52^2)</f>
        <v>0</v>
      </c>
      <c r="S52">
        <f>R52*$AQ$3+$AR$3</f>
        <v>0.47161778385220399</v>
      </c>
      <c r="AA52" t="e">
        <f>N52/K52</f>
        <v>#DIV/0!</v>
      </c>
      <c r="AC52" t="e">
        <f>P52/K52</f>
        <v>#DIV/0!</v>
      </c>
      <c r="AE52" t="e">
        <f>R52/K52</f>
        <v>#DIV/0!</v>
      </c>
      <c r="AF52" t="e">
        <f>ABS(AE52)*SQRT((L52/K52)^2+(S52/R52)^2)</f>
        <v>#DIV/0!</v>
      </c>
      <c r="AG52" t="e">
        <f>AF52/AE52</f>
        <v>#DIV/0!</v>
      </c>
    </row>
    <row r="54" spans="14:33" x14ac:dyDescent="0.25">
      <c r="N54">
        <f>B54-B55</f>
        <v>0</v>
      </c>
      <c r="O54">
        <f>N54*$AQ$3+$AR$3</f>
        <v>0.47161778385220399</v>
      </c>
      <c r="P54">
        <f>C54-C55</f>
        <v>0</v>
      </c>
      <c r="Q54">
        <f>P54*$AQ$3+$AR$3</f>
        <v>0.47161778385220399</v>
      </c>
      <c r="R54">
        <f>SQRT(N54^2+P54^2)</f>
        <v>0</v>
      </c>
      <c r="S54">
        <f>R54*$AQ$3+$AR$3</f>
        <v>0.47161778385220399</v>
      </c>
      <c r="AA54" t="e">
        <f>N54/K54</f>
        <v>#DIV/0!</v>
      </c>
      <c r="AC54" t="e">
        <f>P54/K54</f>
        <v>#DIV/0!</v>
      </c>
      <c r="AE54" t="e">
        <f>R54/K54</f>
        <v>#DIV/0!</v>
      </c>
      <c r="AF54" t="e">
        <f>ABS(AE54)*SQRT((L54/K54)^2+(S54/R54)^2)</f>
        <v>#DIV/0!</v>
      </c>
      <c r="AG54" t="e">
        <f>AF54/AE54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AF0A-7E98-4AC4-A2BB-9DC7D450A64E}">
  <dimension ref="A1:BH54"/>
  <sheetViews>
    <sheetView zoomScale="91" workbookViewId="0">
      <pane xSplit="1" ySplit="2" topLeftCell="U3" activePane="bottomRight" state="frozen"/>
      <selection pane="topRight" activeCell="B1" sqref="B1"/>
      <selection pane="bottomLeft" activeCell="A2" sqref="A2"/>
      <selection pane="bottomRight" activeCell="AH1" sqref="AH1:AM2"/>
    </sheetView>
  </sheetViews>
  <sheetFormatPr defaultRowHeight="15" x14ac:dyDescent="0.25"/>
  <cols>
    <col min="1" max="1" width="11.5703125" customWidth="1"/>
    <col min="12" max="13" width="8.28515625" customWidth="1"/>
    <col min="18" max="18" width="12" bestFit="1" customWidth="1"/>
    <col min="19" max="20" width="12" customWidth="1"/>
    <col min="25" max="25" width="7.7109375" customWidth="1"/>
    <col min="26" max="26" width="5.7109375" customWidth="1"/>
  </cols>
  <sheetData>
    <row r="1" spans="1:60" s="2" customFormat="1" x14ac:dyDescent="0.25">
      <c r="A1" s="2" t="s">
        <v>168</v>
      </c>
      <c r="K1" s="2" t="s">
        <v>48</v>
      </c>
      <c r="N1" s="2" t="s">
        <v>49</v>
      </c>
      <c r="U1" s="2" t="s">
        <v>51</v>
      </c>
      <c r="AA1" s="2" t="s">
        <v>50</v>
      </c>
      <c r="AL1" s="2" t="s">
        <v>101</v>
      </c>
      <c r="AQ1" s="2" t="s">
        <v>97</v>
      </c>
    </row>
    <row r="2" spans="1:60" ht="18" x14ac:dyDescent="0.35">
      <c r="A2" t="s">
        <v>14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K2" s="2" t="s">
        <v>15</v>
      </c>
      <c r="L2" s="1" t="s">
        <v>45</v>
      </c>
      <c r="M2" s="1"/>
      <c r="N2" s="2" t="s">
        <v>41</v>
      </c>
      <c r="O2" s="1" t="s">
        <v>43</v>
      </c>
      <c r="P2" s="2" t="s">
        <v>42</v>
      </c>
      <c r="Q2" s="1" t="s">
        <v>44</v>
      </c>
      <c r="R2" s="2" t="s">
        <v>17</v>
      </c>
      <c r="S2" s="1" t="s">
        <v>33</v>
      </c>
      <c r="T2" s="1"/>
      <c r="U2" s="2" t="s">
        <v>37</v>
      </c>
      <c r="V2" t="s">
        <v>36</v>
      </c>
      <c r="W2" s="1" t="s">
        <v>35</v>
      </c>
      <c r="X2" s="2" t="s">
        <v>38</v>
      </c>
      <c r="Y2" s="1" t="s">
        <v>47</v>
      </c>
      <c r="Z2" s="1"/>
      <c r="AA2" s="2" t="s">
        <v>18</v>
      </c>
      <c r="AB2" t="s">
        <v>99</v>
      </c>
      <c r="AC2" s="2" t="s">
        <v>19</v>
      </c>
      <c r="AD2" t="s">
        <v>100</v>
      </c>
      <c r="AE2" s="2" t="s">
        <v>16</v>
      </c>
      <c r="AF2" t="s">
        <v>40</v>
      </c>
      <c r="AG2" s="1" t="s">
        <v>39</v>
      </c>
      <c r="AH2" s="3" t="s">
        <v>224</v>
      </c>
      <c r="AI2" s="1" t="s">
        <v>225</v>
      </c>
      <c r="AL2" s="3" t="s">
        <v>226</v>
      </c>
      <c r="AM2" s="1" t="s">
        <v>227</v>
      </c>
      <c r="AN2" t="s">
        <v>180</v>
      </c>
      <c r="AO2" t="s">
        <v>181</v>
      </c>
      <c r="AP2" s="2"/>
      <c r="AQ2" t="s">
        <v>30</v>
      </c>
      <c r="AR2" t="s">
        <v>34</v>
      </c>
      <c r="AU2" t="s">
        <v>108</v>
      </c>
      <c r="AV2" t="s">
        <v>61</v>
      </c>
      <c r="AW2" t="s">
        <v>112</v>
      </c>
      <c r="AX2" s="1" t="s">
        <v>109</v>
      </c>
      <c r="AY2" s="1" t="s">
        <v>110</v>
      </c>
      <c r="AZ2" s="1" t="s">
        <v>111</v>
      </c>
      <c r="BA2" s="1" t="str">
        <f>AE2</f>
        <v>v</v>
      </c>
      <c r="BB2" s="1" t="str">
        <f>AF2</f>
        <v>σv</v>
      </c>
      <c r="BC2" s="1" t="str">
        <f>X12</f>
        <v>collision angle</v>
      </c>
      <c r="BD2" s="1"/>
      <c r="BE2" t="str">
        <f>AH2</f>
        <v>vn</v>
      </c>
      <c r="BF2" t="str">
        <f>AI2</f>
        <v>σvn</v>
      </c>
      <c r="BG2" t="str">
        <f>AN2</f>
        <v>COR</v>
      </c>
      <c r="BH2" t="str">
        <f>AO2</f>
        <v>σCOR</v>
      </c>
    </row>
    <row r="3" spans="1:60" x14ac:dyDescent="0.25">
      <c r="A3" t="s">
        <v>0</v>
      </c>
      <c r="B3">
        <v>686</v>
      </c>
      <c r="C3">
        <v>717</v>
      </c>
      <c r="D3">
        <v>634.60199999999998</v>
      </c>
      <c r="E3">
        <v>585</v>
      </c>
      <c r="F3">
        <v>818</v>
      </c>
      <c r="G3">
        <v>202</v>
      </c>
      <c r="H3">
        <v>202</v>
      </c>
      <c r="I3">
        <v>55</v>
      </c>
      <c r="K3">
        <f>(I3-I4)/240</f>
        <v>8.3333333333333329E-2</v>
      </c>
      <c r="L3">
        <f>1/240</f>
        <v>4.1666666666666666E-3</v>
      </c>
      <c r="N3">
        <f>B3-B4</f>
        <v>35</v>
      </c>
      <c r="O3">
        <f>ABS(N3)*$AQ$3+$AR$3</f>
        <v>0.74558368681869402</v>
      </c>
      <c r="P3">
        <f>C3-C4</f>
        <v>242</v>
      </c>
      <c r="Q3">
        <f>ABS(P3)*$AQ$3+$AR$3</f>
        <v>2.3658963129347921</v>
      </c>
      <c r="R3">
        <f>SQRT(N3^2+P3^2)</f>
        <v>244.51789300580847</v>
      </c>
      <c r="S3">
        <f>ABS(R3)*$AQ$3+$AR$3</f>
        <v>2.3856053652464868</v>
      </c>
      <c r="U3">
        <f>IFERROR(DEGREES(ATAN2(N3, P3)), 90)</f>
        <v>81.770483437605108</v>
      </c>
      <c r="V3">
        <f>N3^2+P3^2</f>
        <v>59789</v>
      </c>
      <c r="W3">
        <f>DEGREES(SQRT(((P3/V3)^2)*O3^2+((N3/V3)^2)*Q3^2))</f>
        <v>0.19024682083424072</v>
      </c>
      <c r="X3" s="5">
        <f>U3-$U$3</f>
        <v>0</v>
      </c>
      <c r="Y3" s="5">
        <f>SQRT($W$3^2+W3^2)</f>
        <v>0.2690496342221475</v>
      </c>
      <c r="AA3">
        <f>N3/K3</f>
        <v>420</v>
      </c>
      <c r="AB3">
        <f>ABS(AA3)*SQRT((L3/K3)^2+(O3/N3)^2)</f>
        <v>22.826495239156245</v>
      </c>
      <c r="AC3">
        <f>P3/K3</f>
        <v>2904</v>
      </c>
      <c r="AD3">
        <f>ABS(AC3)*SQRT((L3/K3)^2+(Q3/P3)^2)</f>
        <v>147.94956915230412</v>
      </c>
      <c r="AE3">
        <f>R3/K3</f>
        <v>2934.2147160697018</v>
      </c>
      <c r="AF3">
        <f>ABS(AE3)*SQRT((L3/K3)^2+(S3/R3)^2)</f>
        <v>149.47762463342724</v>
      </c>
      <c r="AG3">
        <f>AF3/AE3</f>
        <v>5.0942974218890269E-2</v>
      </c>
      <c r="AH3" s="5">
        <f>AE3*COS(RADIANS(X13))</f>
        <v>2933.7313083328513</v>
      </c>
      <c r="AI3" s="5">
        <f>SQRT(COS(RADIANS(X13))^2*AF3^2+(AE3*SIN(RADIANS(X13)))^2*Y13^2)</f>
        <v>150.0610392958105</v>
      </c>
      <c r="AL3">
        <f>AH3-0</f>
        <v>2933.7313083328513</v>
      </c>
      <c r="AM3">
        <f>AI3</f>
        <v>150.0610392958105</v>
      </c>
      <c r="AN3">
        <f>AL5/AL3</f>
        <v>0.92785761449376447</v>
      </c>
      <c r="AO3">
        <f>ABS(AN3)*SQRT((AM3/AL3)^2+(AM5/AL5)^2)</f>
        <v>0.24590326205313073</v>
      </c>
      <c r="AQ3">
        <f>AS3*0.003913798613807</f>
        <v>7.8275972276139992E-3</v>
      </c>
      <c r="AR3">
        <f>AS3*0.235808891926102</f>
        <v>0.47161778385220399</v>
      </c>
      <c r="AS3">
        <v>2</v>
      </c>
      <c r="AU3">
        <v>1.3</v>
      </c>
      <c r="AV3">
        <v>1</v>
      </c>
      <c r="AW3">
        <v>6.44</v>
      </c>
      <c r="AX3">
        <v>0.2</v>
      </c>
      <c r="AY3">
        <v>12.234</v>
      </c>
      <c r="AZ3">
        <v>20.954999999999998</v>
      </c>
      <c r="BA3" s="1">
        <f>AE3</f>
        <v>2934.2147160697018</v>
      </c>
      <c r="BB3" s="1">
        <f>AF3</f>
        <v>149.47762463342724</v>
      </c>
      <c r="BC3" s="1">
        <f>X13</f>
        <v>1.0400505449357524</v>
      </c>
      <c r="BD3" s="1">
        <f>Y13</f>
        <v>0.25338163276236125</v>
      </c>
      <c r="BE3">
        <f>AH3</f>
        <v>2933.7313083328513</v>
      </c>
      <c r="BF3">
        <f>AI3</f>
        <v>150.0610392958105</v>
      </c>
      <c r="BG3">
        <f>AN3</f>
        <v>0.92785761449376447</v>
      </c>
      <c r="BH3">
        <f>AO3</f>
        <v>0.24590326205313073</v>
      </c>
    </row>
    <row r="4" spans="1:60" x14ac:dyDescent="0.25">
      <c r="A4" t="s">
        <v>1</v>
      </c>
      <c r="B4">
        <v>651</v>
      </c>
      <c r="C4">
        <v>475</v>
      </c>
      <c r="D4">
        <v>634.60199999999998</v>
      </c>
      <c r="E4">
        <v>550</v>
      </c>
      <c r="F4">
        <v>576</v>
      </c>
      <c r="G4">
        <v>202</v>
      </c>
      <c r="H4">
        <v>202</v>
      </c>
      <c r="I4">
        <v>35</v>
      </c>
      <c r="L4">
        <f t="shared" ref="L4:L8" si="0">1/240</f>
        <v>4.1666666666666666E-3</v>
      </c>
      <c r="AQ4">
        <f>AS3*0.000205630802414239</f>
        <v>4.11261604828478E-4</v>
      </c>
      <c r="AR4">
        <f>AS3*0.0272049920008763</f>
        <v>5.44099840017526E-2</v>
      </c>
    </row>
    <row r="5" spans="1:60" x14ac:dyDescent="0.25">
      <c r="A5" t="s">
        <v>27</v>
      </c>
      <c r="B5">
        <v>688</v>
      </c>
      <c r="C5">
        <v>726</v>
      </c>
      <c r="D5">
        <v>634.60199999999998</v>
      </c>
      <c r="E5">
        <v>587</v>
      </c>
      <c r="F5">
        <v>827</v>
      </c>
      <c r="G5">
        <v>202</v>
      </c>
      <c r="H5">
        <v>202</v>
      </c>
      <c r="I5">
        <v>73</v>
      </c>
      <c r="K5">
        <f>(I5-I6)/240</f>
        <v>6.6666666666666666E-2</v>
      </c>
      <c r="L5">
        <f t="shared" si="0"/>
        <v>4.1666666666666666E-3</v>
      </c>
      <c r="N5">
        <f>B5-B6</f>
        <v>1</v>
      </c>
      <c r="O5">
        <f>ABS(N5)*$AQ$3+$AR$3</f>
        <v>0.47944538107981799</v>
      </c>
      <c r="P5">
        <f>C5-C6</f>
        <v>5</v>
      </c>
      <c r="Q5">
        <f>ABS(P5)*$AQ$3+$AR$3</f>
        <v>0.51075576999027394</v>
      </c>
      <c r="R5">
        <f>SQRT(N5^2+P5^2)</f>
        <v>5.0990195135927845</v>
      </c>
      <c r="S5">
        <f>ABS(R5)*$AQ$3+$AR$3</f>
        <v>0.51153085486035255</v>
      </c>
      <c r="U5">
        <f>IFERROR(DEGREES(ATAN2(N5, P5)), 90)</f>
        <v>78.690067525979785</v>
      </c>
      <c r="V5">
        <f>N5^2+P5^2</f>
        <v>26</v>
      </c>
      <c r="W5">
        <f>DEGREES(SQRT(((P5/V5)^2)*O5^2+((N5/V5)^2)*Q5^2))</f>
        <v>5.4013042665123718</v>
      </c>
      <c r="X5" s="5">
        <f>U5-$U$3</f>
        <v>-3.0804159116253231</v>
      </c>
      <c r="Y5" s="5">
        <f>SQRT($W$3^2+W5^2)</f>
        <v>5.4046537014208678</v>
      </c>
      <c r="AA5">
        <f>N5/K5</f>
        <v>15</v>
      </c>
      <c r="AB5">
        <f>ABS(AA5)*SQRT((L5/K5)^2+(O5/N5)^2)</f>
        <v>7.2525290605225203</v>
      </c>
      <c r="AC5">
        <f>P5/K5</f>
        <v>75</v>
      </c>
      <c r="AD5">
        <f>ABS(AC5)*SQRT((L5/K5)^2+(Q5/P5)^2)</f>
        <v>8.9815774772659207</v>
      </c>
      <c r="AE5">
        <f>R5/K5</f>
        <v>76.485292703891773</v>
      </c>
      <c r="AF5">
        <f>ABS(AE5)*SQRT((L5/K5)^2+(S5/R5)^2)</f>
        <v>9.0402389891908665</v>
      </c>
      <c r="AG5">
        <f>AF5/AE5</f>
        <v>0.11819578208570908</v>
      </c>
      <c r="AH5">
        <f>AE5*COS(RADIANS(X14))</f>
        <v>76.287591982332714</v>
      </c>
      <c r="AI5">
        <f>SQRT(COS(RADIANS(X14))^2*AF5^2+(AE5*SIN(RADIANS(X14)))^2*Y14^2)</f>
        <v>31.03713780974287</v>
      </c>
      <c r="AL5">
        <f>AH7-AH5</f>
        <v>2722.0849333153901</v>
      </c>
      <c r="AM5">
        <f>SQRT(AI5^2+AI7^2)</f>
        <v>707.85015305979175</v>
      </c>
    </row>
    <row r="6" spans="1:60" x14ac:dyDescent="0.25">
      <c r="A6" t="s">
        <v>5</v>
      </c>
      <c r="B6">
        <v>687</v>
      </c>
      <c r="C6">
        <v>721</v>
      </c>
      <c r="D6">
        <v>634.60199999999998</v>
      </c>
      <c r="E6">
        <v>586</v>
      </c>
      <c r="F6">
        <v>822</v>
      </c>
      <c r="G6">
        <v>202</v>
      </c>
      <c r="H6">
        <v>202</v>
      </c>
      <c r="I6">
        <v>57</v>
      </c>
      <c r="L6">
        <f t="shared" si="0"/>
        <v>4.1666666666666666E-3</v>
      </c>
    </row>
    <row r="7" spans="1:60" x14ac:dyDescent="0.25">
      <c r="A7" t="s">
        <v>2</v>
      </c>
      <c r="B7">
        <v>729</v>
      </c>
      <c r="C7">
        <v>1047</v>
      </c>
      <c r="D7">
        <v>634.60199999999998</v>
      </c>
      <c r="E7">
        <v>628</v>
      </c>
      <c r="F7">
        <v>1148</v>
      </c>
      <c r="G7">
        <v>202</v>
      </c>
      <c r="H7">
        <v>202</v>
      </c>
      <c r="I7">
        <v>61</v>
      </c>
      <c r="K7">
        <f>(I7-I8)/240</f>
        <v>1.6666666666666666E-2</v>
      </c>
      <c r="L7">
        <f t="shared" si="0"/>
        <v>4.1666666666666666E-3</v>
      </c>
      <c r="N7">
        <f>B7-B8</f>
        <v>8</v>
      </c>
      <c r="O7">
        <f>ABS(N7)*$AQ$3+$AR$3</f>
        <v>0.53423856167311601</v>
      </c>
      <c r="P7">
        <f>C7-C8</f>
        <v>46</v>
      </c>
      <c r="Q7">
        <f>ABS(P7)*$AQ$3+$AR$3</f>
        <v>0.831687256322448</v>
      </c>
      <c r="R7">
        <f>SQRT(N7^2+P7^2)</f>
        <v>46.690470119715009</v>
      </c>
      <c r="S7">
        <f>ABS(R7)*$AQ$3+$AR$3</f>
        <v>0.83709197831727944</v>
      </c>
      <c r="U7">
        <f>IFERROR(DEGREES(ATAN2(N7, P7)), 90)</f>
        <v>80.134193056915635</v>
      </c>
      <c r="V7">
        <f>N7^2+P7^2</f>
        <v>2180</v>
      </c>
      <c r="W7">
        <f>DEGREES(SQRT(((P7/V7)^2)*O7^2+((N7/V7)^2)*Q7^2))</f>
        <v>0.66914480084800754</v>
      </c>
      <c r="X7">
        <f>U7-$U$3</f>
        <v>-1.6362903806894735</v>
      </c>
      <c r="Y7">
        <f>SQRT($W$3^2+W7^2)</f>
        <v>0.69566415556607153</v>
      </c>
      <c r="AA7">
        <f>N7/K7</f>
        <v>480</v>
      </c>
      <c r="AB7">
        <f>ABS(AA7)*SQRT((L7/K7)^2+(O7/N7)^2)</f>
        <v>124.20740326889866</v>
      </c>
      <c r="AC7">
        <f>P7/K7</f>
        <v>2760</v>
      </c>
      <c r="AD7">
        <f>ABS(AC7)*SQRT((L7/K7)^2+(Q7/P7)^2)</f>
        <v>691.80209113039336</v>
      </c>
      <c r="AE7">
        <f>R7/K7</f>
        <v>2801.4282071829007</v>
      </c>
      <c r="AF7">
        <f>ABS(AE7)*SQRT((L7/K7)^2+(S7/R7)^2)</f>
        <v>702.15568268624531</v>
      </c>
      <c r="AG7">
        <f>AF7/AE7</f>
        <v>0.25064204068692836</v>
      </c>
      <c r="AH7">
        <f>AE7*COS(RADIANS(X15))</f>
        <v>2798.3725252977229</v>
      </c>
      <c r="AI7">
        <f>SQRT(COS(RADIANS(X15))^2*AF7^2+(AE7*SIN(RADIANS(X15)))^2*Y15^2)</f>
        <v>707.16938230055575</v>
      </c>
    </row>
    <row r="8" spans="1:60" x14ac:dyDescent="0.25">
      <c r="A8" t="s">
        <v>3</v>
      </c>
      <c r="B8">
        <v>721</v>
      </c>
      <c r="C8">
        <v>1001</v>
      </c>
      <c r="D8">
        <v>634.60199999999998</v>
      </c>
      <c r="E8">
        <v>620</v>
      </c>
      <c r="F8">
        <v>1102</v>
      </c>
      <c r="G8">
        <v>202</v>
      </c>
      <c r="H8">
        <v>202</v>
      </c>
      <c r="I8">
        <v>57</v>
      </c>
      <c r="L8">
        <f t="shared" si="0"/>
        <v>4.1666666666666666E-3</v>
      </c>
    </row>
    <row r="10" spans="1:60" x14ac:dyDescent="0.25">
      <c r="AE10" t="s">
        <v>102</v>
      </c>
      <c r="AF10" t="s">
        <v>103</v>
      </c>
      <c r="AG10" s="1" t="s">
        <v>105</v>
      </c>
      <c r="AH10" s="1" t="s">
        <v>36</v>
      </c>
      <c r="AI10" t="s">
        <v>106</v>
      </c>
      <c r="AJ10" s="1" t="s">
        <v>104</v>
      </c>
      <c r="AK10" t="s">
        <v>107</v>
      </c>
    </row>
    <row r="11" spans="1:60" x14ac:dyDescent="0.25">
      <c r="U11">
        <f>U7-U5</f>
        <v>1.4441255309358496</v>
      </c>
      <c r="W11">
        <f>SQRT(W5^2+W7^2)</f>
        <v>5.442595203020951</v>
      </c>
      <c r="AA11">
        <f>SUM(AA3:AA4)-SUM(AA5:AA7)</f>
        <v>-75</v>
      </c>
      <c r="AB11">
        <f>SQRT(SUMPRODUCT(AB3:AB7,AB3:AB7))</f>
        <v>126.49556154063178</v>
      </c>
      <c r="AC11">
        <f>SUM(AC3:AC4)-SUM(AC5:AC7)</f>
        <v>69</v>
      </c>
      <c r="AD11">
        <f>SQRT(SUMPRODUCT(AD3:AD7,AD3:AD7))</f>
        <v>707.50256327360228</v>
      </c>
      <c r="AE11">
        <f>SQRT(AA11^2+AC11^2)</f>
        <v>101.91172650877817</v>
      </c>
      <c r="AF11">
        <f>SQRT((AA11/AE11)^2*AB11^2+(AC11/AE11)^2*AD11^2)</f>
        <v>487.98109122564011</v>
      </c>
      <c r="AG11">
        <f>IF(DEGREES(ATAN(AC11/AA11))&lt;0, 180+DEGREES(ATAN(AC11/AA11)), DEGREES(ATAN(AC11/AA11)))</f>
        <v>137.38594403038883</v>
      </c>
      <c r="AH11">
        <f>AA11^2+AC11^2</f>
        <v>10386</v>
      </c>
      <c r="AI11">
        <f>DEGREES(SQRT(((AC11/AH11)^2)*AB11^2+((AA11/AH11)^2)*AD11^2))</f>
        <v>296.66119663425394</v>
      </c>
      <c r="AJ11">
        <f>AG11-U3</f>
        <v>55.61546059278372</v>
      </c>
      <c r="AK11">
        <f>SQRT(AI11^2+W3^2)</f>
        <v>296.66125763624802</v>
      </c>
    </row>
    <row r="12" spans="1:60" x14ac:dyDescent="0.25">
      <c r="X12" t="s">
        <v>32</v>
      </c>
    </row>
    <row r="13" spans="1:60" x14ac:dyDescent="0.25">
      <c r="A13" t="s">
        <v>29</v>
      </c>
      <c r="B13">
        <v>720.5</v>
      </c>
      <c r="C13">
        <v>990.5</v>
      </c>
      <c r="D13">
        <v>637.74300000000005</v>
      </c>
      <c r="E13">
        <v>619</v>
      </c>
      <c r="F13">
        <v>1092</v>
      </c>
      <c r="G13">
        <v>203</v>
      </c>
      <c r="H13">
        <v>203</v>
      </c>
      <c r="I13">
        <v>55</v>
      </c>
      <c r="K13">
        <f>(I13-I14)/240</f>
        <v>0</v>
      </c>
      <c r="N13">
        <f>B13-B14</f>
        <v>34.5</v>
      </c>
      <c r="O13">
        <f>ABS(N13)*$AQ$3+$AR$3</f>
        <v>0.74166988820488688</v>
      </c>
      <c r="P13">
        <f>C13-C14</f>
        <v>273.5</v>
      </c>
      <c r="Q13">
        <f>ABS(P13)*$AQ$3+$AR$3</f>
        <v>2.6124656256046324</v>
      </c>
      <c r="R13">
        <f>SQRT(N13^2+P13^2)</f>
        <v>275.66737202650586</v>
      </c>
      <c r="S13">
        <f>ABS(R13)*$AQ$3+$AR$3</f>
        <v>2.6294309408705185</v>
      </c>
      <c r="U13">
        <f>IF(DEGREES(ATAN(P13/N13))&lt;0, 180+DEGREES(ATAN(P13/N13)), DEGREES(ATAN(P13/N13)))</f>
        <v>82.810533982540861</v>
      </c>
      <c r="V13">
        <f>N13^2+P13^2</f>
        <v>75992.5</v>
      </c>
      <c r="W13">
        <f>DEGREES(SQRT(((P13/V13)^2)*O13^2+((N13/V13)^2)*Q13^2))</f>
        <v>0.16735710018933894</v>
      </c>
      <c r="X13">
        <f>U13-$U$3</f>
        <v>1.0400505449357524</v>
      </c>
      <c r="Y13">
        <f>SQRT($W$3^2+W13^2)</f>
        <v>0.25338163276236125</v>
      </c>
    </row>
    <row r="14" spans="1:60" x14ac:dyDescent="0.25">
      <c r="A14" t="s">
        <v>0</v>
      </c>
      <c r="B14">
        <v>686</v>
      </c>
      <c r="C14">
        <v>717</v>
      </c>
      <c r="D14">
        <v>634.60199999999998</v>
      </c>
      <c r="E14">
        <v>585</v>
      </c>
      <c r="F14">
        <v>818</v>
      </c>
      <c r="G14">
        <v>202</v>
      </c>
      <c r="H14">
        <v>202</v>
      </c>
      <c r="I14">
        <v>55</v>
      </c>
      <c r="X14">
        <f>U13-U5</f>
        <v>4.1204664565610756</v>
      </c>
      <c r="Y14">
        <f>SQRT($W$5^2+W13^2)</f>
        <v>5.4038963885726501</v>
      </c>
    </row>
    <row r="15" spans="1:60" x14ac:dyDescent="0.25">
      <c r="X15">
        <f>U13-U7</f>
        <v>2.676340925625226</v>
      </c>
      <c r="Y15">
        <f>SQRT($W$7^2+W13^2)</f>
        <v>0.68975587238218139</v>
      </c>
    </row>
    <row r="17" spans="1:60" x14ac:dyDescent="0.25">
      <c r="A17" t="s">
        <v>25</v>
      </c>
    </row>
    <row r="18" spans="1:60" x14ac:dyDescent="0.25">
      <c r="A18" t="s">
        <v>28</v>
      </c>
      <c r="B18">
        <v>423.5</v>
      </c>
      <c r="C18">
        <v>636.5</v>
      </c>
      <c r="D18">
        <v>625.17700000000002</v>
      </c>
      <c r="E18">
        <v>324</v>
      </c>
      <c r="F18">
        <v>736</v>
      </c>
      <c r="G18">
        <v>199</v>
      </c>
      <c r="H18">
        <v>199</v>
      </c>
      <c r="I18">
        <v>63</v>
      </c>
      <c r="K18">
        <f>(I18-I19)/240</f>
        <v>6.6666666666666666E-2</v>
      </c>
      <c r="L18">
        <f>1/240</f>
        <v>4.1666666666666666E-3</v>
      </c>
      <c r="N18">
        <f>B18-B19</f>
        <v>27</v>
      </c>
      <c r="O18">
        <f>ABS(N18)*$AQ$18+$AR$18</f>
        <v>1.1544932219765838</v>
      </c>
      <c r="P18">
        <f>C18-C19</f>
        <v>193</v>
      </c>
      <c r="Q18">
        <f>ABS(P18)*$AQ$18+$AR$18</f>
        <v>4.0495668170868058</v>
      </c>
      <c r="R18">
        <f>SQRT(N18^2+P18^2)</f>
        <v>194.87944991712183</v>
      </c>
      <c r="S18">
        <f>ABS(R18)*$AQ$18+$AR$18</f>
        <v>4.0823448040048271</v>
      </c>
      <c r="U18">
        <f>IFERROR(DEGREES(ATAN2(N18, P18)), 90)</f>
        <v>82.036212939281228</v>
      </c>
      <c r="V18">
        <f>N18^2+P18^2</f>
        <v>37978</v>
      </c>
      <c r="W18">
        <f>DEGREES(SQRT(((P18/V18)^2)*O18^2+((N18/V18)^2)*Q18^2))</f>
        <v>0.37444603619345629</v>
      </c>
      <c r="X18">
        <f>U18-$U$18</f>
        <v>0</v>
      </c>
      <c r="Y18">
        <f>SQRT($W$18^2+W18^2)</f>
        <v>0.52954666276163276</v>
      </c>
      <c r="AA18">
        <f>N18/K18</f>
        <v>405</v>
      </c>
      <c r="AB18">
        <f>ABS(AA18)*SQRT((L18/K18)^2+(O18/N18)^2)</f>
        <v>30.669446378402753</v>
      </c>
      <c r="AC18">
        <f>P18/K18</f>
        <v>2895</v>
      </c>
      <c r="AD18">
        <f>ABS(AC18)*SQRT((L18/K18)^2+(Q18/P18)^2)</f>
        <v>190.86160423880798</v>
      </c>
      <c r="AE18">
        <f>R18/K18</f>
        <v>2923.1917487568276</v>
      </c>
      <c r="AF18">
        <f>ABS(AE18)*SQRT((L18/K18)^2+(S18/R18)^2)</f>
        <v>192.68847360370745</v>
      </c>
      <c r="AG18">
        <f>AF18/AE18</f>
        <v>6.5917151581196765E-2</v>
      </c>
      <c r="AH18">
        <f>AE18*COS(RADIANS(X28))</f>
        <v>2920.8240665701769</v>
      </c>
      <c r="AI18">
        <f>SQRT(COS(RADIANS(X28))^2*AF18^2+(AE18*SIN(RADIANS(X28)))^2*Y28^2)</f>
        <v>200.00200687968416</v>
      </c>
      <c r="AJ18">
        <f>(AE3-AE18)/AE18</f>
        <v>3.770867004383849E-3</v>
      </c>
      <c r="AL18">
        <f>AH18</f>
        <v>2920.8240665701769</v>
      </c>
      <c r="AM18">
        <f>AI18</f>
        <v>200.00200687968416</v>
      </c>
      <c r="AN18">
        <f>AL20/AL18</f>
        <v>0.95195291497566881</v>
      </c>
      <c r="AO18">
        <f>ABS(AN18)*SQRT((AM18/AL18)^2+(AM20/AL20)^2)</f>
        <v>7.9873959367481609E-2</v>
      </c>
      <c r="AQ18">
        <f>AS3*0.00872010119009103</f>
        <v>1.7440202380182061E-2</v>
      </c>
      <c r="AR18">
        <f>AS3*0.341803878855834</f>
        <v>0.68360775771166804</v>
      </c>
      <c r="AU18">
        <v>1.3</v>
      </c>
      <c r="AV18">
        <v>2</v>
      </c>
      <c r="AW18">
        <v>6.44</v>
      </c>
      <c r="AX18">
        <v>0.2</v>
      </c>
      <c r="AY18">
        <v>12.234</v>
      </c>
      <c r="AZ18">
        <v>20.954999999999998</v>
      </c>
      <c r="BA18" s="1">
        <f>AE18</f>
        <v>2923.1917487568276</v>
      </c>
      <c r="BB18" s="1">
        <f>AF18</f>
        <v>192.68847360370745</v>
      </c>
      <c r="BC18" s="1">
        <f>X28</f>
        <v>2.3062160990078553</v>
      </c>
      <c r="BD18" s="1">
        <f>Y28</f>
        <v>0.46033104523117779</v>
      </c>
      <c r="BE18">
        <f>AH18</f>
        <v>2920.8240665701769</v>
      </c>
      <c r="BF18">
        <f>AI18</f>
        <v>200.00200687968416</v>
      </c>
      <c r="BG18">
        <f>AN18</f>
        <v>0.95195291497566881</v>
      </c>
      <c r="BH18">
        <f>AO18</f>
        <v>7.9873959367481609E-2</v>
      </c>
    </row>
    <row r="19" spans="1:60" x14ac:dyDescent="0.25">
      <c r="A19" t="s">
        <v>1</v>
      </c>
      <c r="B19">
        <v>396.5</v>
      </c>
      <c r="C19">
        <v>443.5</v>
      </c>
      <c r="D19">
        <v>625.17700000000002</v>
      </c>
      <c r="E19">
        <v>297</v>
      </c>
      <c r="F19">
        <v>543</v>
      </c>
      <c r="G19">
        <v>199</v>
      </c>
      <c r="H19">
        <v>199</v>
      </c>
      <c r="I19">
        <v>47</v>
      </c>
      <c r="L19">
        <f t="shared" ref="L19:L23" si="1">1/240</f>
        <v>4.1666666666666666E-3</v>
      </c>
      <c r="AQ19">
        <f>AS3*0.00051291753818516</f>
        <v>1.0258350763703199E-3</v>
      </c>
      <c r="AR19">
        <f>AS3*0.0676280548663656</f>
        <v>0.13525610973273119</v>
      </c>
    </row>
    <row r="20" spans="1:60" x14ac:dyDescent="0.25">
      <c r="A20" t="s">
        <v>4</v>
      </c>
      <c r="B20">
        <v>423.5</v>
      </c>
      <c r="C20">
        <v>644.5</v>
      </c>
      <c r="D20">
        <v>618.89400000000001</v>
      </c>
      <c r="E20">
        <v>325</v>
      </c>
      <c r="F20">
        <v>743</v>
      </c>
      <c r="G20">
        <v>197</v>
      </c>
      <c r="H20">
        <v>197</v>
      </c>
      <c r="I20">
        <v>81</v>
      </c>
      <c r="K20">
        <f>(I20-I21)/240</f>
        <v>6.6666666666666666E-2</v>
      </c>
      <c r="L20">
        <f t="shared" si="1"/>
        <v>4.1666666666666666E-3</v>
      </c>
      <c r="N20">
        <f>B20-B21</f>
        <v>1</v>
      </c>
      <c r="O20">
        <f>ABS(N20)*$AQ$18+$AR$18</f>
        <v>0.70104796009185011</v>
      </c>
      <c r="P20">
        <f>C20-C21</f>
        <v>4</v>
      </c>
      <c r="Q20">
        <f>ABS(P20)*$AQ$18+$AR$18</f>
        <v>0.75336856723239631</v>
      </c>
      <c r="R20">
        <f>SQRT(N20^2+P20^2)</f>
        <v>4.1231056256176606</v>
      </c>
      <c r="S20">
        <f>ABS(R20)*$AQ$18+$AR$18</f>
        <v>0.75551555425730721</v>
      </c>
      <c r="U20">
        <f>IFERROR(DEGREES(ATAN2(N20, P20)), 90)</f>
        <v>75.963756532073532</v>
      </c>
      <c r="V20">
        <f>N20^2+P20^2</f>
        <v>17</v>
      </c>
      <c r="W20">
        <f>DEGREES(SQRT(((P20/V20)^2)*O20^2+((N20/V20)^2)*Q20^2))</f>
        <v>9.7862138082519348</v>
      </c>
      <c r="X20">
        <f>U20-$U$18</f>
        <v>-6.0724564072076959</v>
      </c>
      <c r="Y20">
        <f>SQRT($W$18^2+W20^2)</f>
        <v>9.7933748286707498</v>
      </c>
      <c r="AA20">
        <f>N20/K20</f>
        <v>15</v>
      </c>
      <c r="AB20">
        <f>ABS(AA20)*SQRT((L20/K20)^2+(O20/N20)^2)</f>
        <v>10.557426806685067</v>
      </c>
      <c r="AC20">
        <f>P20/K20</f>
        <v>60</v>
      </c>
      <c r="AD20">
        <f>ABS(AC20)*SQRT((L20/K20)^2+(Q20/P20)^2)</f>
        <v>11.906487499304889</v>
      </c>
      <c r="AE20">
        <f>R20/K20</f>
        <v>61.846584384264908</v>
      </c>
      <c r="AF20">
        <f>ABS(AE20)*SQRT((L20/K20)^2+(S20/R20)^2)</f>
        <v>11.973815207070107</v>
      </c>
      <c r="AG20">
        <f>AF20/AE20</f>
        <v>0.19360511702108649</v>
      </c>
      <c r="AH20">
        <f>AE20*COS(RADIANS(X29))</f>
        <v>61.186473625779939</v>
      </c>
      <c r="AI20">
        <f>SQRT(COS(RADIANS(X29))^2*AF20^2+(AE20*SIN(RADIANS(X29)))^2*Y29^2)</f>
        <v>89.017708397691138</v>
      </c>
      <c r="AJ20">
        <f>(AE5-AE20)/AE20</f>
        <v>0.23669388480168463</v>
      </c>
      <c r="AL20">
        <f>AH22-AH20</f>
        <v>2780.4869843025667</v>
      </c>
      <c r="AM20">
        <f>SQRT(AI20^2+AI22^2)</f>
        <v>134.82786768030226</v>
      </c>
    </row>
    <row r="21" spans="1:60" x14ac:dyDescent="0.25">
      <c r="A21" t="s">
        <v>20</v>
      </c>
      <c r="B21">
        <v>422.5</v>
      </c>
      <c r="C21">
        <v>640.5</v>
      </c>
      <c r="D21">
        <v>618.89400000000001</v>
      </c>
      <c r="E21">
        <v>324</v>
      </c>
      <c r="F21">
        <v>739</v>
      </c>
      <c r="G21">
        <v>197</v>
      </c>
      <c r="H21">
        <v>197</v>
      </c>
      <c r="I21">
        <v>65</v>
      </c>
      <c r="L21">
        <f t="shared" si="1"/>
        <v>4.1666666666666666E-3</v>
      </c>
    </row>
    <row r="22" spans="1:60" x14ac:dyDescent="0.25">
      <c r="A22" t="s">
        <v>2</v>
      </c>
      <c r="B22">
        <v>544</v>
      </c>
      <c r="C22">
        <v>1501</v>
      </c>
      <c r="D22">
        <v>628.31899999999996</v>
      </c>
      <c r="E22">
        <v>444</v>
      </c>
      <c r="F22">
        <v>1601</v>
      </c>
      <c r="G22">
        <v>200</v>
      </c>
      <c r="H22">
        <v>200</v>
      </c>
      <c r="I22">
        <v>114</v>
      </c>
      <c r="K22">
        <f>(I22-I23)/240</f>
        <v>0.20416666666666666</v>
      </c>
      <c r="L22">
        <f t="shared" si="1"/>
        <v>4.1666666666666666E-3</v>
      </c>
      <c r="N22">
        <f>B22-B23</f>
        <v>91</v>
      </c>
      <c r="O22">
        <f>ABS(N22)*$AQ$18+$AR$18</f>
        <v>2.2706661743082357</v>
      </c>
      <c r="P22">
        <f>C22-C23</f>
        <v>574</v>
      </c>
      <c r="Q22">
        <f>ABS(P22)*$AQ$18+$AR$18</f>
        <v>10.694283923936171</v>
      </c>
      <c r="R22">
        <f>SQRT(N22^2+P22^2)</f>
        <v>581.16865022125887</v>
      </c>
      <c r="S22">
        <f>ABS(R22)*$AQ$18+$AR$18</f>
        <v>10.819306634587663</v>
      </c>
      <c r="U22">
        <f>IFERROR(DEGREES(ATAN2(N22, P22)), 90)</f>
        <v>80.991496257974845</v>
      </c>
      <c r="V22">
        <f>N22^2+P22^2</f>
        <v>337757</v>
      </c>
      <c r="W22">
        <f>DEGREES(SQRT(((P22/V22)^2)*O22^2+((N22/V22)^2)*Q22^2))</f>
        <v>0.27593033438342396</v>
      </c>
      <c r="X22">
        <f>U22-$U$18</f>
        <v>-1.0447166813063831</v>
      </c>
      <c r="Y22">
        <f>SQRT($W$18^2+W22^2)</f>
        <v>0.46513157649630638</v>
      </c>
      <c r="AA22">
        <f>N22/K22</f>
        <v>445.71428571428572</v>
      </c>
      <c r="AB22">
        <f>ABS(AA22)*SQRT((L22/K22)^2+(O22/N22)^2)</f>
        <v>14.367730996987309</v>
      </c>
      <c r="AC22">
        <f>P22/K22</f>
        <v>2811.4285714285716</v>
      </c>
      <c r="AD22">
        <f>ABS(AC22)*SQRT((L22/K22)^2+(Q22/P22)^2)</f>
        <v>77.689754076583824</v>
      </c>
      <c r="AE22">
        <f>R22/K22</f>
        <v>2846.5403276143293</v>
      </c>
      <c r="AF22">
        <f>ABS(AE22)*SQRT((L22/K22)^2+(S22/R22)^2)</f>
        <v>78.631829022099183</v>
      </c>
      <c r="AG22">
        <f>AF22/AE22</f>
        <v>2.762364834929288E-2</v>
      </c>
      <c r="AH22">
        <f>AE22*COS(RADIANS(X30))</f>
        <v>2841.6734579283466</v>
      </c>
      <c r="AI22">
        <f>SQRT(COS(RADIANS(X30))^2*AF22^2+(AE22*SIN(RADIANS(X30)))^2*Y30^2)</f>
        <v>101.26401875711197</v>
      </c>
      <c r="AJ22">
        <f>(AE7-AE22)/AE22</f>
        <v>-1.5848052456448714E-2</v>
      </c>
    </row>
    <row r="23" spans="1:60" x14ac:dyDescent="0.25">
      <c r="A23" t="s">
        <v>31</v>
      </c>
      <c r="B23">
        <v>453</v>
      </c>
      <c r="C23">
        <v>927</v>
      </c>
      <c r="D23">
        <v>628.31899999999996</v>
      </c>
      <c r="E23">
        <v>353</v>
      </c>
      <c r="F23">
        <v>1027</v>
      </c>
      <c r="G23">
        <v>200</v>
      </c>
      <c r="H23">
        <v>200</v>
      </c>
      <c r="I23">
        <v>65</v>
      </c>
      <c r="L23">
        <f t="shared" si="1"/>
        <v>4.1666666666666666E-3</v>
      </c>
    </row>
    <row r="25" spans="1:60" x14ac:dyDescent="0.25">
      <c r="AE25" t="s">
        <v>102</v>
      </c>
      <c r="AF25" t="s">
        <v>103</v>
      </c>
      <c r="AG25" s="1" t="s">
        <v>105</v>
      </c>
      <c r="AH25" s="1" t="s">
        <v>36</v>
      </c>
      <c r="AI25" t="s">
        <v>106</v>
      </c>
      <c r="AJ25" s="1" t="s">
        <v>104</v>
      </c>
      <c r="AK25" t="s">
        <v>107</v>
      </c>
    </row>
    <row r="26" spans="1:60" x14ac:dyDescent="0.25">
      <c r="U26">
        <f>U22-U20</f>
        <v>5.0277397259013128</v>
      </c>
      <c r="W26">
        <f>SQRT(W20^2+W22^2)</f>
        <v>9.7901030765898369</v>
      </c>
      <c r="AA26">
        <f>SUM(AA18:AA19)-SUM(AA20:AA22)</f>
        <v>-55.714285714285722</v>
      </c>
      <c r="AB26">
        <f>SQRT(SUMPRODUCT(AB18:AB22,AB18:AB22))</f>
        <v>35.475426649133119</v>
      </c>
      <c r="AC26">
        <f>SUM(AC18:AC19)-SUM(AC20:AC22)</f>
        <v>23.571428571428442</v>
      </c>
      <c r="AD26">
        <f>SQRT(SUMPRODUCT(AD18:AD22,AD18:AD22))</f>
        <v>206.41127465732714</v>
      </c>
      <c r="AE26">
        <f>SQRT(AA26^2+AC26^2)</f>
        <v>60.495403772113256</v>
      </c>
      <c r="AF26">
        <f>SQRT((AA26/AE26)^2*AB26^2+(AC26/AE26)^2*AD26^2)</f>
        <v>86.80896198175823</v>
      </c>
      <c r="AG26">
        <f>IF(DEGREES(ATAN(AC26/AA26))&lt;0, 180+DEGREES(ATAN(AC26/AA26)), DEGREES(ATAN(AC26/AA26)))</f>
        <v>157.06789956241033</v>
      </c>
      <c r="AH26">
        <f>AA26^2+AC26^2</f>
        <v>3659.6938775510152</v>
      </c>
      <c r="AI26">
        <f>DEGREES(SQRT(((AC26/AH26)^2)*AB26^2+((AA26/AH26)^2)*AD26^2))</f>
        <v>180.51900692623047</v>
      </c>
      <c r="AJ26">
        <f>AG26-U18</f>
        <v>75.031686623129104</v>
      </c>
      <c r="AK26">
        <f>SQRT(AI26^2+W18^2)</f>
        <v>180.5193952778107</v>
      </c>
    </row>
    <row r="27" spans="1:60" x14ac:dyDescent="0.25">
      <c r="X27" t="s">
        <v>32</v>
      </c>
    </row>
    <row r="28" spans="1:60" x14ac:dyDescent="0.25">
      <c r="A28" t="s">
        <v>29</v>
      </c>
      <c r="B28">
        <v>450</v>
      </c>
      <c r="C28">
        <v>904</v>
      </c>
      <c r="D28">
        <v>628.31899999999996</v>
      </c>
      <c r="E28">
        <v>350</v>
      </c>
      <c r="F28">
        <v>1004</v>
      </c>
      <c r="G28">
        <v>200</v>
      </c>
      <c r="H28">
        <v>200</v>
      </c>
      <c r="I28">
        <v>63</v>
      </c>
      <c r="K28">
        <f>(I28-I29)/240</f>
        <v>0</v>
      </c>
      <c r="N28">
        <f>B28-B29</f>
        <v>26.5</v>
      </c>
      <c r="O28">
        <f>ABS(N28)*$AQ$18+$AR$18</f>
        <v>1.1457731207864927</v>
      </c>
      <c r="P28">
        <f>C28-C29</f>
        <v>267.5</v>
      </c>
      <c r="Q28">
        <f>ABS(P28)*$AQ$18+$AR$18</f>
        <v>5.3488618944103692</v>
      </c>
      <c r="R28">
        <f>SQRT(N28^2+P28^2)</f>
        <v>268.8094120375996</v>
      </c>
      <c r="S28">
        <f>ABS(R28)*$AQ$18+$AR$18</f>
        <v>5.371698305345153</v>
      </c>
      <c r="U28">
        <f>IF(DEGREES(ATAN(P28/N28))&lt;0, 180+DEGREES(ATAN(P28/N28)), DEGREES(ATAN(P28/N28)))</f>
        <v>84.342429038289083</v>
      </c>
      <c r="V28">
        <f>N28^2+P28^2</f>
        <v>72258.5</v>
      </c>
      <c r="W28">
        <f>DEGREES(SQRT(((P28/V28)^2)*O28^2+((N28/V28)^2)*Q28^2))</f>
        <v>0.26775891615899083</v>
      </c>
      <c r="X28">
        <f>U28-$U$18</f>
        <v>2.3062160990078553</v>
      </c>
      <c r="Y28">
        <f>SQRT($W$18^2+W28^2)</f>
        <v>0.46033104523117779</v>
      </c>
    </row>
    <row r="29" spans="1:60" x14ac:dyDescent="0.25">
      <c r="A29" t="s">
        <v>28</v>
      </c>
      <c r="B29">
        <v>423.5</v>
      </c>
      <c r="C29">
        <v>636.5</v>
      </c>
      <c r="D29">
        <v>625.17700000000002</v>
      </c>
      <c r="E29">
        <v>324</v>
      </c>
      <c r="F29">
        <v>736</v>
      </c>
      <c r="G29">
        <v>199</v>
      </c>
      <c r="H29">
        <v>199</v>
      </c>
      <c r="I29">
        <v>63</v>
      </c>
      <c r="X29">
        <f>U28-U20</f>
        <v>8.3786725062155512</v>
      </c>
      <c r="Y29">
        <f>SQRT($W$20^2+W28^2)</f>
        <v>9.7898761758258956</v>
      </c>
    </row>
    <row r="30" spans="1:60" x14ac:dyDescent="0.25">
      <c r="X30">
        <f>U28-U22</f>
        <v>3.3509327803142384</v>
      </c>
      <c r="Y30">
        <f>SQRT($W$22^2+W28^2)</f>
        <v>0.3844897743966485</v>
      </c>
    </row>
    <row r="37" spans="11:33" x14ac:dyDescent="0.25">
      <c r="K37">
        <f>(I37-I38)/240</f>
        <v>0</v>
      </c>
      <c r="L37">
        <f t="shared" ref="L37" si="2">1/240</f>
        <v>4.1666666666666666E-3</v>
      </c>
      <c r="N37">
        <f>B37-B38</f>
        <v>0</v>
      </c>
      <c r="O37">
        <f>N37*$AQ$3+$AR$3</f>
        <v>0.47161778385220399</v>
      </c>
      <c r="P37">
        <f>C37-C38</f>
        <v>0</v>
      </c>
      <c r="Q37">
        <f>P37*$AQ$3+$AR$3</f>
        <v>0.47161778385220399</v>
      </c>
      <c r="R37">
        <f>SQRT(N37^2+P37^2)</f>
        <v>0</v>
      </c>
      <c r="S37">
        <f>R37*$AQ$3+$AR$3</f>
        <v>0.47161778385220399</v>
      </c>
      <c r="U37" t="e">
        <f>IF(DEGREES(ATAN(P37/N37))&lt;0, 180+DEGREES(ATAN(P37/N37)), DEGREES(ATAN(P37/N37)))</f>
        <v>#DIV/0!</v>
      </c>
      <c r="V37">
        <f>N37^2+P37^2</f>
        <v>0</v>
      </c>
      <c r="W37" t="e">
        <f>DEGREES(SQRT(((P37/V37)^2)*O37^2+((N37/V37)^2)*Q37^2))</f>
        <v>#DIV/0!</v>
      </c>
      <c r="AA37" t="e">
        <f>N37/K37</f>
        <v>#DIV/0!</v>
      </c>
      <c r="AC37" t="e">
        <f>P37/K37</f>
        <v>#DIV/0!</v>
      </c>
      <c r="AE37" t="e">
        <f>R37/K37</f>
        <v>#DIV/0!</v>
      </c>
      <c r="AF37" t="e">
        <f>ABS(AE37)*SQRT((L37/K37)^2+(S37/R37)^2)</f>
        <v>#DIV/0!</v>
      </c>
      <c r="AG37" t="e">
        <f>AF37/AE37</f>
        <v>#DIV/0!</v>
      </c>
    </row>
    <row r="40" spans="11:33" x14ac:dyDescent="0.25">
      <c r="K40">
        <f>(I40-I41)/240</f>
        <v>0</v>
      </c>
      <c r="L40">
        <f t="shared" ref="L40" si="3">1/240</f>
        <v>4.1666666666666666E-3</v>
      </c>
      <c r="N40">
        <f>B40-B41</f>
        <v>0</v>
      </c>
      <c r="O40">
        <f>N40*$AQ$3+$AR$3</f>
        <v>0.47161778385220399</v>
      </c>
      <c r="P40">
        <f>C40-C41</f>
        <v>0</v>
      </c>
      <c r="Q40">
        <f>P40*$AQ$3+$AR$3</f>
        <v>0.47161778385220399</v>
      </c>
      <c r="R40">
        <f>SQRT(N40^2+P40^2)</f>
        <v>0</v>
      </c>
      <c r="S40">
        <f>R40*$AQ$3+$AR$3</f>
        <v>0.47161778385220399</v>
      </c>
      <c r="U40" t="e">
        <f>IF(DEGREES(ATAN(P40/N40))&lt;0, 180+DEGREES(ATAN(P40/N40)), DEGREES(ATAN(P40/N40)))</f>
        <v>#DIV/0!</v>
      </c>
      <c r="V40">
        <f>N40^2+P40^2</f>
        <v>0</v>
      </c>
      <c r="W40" t="e">
        <f>DEGREES(SQRT(((P40/V40)^2)*O40^2+((N40/V40)^2)*Q40^2))</f>
        <v>#DIV/0!</v>
      </c>
      <c r="AA40" t="e">
        <f>N40/K40</f>
        <v>#DIV/0!</v>
      </c>
      <c r="AC40" t="e">
        <f>P40/K40</f>
        <v>#DIV/0!</v>
      </c>
      <c r="AE40" t="e">
        <f>R40/K40</f>
        <v>#DIV/0!</v>
      </c>
      <c r="AF40" t="e">
        <f>ABS(AE40)*SQRT((L40/K40)^2+(S40/R40)^2)</f>
        <v>#DIV/0!</v>
      </c>
      <c r="AG40" t="e">
        <f>AF40/AE40</f>
        <v>#DIV/0!</v>
      </c>
    </row>
    <row r="43" spans="11:33" x14ac:dyDescent="0.25">
      <c r="K43">
        <f>(I43-I44)/240</f>
        <v>0</v>
      </c>
      <c r="L43">
        <f t="shared" ref="L43" si="4">1/240</f>
        <v>4.1666666666666666E-3</v>
      </c>
      <c r="N43">
        <f>B43-B44</f>
        <v>0</v>
      </c>
      <c r="O43">
        <f>N43*$AQ$3+$AR$3</f>
        <v>0.47161778385220399</v>
      </c>
      <c r="P43">
        <f>C43-C44</f>
        <v>0</v>
      </c>
      <c r="Q43">
        <f>P43*$AQ$3+$AR$3</f>
        <v>0.47161778385220399</v>
      </c>
      <c r="R43">
        <f>SQRT(N43^2+P43^2)</f>
        <v>0</v>
      </c>
      <c r="S43">
        <f>R43*$AQ$3+$AR$3</f>
        <v>0.47161778385220399</v>
      </c>
      <c r="U43" t="e">
        <f>IF(DEGREES(ATAN(P43/N43))&lt;0, 180+DEGREES(ATAN(P43/N43)), DEGREES(ATAN(P43/N43)))</f>
        <v>#DIV/0!</v>
      </c>
      <c r="V43">
        <f>N43^2+P43^2</f>
        <v>0</v>
      </c>
      <c r="W43" t="e">
        <f>DEGREES(SQRT(((P43/V43)^2)*O43^2+((N43/V43)^2)*Q43^2))</f>
        <v>#DIV/0!</v>
      </c>
      <c r="AA43" t="e">
        <f>N43/K43</f>
        <v>#DIV/0!</v>
      </c>
      <c r="AC43" t="e">
        <f>P43/K43</f>
        <v>#DIV/0!</v>
      </c>
      <c r="AE43" t="e">
        <f>R43/K43</f>
        <v>#DIV/0!</v>
      </c>
      <c r="AF43" t="e">
        <f>ABS(AE43)*SQRT((L43/K43)^2+(S43/R43)^2)</f>
        <v>#DIV/0!</v>
      </c>
      <c r="AG43" t="e">
        <f>AF43/AE43</f>
        <v>#DIV/0!</v>
      </c>
    </row>
    <row r="46" spans="11:33" x14ac:dyDescent="0.25">
      <c r="K46">
        <f>(I46-I47)/240</f>
        <v>0</v>
      </c>
      <c r="L46">
        <f t="shared" ref="L46" si="5">1/240</f>
        <v>4.1666666666666666E-3</v>
      </c>
      <c r="N46">
        <f>B46-B47</f>
        <v>0</v>
      </c>
      <c r="O46">
        <f>N46*$AQ$3+$AR$3</f>
        <v>0.47161778385220399</v>
      </c>
      <c r="P46">
        <f>C46-C47</f>
        <v>0</v>
      </c>
      <c r="Q46">
        <f>P46*$AQ$3+$AR$3</f>
        <v>0.47161778385220399</v>
      </c>
      <c r="R46">
        <f>SQRT(N46^2+P46^2)</f>
        <v>0</v>
      </c>
      <c r="S46">
        <f>R46*$AQ$3+$AR$3</f>
        <v>0.47161778385220399</v>
      </c>
      <c r="U46" t="e">
        <f>IF(DEGREES(ATAN(P46/N46))&lt;0, 180+DEGREES(ATAN(P46/N46)), DEGREES(ATAN(P46/N46)))</f>
        <v>#DIV/0!</v>
      </c>
      <c r="V46">
        <f>N46^2+P46^2</f>
        <v>0</v>
      </c>
      <c r="W46" t="e">
        <f>DEGREES(SQRT(((P46/V46)^2)*O46^2+((N46/V46)^2)*Q46^2))</f>
        <v>#DIV/0!</v>
      </c>
      <c r="AA46" t="e">
        <f>N46/K46</f>
        <v>#DIV/0!</v>
      </c>
      <c r="AC46" t="e">
        <f>P46/K46</f>
        <v>#DIV/0!</v>
      </c>
      <c r="AE46" t="e">
        <f>R46/K46</f>
        <v>#DIV/0!</v>
      </c>
      <c r="AF46" t="e">
        <f>ABS(AE46)*SQRT((L46/K46)^2+(S46/R46)^2)</f>
        <v>#DIV/0!</v>
      </c>
      <c r="AG46" t="e">
        <f>AF46/AE46</f>
        <v>#DIV/0!</v>
      </c>
    </row>
    <row r="49" spans="11:33" x14ac:dyDescent="0.25">
      <c r="K49">
        <f>(I49-I50)/240</f>
        <v>0</v>
      </c>
      <c r="L49">
        <f t="shared" ref="L49" si="6">1/240</f>
        <v>4.1666666666666666E-3</v>
      </c>
      <c r="N49">
        <f>B49-B50</f>
        <v>0</v>
      </c>
      <c r="O49">
        <f>N49*$AQ$3+$AR$3</f>
        <v>0.47161778385220399</v>
      </c>
      <c r="P49">
        <f>C49-C50</f>
        <v>0</v>
      </c>
      <c r="Q49">
        <f>P49*$AQ$3+$AR$3</f>
        <v>0.47161778385220399</v>
      </c>
      <c r="R49">
        <f>SQRT(N49^2+P49^2)</f>
        <v>0</v>
      </c>
      <c r="S49">
        <f>R49*$AQ$3+$AR$3</f>
        <v>0.47161778385220399</v>
      </c>
      <c r="U49" t="e">
        <f>IF(DEGREES(ATAN(P49/N49))&lt;0, 180+DEGREES(ATAN(P49/N49)), DEGREES(ATAN(P49/N49)))</f>
        <v>#DIV/0!</v>
      </c>
      <c r="V49">
        <f>N49^2+P49^2</f>
        <v>0</v>
      </c>
      <c r="W49" t="e">
        <f>DEGREES(SQRT(((P49/V49)^2)*O49^2+((N49/V49)^2)*Q49^2))</f>
        <v>#DIV/0!</v>
      </c>
      <c r="AA49" t="e">
        <f>N49/K49</f>
        <v>#DIV/0!</v>
      </c>
      <c r="AC49" t="e">
        <f>P49/K49</f>
        <v>#DIV/0!</v>
      </c>
      <c r="AE49" t="e">
        <f>R49/K49</f>
        <v>#DIV/0!</v>
      </c>
      <c r="AF49" t="e">
        <f>ABS(AE49)*SQRT((L49/K49)^2+(S49/R49)^2)</f>
        <v>#DIV/0!</v>
      </c>
      <c r="AG49" t="e">
        <f>AF49/AE49</f>
        <v>#DIV/0!</v>
      </c>
    </row>
    <row r="52" spans="11:33" x14ac:dyDescent="0.25">
      <c r="K52">
        <f>(I52-I54)/240</f>
        <v>0</v>
      </c>
      <c r="L52">
        <f t="shared" ref="L52" si="7">1/240</f>
        <v>4.1666666666666666E-3</v>
      </c>
      <c r="N52">
        <f>B52-B54</f>
        <v>0</v>
      </c>
      <c r="O52">
        <f>N52*$AQ$3+$AR$3</f>
        <v>0.47161778385220399</v>
      </c>
      <c r="P52">
        <f>C52-C54</f>
        <v>0</v>
      </c>
      <c r="Q52">
        <f>P52*$AQ$3+$AR$3</f>
        <v>0.47161778385220399</v>
      </c>
      <c r="R52">
        <f>SQRT(N52^2+P52^2)</f>
        <v>0</v>
      </c>
      <c r="S52">
        <f>R52*$AQ$3+$AR$3</f>
        <v>0.47161778385220399</v>
      </c>
      <c r="U52" t="e">
        <f>IF(DEGREES(ATAN(P52/N52))&lt;0, 180+DEGREES(ATAN(P52/N52)), DEGREES(ATAN(P52/N52)))</f>
        <v>#DIV/0!</v>
      </c>
      <c r="V52">
        <f>N52^2+P52^2</f>
        <v>0</v>
      </c>
      <c r="W52" t="e">
        <f>DEGREES(SQRT(((P52/V52)^2)*O52^2+((N52/V52)^2)*Q52^2))</f>
        <v>#DIV/0!</v>
      </c>
      <c r="AA52" t="e">
        <f>N52/K52</f>
        <v>#DIV/0!</v>
      </c>
      <c r="AC52" t="e">
        <f>P52/K52</f>
        <v>#DIV/0!</v>
      </c>
      <c r="AE52" t="e">
        <f>R52/K52</f>
        <v>#DIV/0!</v>
      </c>
      <c r="AF52" t="e">
        <f>ABS(AE52)*SQRT((L52/K52)^2+(S52/R52)^2)</f>
        <v>#DIV/0!</v>
      </c>
      <c r="AG52" t="e">
        <f>AF52/AE52</f>
        <v>#DIV/0!</v>
      </c>
    </row>
    <row r="54" spans="11:33" x14ac:dyDescent="0.25">
      <c r="K54">
        <f>(I54-I55)/240</f>
        <v>0</v>
      </c>
      <c r="L54">
        <f t="shared" ref="L54" si="8">1/240</f>
        <v>4.1666666666666666E-3</v>
      </c>
      <c r="N54">
        <f>B54-B55</f>
        <v>0</v>
      </c>
      <c r="O54">
        <f>N54*$AQ$3+$AR$3</f>
        <v>0.47161778385220399</v>
      </c>
      <c r="P54">
        <f>C54-C55</f>
        <v>0</v>
      </c>
      <c r="Q54">
        <f>P54*$AQ$3+$AR$3</f>
        <v>0.47161778385220399</v>
      </c>
      <c r="R54">
        <f>SQRT(N54^2+P54^2)</f>
        <v>0</v>
      </c>
      <c r="S54">
        <f>R54*$AQ$3+$AR$3</f>
        <v>0.47161778385220399</v>
      </c>
      <c r="U54" t="e">
        <f>IF(DEGREES(ATAN(P54/N54))&lt;0, 180+DEGREES(ATAN(P54/N54)), DEGREES(ATAN(P54/N54)))</f>
        <v>#DIV/0!</v>
      </c>
      <c r="V54">
        <f>N54^2+P54^2</f>
        <v>0</v>
      </c>
      <c r="W54" t="e">
        <f>DEGREES(SQRT(((P54/V54)^2)*O54^2+((N54/V54)^2)*Q54^2))</f>
        <v>#DIV/0!</v>
      </c>
      <c r="AA54" t="e">
        <f>N54/K54</f>
        <v>#DIV/0!</v>
      </c>
      <c r="AC54" t="e">
        <f>P54/K54</f>
        <v>#DIV/0!</v>
      </c>
      <c r="AE54" t="e">
        <f>R54/K54</f>
        <v>#DIV/0!</v>
      </c>
      <c r="AF54" t="e">
        <f>ABS(AE54)*SQRT((L54/K54)^2+(S54/R54)^2)</f>
        <v>#DIV/0!</v>
      </c>
      <c r="AG54" t="e">
        <f>AF54/AE54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85F9-58B0-41D6-8486-D62B293511B8}">
  <dimension ref="A1:BH54"/>
  <sheetViews>
    <sheetView zoomScale="68" workbookViewId="0">
      <pane xSplit="1" ySplit="2" topLeftCell="V3" activePane="bottomRight" state="frozen"/>
      <selection pane="topRight" activeCell="B1" sqref="B1"/>
      <selection pane="bottomLeft" activeCell="A3" sqref="A3"/>
      <selection pane="bottomRight" activeCell="AH1" sqref="AH1:AM2"/>
    </sheetView>
  </sheetViews>
  <sheetFormatPr defaultRowHeight="15" x14ac:dyDescent="0.25"/>
  <cols>
    <col min="1" max="1" width="14.140625" customWidth="1"/>
    <col min="2" max="9" width="6.28515625" customWidth="1"/>
    <col min="12" max="13" width="8.28515625" customWidth="1"/>
    <col min="18" max="18" width="12" bestFit="1" customWidth="1"/>
    <col min="19" max="20" width="12" customWidth="1"/>
    <col min="25" max="25" width="7.7109375" customWidth="1"/>
    <col min="26" max="26" width="5.7109375" customWidth="1"/>
  </cols>
  <sheetData>
    <row r="1" spans="1:60" s="2" customFormat="1" x14ac:dyDescent="0.25">
      <c r="A1" s="2" t="s">
        <v>169</v>
      </c>
      <c r="K1" s="2" t="s">
        <v>48</v>
      </c>
      <c r="N1" s="2" t="s">
        <v>49</v>
      </c>
      <c r="U1" s="2" t="s">
        <v>51</v>
      </c>
      <c r="AA1" s="2" t="s">
        <v>50</v>
      </c>
      <c r="AL1" s="2" t="s">
        <v>101</v>
      </c>
      <c r="AQ1" s="2" t="s">
        <v>97</v>
      </c>
    </row>
    <row r="2" spans="1:60" ht="18" x14ac:dyDescent="0.35">
      <c r="A2" t="s">
        <v>14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K2" s="2" t="s">
        <v>15</v>
      </c>
      <c r="L2" s="1" t="s">
        <v>45</v>
      </c>
      <c r="M2" s="1"/>
      <c r="N2" s="2" t="s">
        <v>41</v>
      </c>
      <c r="O2" s="1" t="s">
        <v>43</v>
      </c>
      <c r="P2" s="2" t="s">
        <v>42</v>
      </c>
      <c r="Q2" s="1" t="s">
        <v>44</v>
      </c>
      <c r="R2" s="2" t="s">
        <v>17</v>
      </c>
      <c r="S2" s="1" t="s">
        <v>33</v>
      </c>
      <c r="T2" s="1"/>
      <c r="U2" s="2" t="s">
        <v>37</v>
      </c>
      <c r="V2" t="s">
        <v>36</v>
      </c>
      <c r="W2" s="1" t="s">
        <v>35</v>
      </c>
      <c r="X2" s="2" t="s">
        <v>38</v>
      </c>
      <c r="Y2" s="1" t="s">
        <v>47</v>
      </c>
      <c r="Z2" s="1"/>
      <c r="AA2" s="2" t="s">
        <v>18</v>
      </c>
      <c r="AB2" t="s">
        <v>99</v>
      </c>
      <c r="AC2" s="2" t="s">
        <v>19</v>
      </c>
      <c r="AD2" t="s">
        <v>100</v>
      </c>
      <c r="AE2" s="2" t="s">
        <v>16</v>
      </c>
      <c r="AF2" t="s">
        <v>40</v>
      </c>
      <c r="AG2" s="1" t="s">
        <v>39</v>
      </c>
      <c r="AH2" s="3" t="s">
        <v>224</v>
      </c>
      <c r="AI2" s="1" t="s">
        <v>225</v>
      </c>
      <c r="AL2" s="3" t="s">
        <v>226</v>
      </c>
      <c r="AM2" s="1" t="s">
        <v>227</v>
      </c>
      <c r="AN2" t="s">
        <v>180</v>
      </c>
      <c r="AO2" t="s">
        <v>181</v>
      </c>
      <c r="AP2" s="2"/>
      <c r="AQ2" t="s">
        <v>30</v>
      </c>
      <c r="AR2" t="s">
        <v>34</v>
      </c>
      <c r="AU2" t="s">
        <v>108</v>
      </c>
      <c r="AV2" t="s">
        <v>61</v>
      </c>
      <c r="AW2" t="s">
        <v>112</v>
      </c>
      <c r="AX2" s="1" t="s">
        <v>109</v>
      </c>
      <c r="AY2" s="1" t="s">
        <v>110</v>
      </c>
      <c r="AZ2" s="1" t="s">
        <v>111</v>
      </c>
      <c r="BA2" s="1" t="str">
        <f>AE2</f>
        <v>v</v>
      </c>
      <c r="BB2" s="1" t="str">
        <f>AF2</f>
        <v>σv</v>
      </c>
      <c r="BC2" s="1" t="str">
        <f>X12</f>
        <v>collision angle</v>
      </c>
      <c r="BD2" s="1"/>
      <c r="BE2" t="str">
        <f>AH2</f>
        <v>vn</v>
      </c>
      <c r="BF2" t="str">
        <f>AI2</f>
        <v>σvn</v>
      </c>
      <c r="BG2" t="str">
        <f>AN2</f>
        <v>COR</v>
      </c>
      <c r="BH2" t="str">
        <f>AO2</f>
        <v>σCOR</v>
      </c>
    </row>
    <row r="3" spans="1:60" x14ac:dyDescent="0.25">
      <c r="A3" t="s">
        <v>28</v>
      </c>
      <c r="B3">
        <v>645.5</v>
      </c>
      <c r="C3">
        <v>685.5</v>
      </c>
      <c r="D3">
        <v>637.74300000000005</v>
      </c>
      <c r="E3">
        <v>544</v>
      </c>
      <c r="F3">
        <v>787</v>
      </c>
      <c r="G3">
        <v>203</v>
      </c>
      <c r="H3">
        <v>203</v>
      </c>
      <c r="I3">
        <v>62</v>
      </c>
      <c r="K3">
        <f>(I3-I4)/240</f>
        <v>0.1</v>
      </c>
      <c r="L3">
        <f>1/240</f>
        <v>4.1666666666666666E-3</v>
      </c>
      <c r="N3">
        <f>B3-B4</f>
        <v>34</v>
      </c>
      <c r="O3">
        <f>ABS(N3)*$AQ$3+$AR$3</f>
        <v>0.73775608959107997</v>
      </c>
      <c r="P3">
        <f>C3-C4</f>
        <v>215</v>
      </c>
      <c r="Q3">
        <f>ABS(P3)*$AQ$3+$AR$3</f>
        <v>2.1545511877892141</v>
      </c>
      <c r="R3">
        <f>SQRT(N3^2+P3^2)</f>
        <v>217.67177125203901</v>
      </c>
      <c r="S3">
        <f>ABS(R3)*$AQ$3+$AR$3</f>
        <v>2.1754647370344928</v>
      </c>
      <c r="U3">
        <f>IFERROR(DEGREES(ATAN2(N3, P3)), 90)</f>
        <v>81.01368917721642</v>
      </c>
      <c r="V3">
        <f>N3^2+P3^2</f>
        <v>47381</v>
      </c>
      <c r="W3">
        <f>DEGREES(SQRT(((P3/V3)^2)*O3^2+((N3/V3)^2)*Q3^2))</f>
        <v>0.21127681699489043</v>
      </c>
      <c r="X3" s="5">
        <f>U3-$U$3</f>
        <v>0</v>
      </c>
      <c r="Y3" s="5">
        <f>SQRT($W$3^2+W3^2)</f>
        <v>0.29879054000919247</v>
      </c>
      <c r="AA3">
        <f>N3/K3</f>
        <v>340</v>
      </c>
      <c r="AB3">
        <f>ABS(AA3)*SQRT((L3/K3)^2+(O3/N3)^2)</f>
        <v>15.972565517703051</v>
      </c>
      <c r="AC3">
        <f>P3/K3</f>
        <v>2150</v>
      </c>
      <c r="AD3">
        <f>ABS(AC3)*SQRT((L3/K3)^2+(Q3/P3)^2)</f>
        <v>92.137846150165146</v>
      </c>
      <c r="AE3">
        <f>R3/K3</f>
        <v>2176.7177125203898</v>
      </c>
      <c r="AF3">
        <f>ABS(AE3)*SQRT((L3/K3)^2+(S3/R3)^2)</f>
        <v>93.269141401449644</v>
      </c>
      <c r="AG3">
        <f>AF3/AE3</f>
        <v>4.2848524117284209E-2</v>
      </c>
      <c r="AH3" s="5">
        <f>AE3*COS(RADIANS(X13))</f>
        <v>2149.2161602721599</v>
      </c>
      <c r="AI3" s="5">
        <f>SQRT(COS(RADIANS(X13))^2*AF3^2+(AE3*SIN(RADIANS(X13)))^2*Y13^2)</f>
        <v>151.83594975950123</v>
      </c>
      <c r="AL3">
        <f>AH3</f>
        <v>2149.2161602721599</v>
      </c>
      <c r="AM3">
        <f>AI3</f>
        <v>151.83594975950123</v>
      </c>
      <c r="AN3">
        <f>AL5/AL3</f>
        <v>0.93949651301241732</v>
      </c>
      <c r="AO3">
        <f>ABS(AN3)*SQRT((AM3/AL3)^2+(AM5/AL5)^2)</f>
        <v>0.14209063040723996</v>
      </c>
      <c r="AQ3">
        <f>AS3*0.003913798613807</f>
        <v>7.8275972276139992E-3</v>
      </c>
      <c r="AR3">
        <f>AS3*0.235808891926102</f>
        <v>0.47161778385220399</v>
      </c>
      <c r="AS3">
        <v>2</v>
      </c>
      <c r="AU3">
        <v>1.4</v>
      </c>
      <c r="AV3">
        <v>1</v>
      </c>
      <c r="AW3">
        <v>8.07</v>
      </c>
      <c r="AX3">
        <v>0.2</v>
      </c>
      <c r="AY3">
        <v>10.964</v>
      </c>
      <c r="AZ3">
        <v>19.600000000000001</v>
      </c>
      <c r="BA3" s="1">
        <f>AE3</f>
        <v>2176.7177125203898</v>
      </c>
      <c r="BB3" s="1">
        <f>AF3</f>
        <v>93.269141401449644</v>
      </c>
      <c r="BC3" s="1">
        <f>X13</f>
        <v>-9.1174522117230481</v>
      </c>
      <c r="BD3" s="1">
        <f>Y13</f>
        <v>0.34999566329102694</v>
      </c>
      <c r="BE3">
        <f>AH3</f>
        <v>2149.2161602721599</v>
      </c>
      <c r="BF3">
        <f>AI3</f>
        <v>151.83594975950123</v>
      </c>
      <c r="BG3">
        <f>AN3</f>
        <v>0.93949651301241732</v>
      </c>
      <c r="BH3">
        <f>AO3</f>
        <v>0.14209063040723996</v>
      </c>
    </row>
    <row r="4" spans="1:60" x14ac:dyDescent="0.25">
      <c r="A4" t="s">
        <v>1</v>
      </c>
      <c r="B4">
        <v>611.5</v>
      </c>
      <c r="C4">
        <v>470.5</v>
      </c>
      <c r="D4">
        <v>637.74300000000005</v>
      </c>
      <c r="E4">
        <v>510</v>
      </c>
      <c r="F4">
        <v>572</v>
      </c>
      <c r="G4">
        <v>203</v>
      </c>
      <c r="H4">
        <v>203</v>
      </c>
      <c r="I4">
        <v>38</v>
      </c>
      <c r="L4">
        <f t="shared" ref="L4:L8" si="0">1/240</f>
        <v>4.1666666666666666E-3</v>
      </c>
      <c r="AQ4">
        <f>AS3*0.000205630802414239</f>
        <v>4.11261604828478E-4</v>
      </c>
      <c r="AR4">
        <f>AS3*0.0272049920008763</f>
        <v>5.44099840017526E-2</v>
      </c>
    </row>
    <row r="5" spans="1:60" x14ac:dyDescent="0.25">
      <c r="A5" t="s">
        <v>53</v>
      </c>
      <c r="B5">
        <v>558.5</v>
      </c>
      <c r="C5">
        <v>732.5</v>
      </c>
      <c r="D5">
        <v>637.74300000000005</v>
      </c>
      <c r="E5">
        <v>457</v>
      </c>
      <c r="F5">
        <v>834</v>
      </c>
      <c r="G5">
        <v>203</v>
      </c>
      <c r="H5">
        <v>203</v>
      </c>
      <c r="I5">
        <v>144</v>
      </c>
      <c r="K5">
        <f>(I5-I6)/240</f>
        <v>0.33333333333333331</v>
      </c>
      <c r="L5">
        <f t="shared" si="0"/>
        <v>4.1666666666666666E-3</v>
      </c>
      <c r="N5">
        <f>B5-B6</f>
        <v>-86</v>
      </c>
      <c r="O5">
        <f>ABS(N5)*$AQ$3+$AR$3</f>
        <v>1.1447911454270079</v>
      </c>
      <c r="P5">
        <f>C5-C6</f>
        <v>44</v>
      </c>
      <c r="Q5">
        <f>ABS(P5)*$AQ$3+$AR$3</f>
        <v>0.81603206186721988</v>
      </c>
      <c r="R5">
        <f>SQRT(N5^2+P5^2)</f>
        <v>96.602277405866573</v>
      </c>
      <c r="S5">
        <f>ABS(R5)*$AQ$3+$AR$3</f>
        <v>1.2277815026555636</v>
      </c>
      <c r="U5">
        <f>IFERROR(DEGREES(ATAN2(N5, P5)), 90)</f>
        <v>152.9044475062482</v>
      </c>
      <c r="V5">
        <f>N5^2+P5^2</f>
        <v>9332</v>
      </c>
      <c r="W5">
        <f>DEGREES(SQRT(((P5/V5)^2)*O5^2+((N5/V5)^2)*Q5^2))</f>
        <v>0.53037564302892604</v>
      </c>
      <c r="X5" s="5">
        <f>U5-$U$3</f>
        <v>71.890758329031783</v>
      </c>
      <c r="Y5" s="5">
        <f>SQRT($W$3^2+W5^2)</f>
        <v>0.57090823791379919</v>
      </c>
      <c r="AA5">
        <f>N5/K5</f>
        <v>-258</v>
      </c>
      <c r="AB5">
        <f>ABS(AA5)*SQRT((L5/K5)^2+(O5/N5)^2)</f>
        <v>4.7112149069887197</v>
      </c>
      <c r="AC5">
        <f>P5/K5</f>
        <v>132</v>
      </c>
      <c r="AD5">
        <f>ABS(AC5)*SQRT((L5/K5)^2+(Q5/P5)^2)</f>
        <v>2.9522321951292039</v>
      </c>
      <c r="AE5">
        <f>R5/K5</f>
        <v>289.80683221759972</v>
      </c>
      <c r="AF5">
        <f>ABS(AE5)*SQRT((L5/K5)^2+(S5/R5)^2)</f>
        <v>5.1662512293120608</v>
      </c>
      <c r="AG5">
        <f>AF5/AE5</f>
        <v>1.7826533590598763E-2</v>
      </c>
      <c r="AH5">
        <f>AE5*COS(RADIANS(X14))</f>
        <v>45.294757995870128</v>
      </c>
      <c r="AI5">
        <f>SQRT(COS(RADIANS(X14))^2*AF5^2+(AE5*SIN(RADIANS(X14)))^2*Y14^2)</f>
        <v>171.54798284304391</v>
      </c>
      <c r="AL5">
        <f>AH7-AH5</f>
        <v>2019.1810882856309</v>
      </c>
      <c r="AM5">
        <f>SQRT(AI5^2+AI7^2)</f>
        <v>270.01895040046298</v>
      </c>
    </row>
    <row r="6" spans="1:60" x14ac:dyDescent="0.25">
      <c r="A6" t="s">
        <v>20</v>
      </c>
      <c r="B6">
        <v>644.5</v>
      </c>
      <c r="C6">
        <v>688.5</v>
      </c>
      <c r="D6">
        <v>637.74300000000005</v>
      </c>
      <c r="E6">
        <v>543</v>
      </c>
      <c r="F6">
        <v>790</v>
      </c>
      <c r="G6">
        <v>203</v>
      </c>
      <c r="H6">
        <v>203</v>
      </c>
      <c r="I6">
        <v>64</v>
      </c>
      <c r="L6">
        <f t="shared" si="0"/>
        <v>4.1666666666666666E-3</v>
      </c>
    </row>
    <row r="7" spans="1:60" x14ac:dyDescent="0.25">
      <c r="A7" t="s">
        <v>2</v>
      </c>
      <c r="B7">
        <v>758.5</v>
      </c>
      <c r="C7">
        <v>1035.5</v>
      </c>
      <c r="D7">
        <v>637.74300000000005</v>
      </c>
      <c r="E7">
        <v>657</v>
      </c>
      <c r="F7">
        <v>1137</v>
      </c>
      <c r="G7">
        <v>203</v>
      </c>
      <c r="H7">
        <v>203</v>
      </c>
      <c r="I7">
        <v>74</v>
      </c>
      <c r="K7">
        <f>(I7-I8)/240</f>
        <v>4.1666666666666664E-2</v>
      </c>
      <c r="L7">
        <f t="shared" si="0"/>
        <v>4.1666666666666666E-3</v>
      </c>
      <c r="N7">
        <f>B7-B8</f>
        <v>26</v>
      </c>
      <c r="O7">
        <f>ABS(N7)*$AQ$3+$AR$3</f>
        <v>0.67513531177016795</v>
      </c>
      <c r="P7">
        <f>C7-C8</f>
        <v>82</v>
      </c>
      <c r="Q7">
        <f>ABS(P7)*$AQ$3+$AR$3</f>
        <v>1.1134807565165519</v>
      </c>
      <c r="R7">
        <f>SQRT(N7^2+P7^2)</f>
        <v>86.023252670426274</v>
      </c>
      <c r="S7">
        <f>ABS(R7)*$AQ$3+$AR$3</f>
        <v>1.1449731579655711</v>
      </c>
      <c r="U7">
        <f>IFERROR(DEGREES(ATAN2(N7, P7)), 90)</f>
        <v>72.407575437818409</v>
      </c>
      <c r="V7">
        <f>N7^2+P7^2</f>
        <v>7400</v>
      </c>
      <c r="W7">
        <f>DEGREES(SQRT(((P7/V7)^2)*O7^2+((N7/V7)^2)*Q7^2))</f>
        <v>0.48371461055534803</v>
      </c>
      <c r="X7">
        <f>U7-$U$3</f>
        <v>-8.6061137393980118</v>
      </c>
      <c r="Y7">
        <f>SQRT($W$3^2+W7^2)</f>
        <v>0.52784251236917668</v>
      </c>
      <c r="AA7">
        <f>N7/K7</f>
        <v>624</v>
      </c>
      <c r="AB7">
        <f>ABS(AA7)*SQRT((L7/K7)^2+(O7/N7)^2)</f>
        <v>64.469413127301124</v>
      </c>
      <c r="AC7">
        <f>P7/K7</f>
        <v>1968</v>
      </c>
      <c r="AD7">
        <f>ABS(AC7)*SQRT((L7/K7)^2+(Q7/P7)^2)</f>
        <v>198.60611141552624</v>
      </c>
      <c r="AE7">
        <f>R7/K7</f>
        <v>2064.5580640902308</v>
      </c>
      <c r="AF7">
        <f>ABS(AE7)*SQRT((L7/K7)^2+(S7/R7)^2)</f>
        <v>208.27653491139594</v>
      </c>
      <c r="AG7">
        <f>AF7/AE7</f>
        <v>0.10088189745497673</v>
      </c>
      <c r="AH7">
        <f>AE7*COS(RADIANS(X15))</f>
        <v>2064.4758462815012</v>
      </c>
      <c r="AI7">
        <f>SQRT(COS(RADIANS(X15))^2*AF7^2+(AE7*SIN(RADIANS(X15)))^2*Y15^2)</f>
        <v>208.52223660283909</v>
      </c>
    </row>
    <row r="8" spans="1:60" x14ac:dyDescent="0.25">
      <c r="A8" t="s">
        <v>31</v>
      </c>
      <c r="B8">
        <v>732.5</v>
      </c>
      <c r="C8">
        <v>953.5</v>
      </c>
      <c r="D8">
        <v>637.74300000000005</v>
      </c>
      <c r="E8">
        <v>631</v>
      </c>
      <c r="F8">
        <v>1055</v>
      </c>
      <c r="G8">
        <v>203</v>
      </c>
      <c r="H8">
        <v>203</v>
      </c>
      <c r="I8">
        <v>64</v>
      </c>
      <c r="L8">
        <f t="shared" si="0"/>
        <v>4.1666666666666666E-3</v>
      </c>
    </row>
    <row r="10" spans="1:60" x14ac:dyDescent="0.25">
      <c r="AE10" t="s">
        <v>102</v>
      </c>
      <c r="AF10" t="s">
        <v>103</v>
      </c>
      <c r="AG10" s="1" t="s">
        <v>105</v>
      </c>
      <c r="AH10" s="1" t="s">
        <v>36</v>
      </c>
      <c r="AI10" t="s">
        <v>106</v>
      </c>
      <c r="AJ10" s="1" t="s">
        <v>104</v>
      </c>
      <c r="AK10" t="s">
        <v>107</v>
      </c>
    </row>
    <row r="11" spans="1:60" x14ac:dyDescent="0.25">
      <c r="U11">
        <f>U7-U5</f>
        <v>-80.496872068429795</v>
      </c>
      <c r="W11">
        <f>SQRT(W5^2+W7^2)</f>
        <v>0.71782877288602664</v>
      </c>
      <c r="AA11">
        <f>SUM(AA3:AA4)-SUM(AA5:AA7)</f>
        <v>-26</v>
      </c>
      <c r="AB11">
        <f>SQRT(SUMPRODUCT(AB3:AB7,AB3:AB7))</f>
        <v>66.58546105641814</v>
      </c>
      <c r="AC11">
        <f>SUM(AC3:AC4)-SUM(AC5:AC7)</f>
        <v>50</v>
      </c>
      <c r="AD11">
        <f>SQRT(SUMPRODUCT(AD3:AD7,AD3:AD7))</f>
        <v>218.95772619325834</v>
      </c>
      <c r="AE11">
        <f>SQRT(AA11^2+AC11^2)</f>
        <v>56.356011214421486</v>
      </c>
      <c r="AF11">
        <f>SQRT((AA11/AE11)^2*AB11^2+(AC11/AE11)^2*AD11^2)</f>
        <v>196.67685030102157</v>
      </c>
      <c r="AG11">
        <f>IF(DEGREES(ATAN(AC11/AA11))&lt;0, 180+DEGREES(ATAN(AC11/AA11)), DEGREES(ATAN(AC11/AA11)))</f>
        <v>117.47443162627712</v>
      </c>
      <c r="AH11">
        <f>AA11^2+AC11^2</f>
        <v>3176</v>
      </c>
      <c r="AI11">
        <f>DEGREES(SQRT(((AC11/AH11)^2)*AB11^2+((AA11/AH11)^2)*AD11^2))</f>
        <v>118.97417919596083</v>
      </c>
      <c r="AJ11">
        <f>AG11-U3</f>
        <v>36.460742449060703</v>
      </c>
      <c r="AK11">
        <f>SQRT(AI11^2+W3^2)</f>
        <v>118.97436679069151</v>
      </c>
    </row>
    <row r="12" spans="1:60" x14ac:dyDescent="0.25">
      <c r="X12" t="s">
        <v>32</v>
      </c>
    </row>
    <row r="13" spans="1:60" x14ac:dyDescent="0.25">
      <c r="A13" t="s">
        <v>29</v>
      </c>
      <c r="B13">
        <v>730.5</v>
      </c>
      <c r="C13">
        <v>945.5</v>
      </c>
      <c r="D13">
        <v>637.74300000000005</v>
      </c>
      <c r="E13">
        <v>629</v>
      </c>
      <c r="F13">
        <v>1047</v>
      </c>
      <c r="G13">
        <v>203</v>
      </c>
      <c r="H13">
        <v>203</v>
      </c>
      <c r="I13">
        <v>62</v>
      </c>
      <c r="K13">
        <f>(I13-I14)/240</f>
        <v>0</v>
      </c>
      <c r="N13">
        <f>B13-B14</f>
        <v>85</v>
      </c>
      <c r="O13">
        <f>ABS(N13)*$AQ$3+$AR$3</f>
        <v>1.136963548199394</v>
      </c>
      <c r="P13">
        <f>C13-C14</f>
        <v>260</v>
      </c>
      <c r="Q13">
        <f>ABS(P13)*$AQ$3+$AR$3</f>
        <v>2.5067930630318438</v>
      </c>
      <c r="R13">
        <f>SQRT(N13^2+P13^2)</f>
        <v>273.54158733179861</v>
      </c>
      <c r="S13">
        <f>ABS(R13)*$AQ$3+$AR$3</f>
        <v>2.6127911544877236</v>
      </c>
      <c r="U13">
        <f>IF(DEGREES(ATAN(P13/N13))&lt;0, 180+DEGREES(ATAN(P13/N13)), DEGREES(ATAN(P13/N13)))</f>
        <v>71.896236965493372</v>
      </c>
      <c r="V13">
        <f>N13^2+P13^2</f>
        <v>74825</v>
      </c>
      <c r="W13">
        <f>DEGREES(SQRT(((P13/V13)^2)*O13^2+((N13/V13)^2)*Q13^2))</f>
        <v>0.27903238328737667</v>
      </c>
      <c r="X13">
        <f>U13-$U$3</f>
        <v>-9.1174522117230481</v>
      </c>
      <c r="Y13">
        <f>SQRT($W$3^2+W13^2)</f>
        <v>0.34999566329102694</v>
      </c>
    </row>
    <row r="14" spans="1:60" x14ac:dyDescent="0.25">
      <c r="A14" t="s">
        <v>28</v>
      </c>
      <c r="B14">
        <v>645.5</v>
      </c>
      <c r="C14">
        <v>685.5</v>
      </c>
      <c r="D14">
        <v>637.74300000000005</v>
      </c>
      <c r="E14">
        <v>544</v>
      </c>
      <c r="F14">
        <v>787</v>
      </c>
      <c r="G14">
        <v>203</v>
      </c>
      <c r="H14">
        <v>203</v>
      </c>
      <c r="I14">
        <v>62</v>
      </c>
      <c r="X14">
        <f>U13-U5</f>
        <v>-81.008210540754831</v>
      </c>
      <c r="Y14">
        <f>SQRT($W$5^2+W13^2)</f>
        <v>0.59929741668171754</v>
      </c>
    </row>
    <row r="15" spans="1:60" x14ac:dyDescent="0.25">
      <c r="X15">
        <f>U13-U7</f>
        <v>-0.51133847232503626</v>
      </c>
      <c r="Y15">
        <f>SQRT($W$7^2+W13^2)</f>
        <v>0.55842537136822989</v>
      </c>
    </row>
    <row r="18" spans="1:60" x14ac:dyDescent="0.25">
      <c r="A18" t="s">
        <v>28</v>
      </c>
      <c r="B18">
        <v>383.5</v>
      </c>
      <c r="C18">
        <v>604.5</v>
      </c>
      <c r="D18">
        <v>625.17700000000002</v>
      </c>
      <c r="E18">
        <v>284</v>
      </c>
      <c r="F18">
        <v>704</v>
      </c>
      <c r="G18">
        <v>199</v>
      </c>
      <c r="H18">
        <v>199</v>
      </c>
      <c r="I18">
        <v>67</v>
      </c>
      <c r="K18">
        <f>(I18-I19)/240</f>
        <v>7.4999999999999997E-2</v>
      </c>
      <c r="L18">
        <f>1/240</f>
        <v>4.1666666666666666E-3</v>
      </c>
      <c r="N18">
        <f>B18-B19</f>
        <v>23</v>
      </c>
      <c r="O18">
        <f>ABS(N18)*$AQ$18+$AR$18</f>
        <v>1.0847324124558555</v>
      </c>
      <c r="P18">
        <f>C18-C19</f>
        <v>160</v>
      </c>
      <c r="Q18">
        <f>ABS(P18)*$AQ$18+$AR$18</f>
        <v>3.474040138540798</v>
      </c>
      <c r="R18">
        <f>SQRT(N18^2+P18^2)</f>
        <v>161.64467204334326</v>
      </c>
      <c r="S18">
        <f>ABS(R18)*$AQ$18+$AR$18</f>
        <v>3.5027235518257318</v>
      </c>
      <c r="U18">
        <f>IFERROR(DEGREES(ATAN2(N18, P18)), 90)</f>
        <v>81.819770117502486</v>
      </c>
      <c r="V18">
        <f>N18^2+P18^2</f>
        <v>26129</v>
      </c>
      <c r="W18">
        <f>DEGREES(SQRT(((P18/V18)^2)*O18^2+((N18/V18)^2)*Q18^2))</f>
        <v>0.41897236878435312</v>
      </c>
      <c r="X18">
        <f>U18-$U$18</f>
        <v>0</v>
      </c>
      <c r="Y18">
        <f>SQRT($W$18^2+W18^2)</f>
        <v>0.59251640619441415</v>
      </c>
      <c r="AA18">
        <f>N18/K18</f>
        <v>306.66666666666669</v>
      </c>
      <c r="AB18">
        <f>ABS(AA18)*SQRT((L18/K18)^2+(O18/N18)^2)</f>
        <v>22.348195874546878</v>
      </c>
      <c r="AC18">
        <f>P18/K18</f>
        <v>2133.3333333333335</v>
      </c>
      <c r="AD18">
        <f>ABS(AC18)*SQRT((L18/K18)^2+(Q18/P18)^2)</f>
        <v>127.24869826931996</v>
      </c>
      <c r="AE18">
        <f>R18/K18</f>
        <v>2155.2622939112434</v>
      </c>
      <c r="AF18">
        <f>ABS(AE18)*SQRT((L18/K18)^2+(S18/R18)^2)</f>
        <v>128.52263718213464</v>
      </c>
      <c r="AG18">
        <f>AF18/AE18</f>
        <v>5.9632016736533407E-2</v>
      </c>
      <c r="AH18">
        <f>AE18*COS(RADIANS(X28))</f>
        <v>2130.8509332245344</v>
      </c>
      <c r="AI18">
        <f>SQRT(COS(RADIANS(X28))^2*AF18^2+(AE18*SIN(RADIANS(X28)))^2*Y28^2)</f>
        <v>251.62218566475019</v>
      </c>
      <c r="AJ18">
        <f>(AE3-AE18)/AE18</f>
        <v>9.9548990718017569E-3</v>
      </c>
      <c r="AL18">
        <f>AH18</f>
        <v>2130.8509332245344</v>
      </c>
      <c r="AM18">
        <f>AI18</f>
        <v>251.62218566475019</v>
      </c>
      <c r="AN18">
        <f>AL20/AL18</f>
        <v>0.95475801272695426</v>
      </c>
      <c r="AO18">
        <f>ABS(AN18)*SQRT((AM18/AL18)^2+(AM20/AL20)^2)</f>
        <v>0.18299017880277124</v>
      </c>
      <c r="AQ18">
        <f>AS3*0.00872010119009103</f>
        <v>1.7440202380182061E-2</v>
      </c>
      <c r="AR18">
        <f>AS3*0.341803878855834</f>
        <v>0.68360775771166804</v>
      </c>
      <c r="AU18">
        <v>1.4</v>
      </c>
      <c r="AV18">
        <v>2</v>
      </c>
      <c r="AW18">
        <v>8.07</v>
      </c>
      <c r="AX18">
        <v>0.2</v>
      </c>
      <c r="AY18">
        <v>10.964</v>
      </c>
      <c r="AZ18">
        <v>19.600000000000001</v>
      </c>
      <c r="BA18" s="1">
        <f>AE18</f>
        <v>2155.2622939112434</v>
      </c>
      <c r="BB18" s="1">
        <f>AF18</f>
        <v>128.52263718213464</v>
      </c>
      <c r="BC18" s="1">
        <f>X28</f>
        <v>-8.6316600642043113</v>
      </c>
      <c r="BD18" s="1">
        <f>Y28</f>
        <v>0.67142052997672141</v>
      </c>
      <c r="BE18">
        <f>AH18</f>
        <v>2130.8509332245344</v>
      </c>
      <c r="BF18">
        <f>AI18</f>
        <v>251.62218566475019</v>
      </c>
      <c r="BG18">
        <f>AN18</f>
        <v>0.95475801272695426</v>
      </c>
      <c r="BH18">
        <f>AO18</f>
        <v>0.18299017880277124</v>
      </c>
    </row>
    <row r="19" spans="1:60" x14ac:dyDescent="0.25">
      <c r="A19" t="s">
        <v>1</v>
      </c>
      <c r="B19">
        <v>360.5</v>
      </c>
      <c r="C19">
        <v>444.5</v>
      </c>
      <c r="D19">
        <v>625.17700000000002</v>
      </c>
      <c r="E19">
        <v>261</v>
      </c>
      <c r="F19">
        <v>544</v>
      </c>
      <c r="G19">
        <v>199</v>
      </c>
      <c r="H19">
        <v>199</v>
      </c>
      <c r="I19">
        <v>49</v>
      </c>
      <c r="L19">
        <f t="shared" ref="L19:L23" si="1">1/240</f>
        <v>4.1666666666666666E-3</v>
      </c>
      <c r="AQ19">
        <f>AS3*0.00051291753818516</f>
        <v>1.0258350763703199E-3</v>
      </c>
      <c r="AR19">
        <f>AS3*0.0676280548663656</f>
        <v>0.13525610973273119</v>
      </c>
    </row>
    <row r="20" spans="1:60" x14ac:dyDescent="0.25">
      <c r="A20" t="s">
        <v>53</v>
      </c>
      <c r="B20">
        <v>296.5</v>
      </c>
      <c r="C20">
        <v>647.5</v>
      </c>
      <c r="D20">
        <v>625.17700000000002</v>
      </c>
      <c r="E20">
        <v>197</v>
      </c>
      <c r="F20">
        <v>747</v>
      </c>
      <c r="G20">
        <v>199</v>
      </c>
      <c r="H20">
        <v>199</v>
      </c>
      <c r="I20">
        <v>149</v>
      </c>
      <c r="K20">
        <f>(I20-I21)/240</f>
        <v>0.33333333333333331</v>
      </c>
      <c r="L20">
        <f t="shared" si="1"/>
        <v>4.1666666666666666E-3</v>
      </c>
      <c r="N20">
        <f>B20-B21</f>
        <v>-86</v>
      </c>
      <c r="O20">
        <f>ABS(N20)*$AQ$18+$AR$18</f>
        <v>2.1834651624073254</v>
      </c>
      <c r="P20">
        <f>C20-C21</f>
        <v>40</v>
      </c>
      <c r="Q20">
        <f>ABS(P20)*$AQ$18+$AR$18</f>
        <v>1.3812158529189507</v>
      </c>
      <c r="R20">
        <f>SQRT(N20^2+P20^2)</f>
        <v>94.847245611035007</v>
      </c>
      <c r="S20">
        <f>ABS(R20)*$AQ$18+$AR$18</f>
        <v>2.3377629163709535</v>
      </c>
      <c r="U20">
        <f>IFERROR(DEGREES(ATAN2(N20, P20)), 90)</f>
        <v>155.05609473657543</v>
      </c>
      <c r="V20">
        <f>N20^2+P20^2</f>
        <v>8996</v>
      </c>
      <c r="W20">
        <f>DEGREES(SQRT(((P20/V20)^2)*O20^2+((N20/V20)^2)*Q20^2))</f>
        <v>0.93903337178259039</v>
      </c>
      <c r="X20">
        <f>U20-$U$18</f>
        <v>73.236324619072946</v>
      </c>
      <c r="Y20">
        <f>SQRT($W$18^2+W20^2)</f>
        <v>1.0282614060277437</v>
      </c>
      <c r="AA20">
        <f>N20/K20</f>
        <v>-258</v>
      </c>
      <c r="AB20">
        <f>ABS(AA20)*SQRT((L20/K20)^2+(O20/N20)^2)</f>
        <v>7.3012537306285994</v>
      </c>
      <c r="AC20">
        <f>P20/K20</f>
        <v>120</v>
      </c>
      <c r="AD20">
        <f>ABS(AC20)*SQRT((L20/K20)^2+(Q20/P20)^2)</f>
        <v>4.4067919273766059</v>
      </c>
      <c r="AE20">
        <f>R20/K20</f>
        <v>284.54173683310506</v>
      </c>
      <c r="AF20">
        <f>ABS(AE20)*SQRT((L20/K20)^2+(S20/R20)^2)</f>
        <v>7.8636406376711445</v>
      </c>
      <c r="AG20">
        <f>AF20/AE20</f>
        <v>2.763615884682492E-2</v>
      </c>
      <c r="AH20">
        <f>AE20*COS(RADIANS(X29))</f>
        <v>40.24968296134027</v>
      </c>
      <c r="AI20">
        <f>SQRT(COS(RADIANS(X29))^2*AF20^2+(AE20*SIN(RADIANS(X29)))^2*Y29^2)</f>
        <v>302.99550704097601</v>
      </c>
      <c r="AJ20">
        <f>(AE5-AE20)/AE20</f>
        <v>1.850377186522497E-2</v>
      </c>
      <c r="AL20">
        <f>AH22-AH20</f>
        <v>2034.4470024228324</v>
      </c>
      <c r="AM20">
        <f>SQRT(AI20^2+AI22^2)</f>
        <v>307.12685426408814</v>
      </c>
    </row>
    <row r="21" spans="1:60" x14ac:dyDescent="0.25">
      <c r="A21" t="s">
        <v>20</v>
      </c>
      <c r="B21">
        <v>382.5</v>
      </c>
      <c r="C21">
        <v>607.5</v>
      </c>
      <c r="D21">
        <v>625.17700000000002</v>
      </c>
      <c r="E21">
        <v>283</v>
      </c>
      <c r="F21">
        <v>707</v>
      </c>
      <c r="G21">
        <v>199</v>
      </c>
      <c r="H21">
        <v>199</v>
      </c>
      <c r="I21">
        <v>69</v>
      </c>
      <c r="L21">
        <f t="shared" si="1"/>
        <v>4.1666666666666666E-3</v>
      </c>
    </row>
    <row r="22" spans="1:60" x14ac:dyDescent="0.25">
      <c r="A22" t="s">
        <v>2</v>
      </c>
      <c r="B22">
        <v>651</v>
      </c>
      <c r="C22">
        <v>1468</v>
      </c>
      <c r="D22">
        <v>628.31899999999996</v>
      </c>
      <c r="E22">
        <v>551</v>
      </c>
      <c r="F22">
        <v>1568</v>
      </c>
      <c r="G22">
        <v>200</v>
      </c>
      <c r="H22">
        <v>200</v>
      </c>
      <c r="I22">
        <v>141</v>
      </c>
      <c r="K22">
        <f>(I22-I23)/240</f>
        <v>0.3</v>
      </c>
      <c r="L22">
        <f t="shared" si="1"/>
        <v>4.1666666666666666E-3</v>
      </c>
      <c r="N22">
        <f>B22-B23</f>
        <v>186</v>
      </c>
      <c r="O22">
        <f>ABS(N22)*$AQ$18+$AR$18</f>
        <v>3.9274854004255313</v>
      </c>
      <c r="P22">
        <f>C22-C23</f>
        <v>594</v>
      </c>
      <c r="Q22">
        <f>ABS(P22)*$AQ$18+$AR$18</f>
        <v>11.043087971539812</v>
      </c>
      <c r="R22">
        <f>SQRT(N22^2+P22^2)</f>
        <v>622.4403585886763</v>
      </c>
      <c r="S22">
        <f>ABS(R22)*$AQ$18+$AR$18</f>
        <v>11.539093581091276</v>
      </c>
      <c r="U22">
        <f>IFERROR(DEGREES(ATAN2(N22, P22)), 90)</f>
        <v>72.613027823084465</v>
      </c>
      <c r="V22">
        <f>N22^2+P22^2</f>
        <v>387432</v>
      </c>
      <c r="W22">
        <f>DEGREES(SQRT(((P22/V22)^2)*O22^2+((N22/V22)^2)*Q22^2))</f>
        <v>0.45967393467893969</v>
      </c>
      <c r="X22">
        <f>U22-$U$18</f>
        <v>-9.2067422944180208</v>
      </c>
      <c r="Y22">
        <f>SQRT($W$18^2+W22^2)</f>
        <v>0.62196299892195361</v>
      </c>
      <c r="AA22">
        <f>N22/K22</f>
        <v>620</v>
      </c>
      <c r="AB22">
        <f>ABS(AA22)*SQRT((L22/K22)^2+(O22/N22)^2)</f>
        <v>15.669770147100579</v>
      </c>
      <c r="AC22">
        <f>P22/K22</f>
        <v>1980</v>
      </c>
      <c r="AD22">
        <f>ABS(AC22)*SQRT((L22/K22)^2+(Q22/P22)^2)</f>
        <v>45.948315402219684</v>
      </c>
      <c r="AE22">
        <f>R22/K22</f>
        <v>2074.8011952955876</v>
      </c>
      <c r="AF22">
        <f>ABS(AE22)*SQRT((L22/K22)^2+(S22/R22)^2)</f>
        <v>48.0609325965248</v>
      </c>
      <c r="AG22">
        <f>AF22/AE22</f>
        <v>2.3164114569385417E-2</v>
      </c>
      <c r="AH22">
        <f>AE22*COS(RADIANS(X30))</f>
        <v>2074.6966853841727</v>
      </c>
      <c r="AI22">
        <f>SQRT(COS(RADIANS(X30))^2*AF22^2+(AE22*SIN(RADIANS(X30)))^2*Y30^2)</f>
        <v>50.20584949123257</v>
      </c>
      <c r="AJ22">
        <f>(AE7-AE22)/AE22</f>
        <v>-4.936921777653743E-3</v>
      </c>
    </row>
    <row r="23" spans="1:60" x14ac:dyDescent="0.25">
      <c r="A23" t="s">
        <v>31</v>
      </c>
      <c r="B23">
        <v>465</v>
      </c>
      <c r="C23">
        <v>874</v>
      </c>
      <c r="D23">
        <v>628.31899999999996</v>
      </c>
      <c r="E23">
        <v>365</v>
      </c>
      <c r="F23">
        <v>974</v>
      </c>
      <c r="G23">
        <v>200</v>
      </c>
      <c r="H23">
        <v>200</v>
      </c>
      <c r="I23">
        <v>69</v>
      </c>
      <c r="L23">
        <f t="shared" si="1"/>
        <v>4.1666666666666666E-3</v>
      </c>
    </row>
    <row r="25" spans="1:60" x14ac:dyDescent="0.25">
      <c r="AE25" t="s">
        <v>102</v>
      </c>
      <c r="AF25" t="s">
        <v>103</v>
      </c>
      <c r="AG25" s="1" t="s">
        <v>105</v>
      </c>
      <c r="AH25" s="1" t="s">
        <v>36</v>
      </c>
      <c r="AI25" t="s">
        <v>106</v>
      </c>
      <c r="AJ25" s="1" t="s">
        <v>104</v>
      </c>
      <c r="AK25" t="s">
        <v>107</v>
      </c>
    </row>
    <row r="26" spans="1:60" x14ac:dyDescent="0.25">
      <c r="U26">
        <f>U22-U20</f>
        <v>-82.443066913490966</v>
      </c>
      <c r="W26">
        <f>SQRT(W20^2+W22^2)</f>
        <v>1.0455064799151648</v>
      </c>
      <c r="AA26">
        <f>SUM(AA18:AA19)-SUM(AA20:AA22)</f>
        <v>-55.333333333333314</v>
      </c>
      <c r="AB26">
        <f>SQRT(SUMPRODUCT(AB18:AB22,AB18:AB22))</f>
        <v>28.254059201274011</v>
      </c>
      <c r="AC26">
        <f>SUM(AC18:AC19)-SUM(AC20:AC22)</f>
        <v>33.333333333333485</v>
      </c>
      <c r="AD26">
        <f>SQRT(SUMPRODUCT(AD18:AD22,AD18:AD22))</f>
        <v>135.36210220970079</v>
      </c>
      <c r="AE26">
        <f>SQRT(AA26^2+AC26^2)</f>
        <v>64.597901582705433</v>
      </c>
      <c r="AF26">
        <f>SQRT((AA26/AE26)^2*AB26^2+(AC26/AE26)^2*AD26^2)</f>
        <v>73.922608677184897</v>
      </c>
      <c r="AG26">
        <f>IF(DEGREES(ATAN(AC26/AA26))&lt;0, 180+DEGREES(ATAN(AC26/AA26)), DEGREES(ATAN(AC26/AA26)))</f>
        <v>148.93483511450123</v>
      </c>
      <c r="AH26">
        <f>AA26^2+AC26^2</f>
        <v>4172.8888888888969</v>
      </c>
      <c r="AI26">
        <f>DEGREES(SQRT(((AC26/AH26)^2)*AB26^2+((AA26/AH26)^2)*AD26^2))</f>
        <v>103.6516282419833</v>
      </c>
      <c r="AJ26">
        <f>AG26-U18</f>
        <v>67.11506499699874</v>
      </c>
      <c r="AK26">
        <f>SQRT(AI26^2+W18^2)</f>
        <v>103.65247500691972</v>
      </c>
    </row>
    <row r="27" spans="1:60" x14ac:dyDescent="0.25">
      <c r="X27" t="s">
        <v>32</v>
      </c>
    </row>
    <row r="28" spans="1:60" x14ac:dyDescent="0.25">
      <c r="A28" t="s">
        <v>29</v>
      </c>
      <c r="B28">
        <v>461</v>
      </c>
      <c r="C28">
        <v>861</v>
      </c>
      <c r="D28">
        <v>628.31899999999996</v>
      </c>
      <c r="E28">
        <v>361</v>
      </c>
      <c r="F28">
        <v>961</v>
      </c>
      <c r="G28">
        <v>200</v>
      </c>
      <c r="H28">
        <v>200</v>
      </c>
      <c r="I28">
        <v>67</v>
      </c>
      <c r="K28">
        <f>(I28-I29)/240</f>
        <v>0</v>
      </c>
      <c r="N28">
        <f>B28-B29</f>
        <v>77.5</v>
      </c>
      <c r="O28">
        <f>ABS(N28)*$AQ$18+$AR$18</f>
        <v>2.035223442175778</v>
      </c>
      <c r="P28">
        <f>C28-C29</f>
        <v>256.5</v>
      </c>
      <c r="Q28">
        <f>ABS(P28)*$AQ$18+$AR$18</f>
        <v>5.1570196682283669</v>
      </c>
      <c r="R28">
        <f>SQRT(N28^2+P28^2)</f>
        <v>267.95242114972575</v>
      </c>
      <c r="S28">
        <f>ABS(R28)*$AQ$18+$AR$18</f>
        <v>5.3567522108226608</v>
      </c>
      <c r="U28">
        <f>IF(DEGREES(ATAN(P28/N28))&lt;0, 180+DEGREES(ATAN(P28/N28)), DEGREES(ATAN(P28/N28)))</f>
        <v>73.188110053298175</v>
      </c>
      <c r="V28">
        <f>N28^2+P28^2</f>
        <v>71798.5</v>
      </c>
      <c r="W28">
        <f>DEGREES(SQRT(((P28/V28)^2)*O28^2+((N28/V28)^2)*Q28^2))</f>
        <v>0.52465958703663218</v>
      </c>
      <c r="X28">
        <f>U28-$U$18</f>
        <v>-8.6316600642043113</v>
      </c>
      <c r="Y28">
        <f>SQRT($W$18^2+W28^2)</f>
        <v>0.67142052997672141</v>
      </c>
    </row>
    <row r="29" spans="1:60" x14ac:dyDescent="0.25">
      <c r="A29" t="s">
        <v>28</v>
      </c>
      <c r="B29">
        <v>383.5</v>
      </c>
      <c r="C29">
        <v>604.5</v>
      </c>
      <c r="D29">
        <v>625.17700000000002</v>
      </c>
      <c r="E29">
        <v>284</v>
      </c>
      <c r="F29">
        <v>704</v>
      </c>
      <c r="G29">
        <v>199</v>
      </c>
      <c r="H29">
        <v>199</v>
      </c>
      <c r="I29">
        <v>67</v>
      </c>
      <c r="X29">
        <f>U28-U20</f>
        <v>-81.867984683277257</v>
      </c>
      <c r="Y29">
        <f>SQRT($W$20^2+W28^2)</f>
        <v>1.0756632166207183</v>
      </c>
    </row>
    <row r="30" spans="1:60" x14ac:dyDescent="0.25">
      <c r="U30" s="1" t="s">
        <v>90</v>
      </c>
      <c r="V30">
        <f>X28+90</f>
        <v>81.368339935795689</v>
      </c>
      <c r="W30">
        <f>Y28</f>
        <v>0.67142052997672141</v>
      </c>
      <c r="X30">
        <f>U28-U22</f>
        <v>0.57508223021370952</v>
      </c>
      <c r="Y30">
        <f>SQRT($W$22^2+W28^2)</f>
        <v>0.69754412655592446</v>
      </c>
    </row>
    <row r="31" spans="1:60" x14ac:dyDescent="0.25">
      <c r="U31" t="s">
        <v>92</v>
      </c>
      <c r="V31" t="e">
        <f>'1.5'!#REF!</f>
        <v>#REF!</v>
      </c>
      <c r="W31" t="e">
        <f>'1.5'!#REF!</f>
        <v>#REF!</v>
      </c>
    </row>
    <row r="32" spans="1:60" x14ac:dyDescent="0.25">
      <c r="U32" s="1" t="s">
        <v>93</v>
      </c>
      <c r="V32">
        <f>-X28+X22</f>
        <v>-0.57508223021370952</v>
      </c>
      <c r="W32">
        <f>SQRT(Y28^2+Y22^2)</f>
        <v>0.91522866000918679</v>
      </c>
    </row>
    <row r="33" spans="1:33" x14ac:dyDescent="0.25">
      <c r="U33" s="1" t="s">
        <v>94</v>
      </c>
      <c r="V33">
        <f>V30-X20</f>
        <v>8.1320153167227431</v>
      </c>
      <c r="W33">
        <f>SQRT(W30^2+Y20^2)</f>
        <v>1.2280582425929047</v>
      </c>
    </row>
    <row r="34" spans="1:33" x14ac:dyDescent="0.25">
      <c r="U34" s="1" t="s">
        <v>95</v>
      </c>
      <c r="V34">
        <f>ATAN(RADIANS(V32))</f>
        <v>-1.0036741352376234E-2</v>
      </c>
    </row>
    <row r="35" spans="1:33" x14ac:dyDescent="0.25">
      <c r="A35" t="s">
        <v>53</v>
      </c>
      <c r="B35">
        <v>558.5</v>
      </c>
      <c r="C35">
        <v>732.5</v>
      </c>
      <c r="D35">
        <v>637.74300000000005</v>
      </c>
      <c r="E35">
        <v>457</v>
      </c>
      <c r="F35">
        <v>834</v>
      </c>
      <c r="G35">
        <v>203</v>
      </c>
      <c r="H35">
        <v>203</v>
      </c>
      <c r="I35">
        <v>144</v>
      </c>
      <c r="U35" s="1" t="s">
        <v>96</v>
      </c>
      <c r="V35" t="e">
        <f>DEGREES(ATAN((1/2*(1-V31))/(_xlfn.COT(RADIANS(V30))-V34*1/2*(1+V31))))</f>
        <v>#REF!</v>
      </c>
    </row>
    <row r="36" spans="1:33" x14ac:dyDescent="0.25">
      <c r="A36" t="s">
        <v>54</v>
      </c>
      <c r="B36">
        <v>578.5</v>
      </c>
      <c r="C36">
        <v>721.5</v>
      </c>
      <c r="D36">
        <v>637.74300000000005</v>
      </c>
      <c r="E36">
        <v>477</v>
      </c>
      <c r="F36">
        <v>823</v>
      </c>
      <c r="G36">
        <v>203</v>
      </c>
      <c r="H36">
        <v>203</v>
      </c>
      <c r="I36">
        <v>124</v>
      </c>
    </row>
    <row r="37" spans="1:33" x14ac:dyDescent="0.25">
      <c r="N37">
        <f>B37-B38</f>
        <v>0</v>
      </c>
      <c r="O37">
        <f>N37*$AQ$3+$AR$3</f>
        <v>0.47161778385220399</v>
      </c>
      <c r="P37">
        <f>C37-C38</f>
        <v>0</v>
      </c>
      <c r="Q37">
        <f>P37*$AQ$3+$AR$3</f>
        <v>0.47161778385220399</v>
      </c>
      <c r="R37">
        <f>SQRT(N37^2+P37^2)</f>
        <v>0</v>
      </c>
      <c r="S37">
        <f>R37*$AQ$3+$AR$3</f>
        <v>0.47161778385220399</v>
      </c>
      <c r="AA37" t="e">
        <f>N37/K37</f>
        <v>#DIV/0!</v>
      </c>
      <c r="AC37" t="e">
        <f>P37/K37</f>
        <v>#DIV/0!</v>
      </c>
      <c r="AE37" t="e">
        <f>R37/K37</f>
        <v>#DIV/0!</v>
      </c>
      <c r="AF37" t="e">
        <f>ABS(AE37)*SQRT((L37/K37)^2+(S37/R37)^2)</f>
        <v>#DIV/0!</v>
      </c>
      <c r="AG37" t="e">
        <f>AF37/AE37</f>
        <v>#DIV/0!</v>
      </c>
    </row>
    <row r="40" spans="1:33" x14ac:dyDescent="0.25">
      <c r="N40">
        <f>B40-B41</f>
        <v>0</v>
      </c>
      <c r="O40">
        <f>N40*$AQ$3+$AR$3</f>
        <v>0.47161778385220399</v>
      </c>
      <c r="P40">
        <f>C40-C41</f>
        <v>0</v>
      </c>
      <c r="Q40">
        <f>P40*$AQ$3+$AR$3</f>
        <v>0.47161778385220399</v>
      </c>
      <c r="R40">
        <f>SQRT(N40^2+P40^2)</f>
        <v>0</v>
      </c>
      <c r="S40">
        <f>R40*$AQ$3+$AR$3</f>
        <v>0.47161778385220399</v>
      </c>
      <c r="AA40" t="e">
        <f>N40/K40</f>
        <v>#DIV/0!</v>
      </c>
      <c r="AC40" t="e">
        <f>P40/K40</f>
        <v>#DIV/0!</v>
      </c>
      <c r="AE40" t="e">
        <f>R40/K40</f>
        <v>#DIV/0!</v>
      </c>
      <c r="AF40" t="e">
        <f>ABS(AE40)*SQRT((L40/K40)^2+(S40/R40)^2)</f>
        <v>#DIV/0!</v>
      </c>
      <c r="AG40" t="e">
        <f>AF40/AE40</f>
        <v>#DIV/0!</v>
      </c>
    </row>
    <row r="43" spans="1:33" x14ac:dyDescent="0.25">
      <c r="N43">
        <f>B43-B44</f>
        <v>0</v>
      </c>
      <c r="O43">
        <f>N43*$AQ$3+$AR$3</f>
        <v>0.47161778385220399</v>
      </c>
      <c r="P43">
        <f>C43-C44</f>
        <v>0</v>
      </c>
      <c r="Q43">
        <f>P43*$AQ$3+$AR$3</f>
        <v>0.47161778385220399</v>
      </c>
      <c r="R43">
        <f>SQRT(N43^2+P43^2)</f>
        <v>0</v>
      </c>
      <c r="S43">
        <f>R43*$AQ$3+$AR$3</f>
        <v>0.47161778385220399</v>
      </c>
      <c r="AA43" t="e">
        <f>N43/K43</f>
        <v>#DIV/0!</v>
      </c>
      <c r="AC43" t="e">
        <f>P43/K43</f>
        <v>#DIV/0!</v>
      </c>
      <c r="AE43" t="e">
        <f>R43/K43</f>
        <v>#DIV/0!</v>
      </c>
      <c r="AF43" t="e">
        <f>ABS(AE43)*SQRT((L43/K43)^2+(S43/R43)^2)</f>
        <v>#DIV/0!</v>
      </c>
      <c r="AG43" t="e">
        <f>AF43/AE43</f>
        <v>#DIV/0!</v>
      </c>
    </row>
    <row r="46" spans="1:33" x14ac:dyDescent="0.25">
      <c r="N46">
        <f>B46-B47</f>
        <v>0</v>
      </c>
      <c r="O46">
        <f>N46*$AQ$3+$AR$3</f>
        <v>0.47161778385220399</v>
      </c>
      <c r="P46">
        <f>C46-C47</f>
        <v>0</v>
      </c>
      <c r="Q46">
        <f>P46*$AQ$3+$AR$3</f>
        <v>0.47161778385220399</v>
      </c>
      <c r="R46">
        <f>SQRT(N46^2+P46^2)</f>
        <v>0</v>
      </c>
      <c r="S46">
        <f>R46*$AQ$3+$AR$3</f>
        <v>0.47161778385220399</v>
      </c>
      <c r="AA46" t="e">
        <f>N46/K46</f>
        <v>#DIV/0!</v>
      </c>
      <c r="AC46" t="e">
        <f>P46/K46</f>
        <v>#DIV/0!</v>
      </c>
      <c r="AE46" t="e">
        <f>R46/K46</f>
        <v>#DIV/0!</v>
      </c>
      <c r="AF46" t="e">
        <f>ABS(AE46)*SQRT((L46/K46)^2+(S46/R46)^2)</f>
        <v>#DIV/0!</v>
      </c>
      <c r="AG46" t="e">
        <f>AF46/AE46</f>
        <v>#DIV/0!</v>
      </c>
    </row>
    <row r="49" spans="14:33" x14ac:dyDescent="0.25">
      <c r="N49">
        <f>B49-B50</f>
        <v>0</v>
      </c>
      <c r="O49">
        <f>N49*$AQ$3+$AR$3</f>
        <v>0.47161778385220399</v>
      </c>
      <c r="P49">
        <f>C49-C50</f>
        <v>0</v>
      </c>
      <c r="Q49">
        <f>P49*$AQ$3+$AR$3</f>
        <v>0.47161778385220399</v>
      </c>
      <c r="R49">
        <f>SQRT(N49^2+P49^2)</f>
        <v>0</v>
      </c>
      <c r="S49">
        <f>R49*$AQ$3+$AR$3</f>
        <v>0.47161778385220399</v>
      </c>
      <c r="AA49" t="e">
        <f>N49/K49</f>
        <v>#DIV/0!</v>
      </c>
      <c r="AC49" t="e">
        <f>P49/K49</f>
        <v>#DIV/0!</v>
      </c>
      <c r="AE49" t="e">
        <f>R49/K49</f>
        <v>#DIV/0!</v>
      </c>
      <c r="AF49" t="e">
        <f>ABS(AE49)*SQRT((L49/K49)^2+(S49/R49)^2)</f>
        <v>#DIV/0!</v>
      </c>
      <c r="AG49" t="e">
        <f>AF49/AE49</f>
        <v>#DIV/0!</v>
      </c>
    </row>
    <row r="52" spans="14:33" x14ac:dyDescent="0.25">
      <c r="N52">
        <f>B52-B54</f>
        <v>0</v>
      </c>
      <c r="O52">
        <f>N52*$AQ$3+$AR$3</f>
        <v>0.47161778385220399</v>
      </c>
      <c r="P52">
        <f>C52-C54</f>
        <v>0</v>
      </c>
      <c r="Q52">
        <f>P52*$AQ$3+$AR$3</f>
        <v>0.47161778385220399</v>
      </c>
      <c r="R52">
        <f>SQRT(N52^2+P52^2)</f>
        <v>0</v>
      </c>
      <c r="S52">
        <f>R52*$AQ$3+$AR$3</f>
        <v>0.47161778385220399</v>
      </c>
      <c r="AA52" t="e">
        <f>N52/K52</f>
        <v>#DIV/0!</v>
      </c>
      <c r="AC52" t="e">
        <f>P52/K52</f>
        <v>#DIV/0!</v>
      </c>
      <c r="AE52" t="e">
        <f>R52/K52</f>
        <v>#DIV/0!</v>
      </c>
      <c r="AF52" t="e">
        <f>ABS(AE52)*SQRT((L52/K52)^2+(S52/R52)^2)</f>
        <v>#DIV/0!</v>
      </c>
      <c r="AG52" t="e">
        <f>AF52/AE52</f>
        <v>#DIV/0!</v>
      </c>
    </row>
    <row r="54" spans="14:33" x14ac:dyDescent="0.25">
      <c r="N54">
        <f>B54-B55</f>
        <v>0</v>
      </c>
      <c r="O54">
        <f>N54*$AQ$3+$AR$3</f>
        <v>0.47161778385220399</v>
      </c>
      <c r="P54">
        <f>C54-C55</f>
        <v>0</v>
      </c>
      <c r="Q54">
        <f>P54*$AQ$3+$AR$3</f>
        <v>0.47161778385220399</v>
      </c>
      <c r="R54">
        <f>SQRT(N54^2+P54^2)</f>
        <v>0</v>
      </c>
      <c r="S54">
        <f>R54*$AQ$3+$AR$3</f>
        <v>0.47161778385220399</v>
      </c>
      <c r="AA54" t="e">
        <f>N54/K54</f>
        <v>#DIV/0!</v>
      </c>
      <c r="AC54" t="e">
        <f>P54/K54</f>
        <v>#DIV/0!</v>
      </c>
      <c r="AE54" t="e">
        <f>R54/K54</f>
        <v>#DIV/0!</v>
      </c>
      <c r="AF54" t="e">
        <f>ABS(AE54)*SQRT((L54/K54)^2+(S54/R54)^2)</f>
        <v>#DIV/0!</v>
      </c>
      <c r="AG54" t="e">
        <f>AF54/AE54</f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017D-4301-40DA-8004-9F60A27AF3DB}">
  <dimension ref="A1:BH54"/>
  <sheetViews>
    <sheetView zoomScale="84" workbookViewId="0">
      <pane xSplit="1" ySplit="2" topLeftCell="AD3" activePane="bottomRight" state="frozen"/>
      <selection pane="topRight" activeCell="B1" sqref="B1"/>
      <selection pane="bottomLeft" activeCell="A3" sqref="A3"/>
      <selection pane="bottomRight" activeCell="AH1" sqref="AH1:AM2"/>
    </sheetView>
  </sheetViews>
  <sheetFormatPr defaultRowHeight="15" x14ac:dyDescent="0.25"/>
  <cols>
    <col min="1" max="1" width="14.140625" customWidth="1"/>
    <col min="12" max="13" width="8.28515625" customWidth="1"/>
    <col min="18" max="18" width="12" bestFit="1" customWidth="1"/>
    <col min="19" max="20" width="12" customWidth="1"/>
    <col min="25" max="25" width="7.7109375" customWidth="1"/>
    <col min="26" max="26" width="5.7109375" customWidth="1"/>
  </cols>
  <sheetData>
    <row r="1" spans="1:60" s="2" customFormat="1" x14ac:dyDescent="0.25">
      <c r="A1" s="2" t="s">
        <v>170</v>
      </c>
      <c r="K1" s="2" t="s">
        <v>48</v>
      </c>
      <c r="N1" s="2" t="s">
        <v>49</v>
      </c>
      <c r="U1" s="2" t="s">
        <v>51</v>
      </c>
      <c r="AA1" s="2" t="s">
        <v>50</v>
      </c>
      <c r="AL1" s="2" t="s">
        <v>101</v>
      </c>
      <c r="AQ1" s="2" t="s">
        <v>97</v>
      </c>
    </row>
    <row r="2" spans="1:60" ht="18" x14ac:dyDescent="0.35">
      <c r="A2" t="s">
        <v>14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K2" s="2" t="s">
        <v>15</v>
      </c>
      <c r="L2" s="1" t="s">
        <v>45</v>
      </c>
      <c r="M2" s="1"/>
      <c r="N2" s="2" t="s">
        <v>41</v>
      </c>
      <c r="O2" s="1" t="s">
        <v>43</v>
      </c>
      <c r="P2" s="2" t="s">
        <v>42</v>
      </c>
      <c r="Q2" s="1" t="s">
        <v>44</v>
      </c>
      <c r="R2" s="2" t="s">
        <v>17</v>
      </c>
      <c r="S2" s="1" t="s">
        <v>33</v>
      </c>
      <c r="T2" s="1"/>
      <c r="U2" s="2" t="s">
        <v>37</v>
      </c>
      <c r="V2" t="s">
        <v>36</v>
      </c>
      <c r="W2" s="1" t="s">
        <v>35</v>
      </c>
      <c r="X2" s="2" t="s">
        <v>38</v>
      </c>
      <c r="Y2" s="1" t="s">
        <v>47</v>
      </c>
      <c r="Z2" s="1"/>
      <c r="AA2" s="2" t="s">
        <v>18</v>
      </c>
      <c r="AB2" t="s">
        <v>99</v>
      </c>
      <c r="AC2" s="2" t="s">
        <v>19</v>
      </c>
      <c r="AD2" t="s">
        <v>100</v>
      </c>
      <c r="AE2" s="2" t="s">
        <v>16</v>
      </c>
      <c r="AF2" t="s">
        <v>40</v>
      </c>
      <c r="AG2" s="1" t="s">
        <v>39</v>
      </c>
      <c r="AH2" s="3" t="s">
        <v>224</v>
      </c>
      <c r="AI2" s="1" t="s">
        <v>225</v>
      </c>
      <c r="AL2" s="3" t="s">
        <v>226</v>
      </c>
      <c r="AM2" s="1" t="s">
        <v>227</v>
      </c>
      <c r="AN2" t="s">
        <v>180</v>
      </c>
      <c r="AO2" t="s">
        <v>181</v>
      </c>
      <c r="AP2" s="2"/>
      <c r="AQ2" t="s">
        <v>30</v>
      </c>
      <c r="AR2" t="s">
        <v>34</v>
      </c>
      <c r="AU2" t="s">
        <v>108</v>
      </c>
      <c r="AV2" t="s">
        <v>61</v>
      </c>
      <c r="AW2" t="s">
        <v>112</v>
      </c>
      <c r="AX2" s="1" t="s">
        <v>109</v>
      </c>
      <c r="AY2" s="1" t="s">
        <v>110</v>
      </c>
      <c r="AZ2" s="1" t="s">
        <v>111</v>
      </c>
      <c r="BA2" s="1" t="str">
        <f>AE2</f>
        <v>v</v>
      </c>
      <c r="BB2" s="1" t="str">
        <f>AF2</f>
        <v>σv</v>
      </c>
      <c r="BC2" s="1" t="str">
        <f>X12</f>
        <v>collision angle</v>
      </c>
      <c r="BD2" s="1"/>
      <c r="BE2" t="str">
        <f>AH2</f>
        <v>vn</v>
      </c>
      <c r="BF2" t="str">
        <f>AI2</f>
        <v>σvn</v>
      </c>
      <c r="BG2" t="str">
        <f>AN2</f>
        <v>COR</v>
      </c>
      <c r="BH2" t="str">
        <f>AO2</f>
        <v>σCOR</v>
      </c>
    </row>
    <row r="3" spans="1:60" x14ac:dyDescent="0.25">
      <c r="A3" t="s">
        <v>28</v>
      </c>
      <c r="B3">
        <v>693</v>
      </c>
      <c r="C3">
        <v>655</v>
      </c>
      <c r="D3">
        <v>634.60199999999998</v>
      </c>
      <c r="E3">
        <v>592</v>
      </c>
      <c r="F3">
        <v>756</v>
      </c>
      <c r="G3">
        <v>202</v>
      </c>
      <c r="H3">
        <v>202</v>
      </c>
      <c r="I3">
        <v>85</v>
      </c>
      <c r="K3">
        <f>(I3-I4)/240</f>
        <v>0.15416666666666667</v>
      </c>
      <c r="L3">
        <f>1/240</f>
        <v>4.1666666666666666E-3</v>
      </c>
      <c r="N3">
        <f>B3-B4</f>
        <v>40</v>
      </c>
      <c r="O3">
        <f>ABS(N3)*$AQ$3+$AR$3</f>
        <v>0.78472167295676398</v>
      </c>
      <c r="P3">
        <f>C3-C4</f>
        <v>193</v>
      </c>
      <c r="Q3">
        <f>ABS(P3)*$AQ$3+$AR$3</f>
        <v>1.9823440487817059</v>
      </c>
      <c r="R3">
        <f>SQRT(N3^2+P3^2)</f>
        <v>197.101496696499</v>
      </c>
      <c r="S3">
        <f>ABS(R3)*$AQ$3+$AR$3</f>
        <v>2.0144489129522896</v>
      </c>
      <c r="U3">
        <f>IFERROR(DEGREES(ATAN2(N3, P3)), 90)</f>
        <v>78.290998898135996</v>
      </c>
      <c r="V3">
        <f>N3^2+P3^2</f>
        <v>38849</v>
      </c>
      <c r="W3">
        <f>DEGREES(SQRT(((P3/V3)^2)*O3^2+((N3/V3)^2)*Q3^2))</f>
        <v>0.25212736612499537</v>
      </c>
      <c r="X3" s="5">
        <f>U3-$U$3</f>
        <v>0</v>
      </c>
      <c r="Y3" s="5">
        <f>SQRT($W$3^2+W3^2)</f>
        <v>0.35656194061937529</v>
      </c>
      <c r="AA3">
        <f>N3/K3</f>
        <v>259.45945945945942</v>
      </c>
      <c r="AB3">
        <f>ABS(AA3)*SQRT((L3/K3)^2+(O3/N3)^2)</f>
        <v>8.6650438304029613</v>
      </c>
      <c r="AC3">
        <f>P3/K3</f>
        <v>1251.8918918918919</v>
      </c>
      <c r="AD3">
        <f>ABS(AC3)*SQRT((L3/K3)^2+(Q3/P3)^2)</f>
        <v>36.195873003902094</v>
      </c>
      <c r="AE3">
        <f>R3/K3</f>
        <v>1278.4961947881015</v>
      </c>
      <c r="AF3">
        <f>ABS(AE3)*SQRT((L3/K3)^2+(S3/R3)^2)</f>
        <v>36.942036753648992</v>
      </c>
      <c r="AG3">
        <f>AF3/AE3</f>
        <v>2.8894913339786499E-2</v>
      </c>
      <c r="AH3" s="5">
        <f>AE3*COS(RADIANS(X13))</f>
        <v>1278.4344721364744</v>
      </c>
      <c r="AI3" s="5">
        <f>SQRT(COS(RADIANS(X13))^2*AF3^2+(AE3*SIN(RADIANS(X13)))^2*Y13^2)</f>
        <v>37.169063893982603</v>
      </c>
      <c r="AL3">
        <f>AH3</f>
        <v>1278.4344721364744</v>
      </c>
      <c r="AM3">
        <f>AI3</f>
        <v>37.169063893982603</v>
      </c>
      <c r="AN3">
        <f>AL5/AL3</f>
        <v>0.93572447594228969</v>
      </c>
      <c r="AO3">
        <f>ABS(AN3)*SQRT((AM3/AL3)^2+(AM5/AL5)^2)</f>
        <v>6.5245619616933245E-2</v>
      </c>
      <c r="AQ3">
        <f>AS3*0.003913798613807</f>
        <v>7.8275972276139992E-3</v>
      </c>
      <c r="AR3">
        <f>AS3*0.235808891926102</f>
        <v>0.47161778385220399</v>
      </c>
      <c r="AS3">
        <v>2</v>
      </c>
      <c r="AU3">
        <v>1.5</v>
      </c>
      <c r="AV3">
        <v>1</v>
      </c>
      <c r="AW3">
        <v>10.5</v>
      </c>
      <c r="AX3">
        <v>0.2</v>
      </c>
      <c r="AY3">
        <v>7.7469999999999999</v>
      </c>
      <c r="AZ3">
        <v>18.669</v>
      </c>
      <c r="BA3" s="1">
        <f>AE3</f>
        <v>1278.4961947881015</v>
      </c>
      <c r="BB3" s="1">
        <f>AF3</f>
        <v>36.942036753648992</v>
      </c>
      <c r="BC3" s="1">
        <f>X13</f>
        <v>0.5630046025521267</v>
      </c>
      <c r="BD3" s="1">
        <f>Y13</f>
        <v>0.32778775265820947</v>
      </c>
      <c r="BE3">
        <f>AH3</f>
        <v>1278.4344721364744</v>
      </c>
      <c r="BF3">
        <f>AI3</f>
        <v>37.169063893982603</v>
      </c>
      <c r="BG3">
        <f>AN3</f>
        <v>0.93572447594228969</v>
      </c>
      <c r="BH3">
        <f>AO3</f>
        <v>6.5245619616933245E-2</v>
      </c>
    </row>
    <row r="4" spans="1:60" x14ac:dyDescent="0.25">
      <c r="A4" t="s">
        <v>1</v>
      </c>
      <c r="B4">
        <v>653</v>
      </c>
      <c r="C4">
        <v>462</v>
      </c>
      <c r="D4">
        <v>634.60199999999998</v>
      </c>
      <c r="E4">
        <v>552</v>
      </c>
      <c r="F4">
        <v>563</v>
      </c>
      <c r="G4">
        <v>202</v>
      </c>
      <c r="H4">
        <v>202</v>
      </c>
      <c r="I4">
        <v>48</v>
      </c>
      <c r="L4">
        <f t="shared" ref="L4:L8" si="0">1/240</f>
        <v>4.1666666666666666E-3</v>
      </c>
      <c r="AQ4">
        <f>AS3*0.000205630802414239</f>
        <v>4.11261604828478E-4</v>
      </c>
      <c r="AR4">
        <f>AS3*0.0272049920008763</f>
        <v>5.44099840017526E-2</v>
      </c>
    </row>
    <row r="5" spans="1:60" x14ac:dyDescent="0.25">
      <c r="A5" t="s">
        <v>53</v>
      </c>
      <c r="B5">
        <v>693</v>
      </c>
      <c r="C5">
        <v>660</v>
      </c>
      <c r="D5">
        <v>634.60199999999998</v>
      </c>
      <c r="E5">
        <v>592</v>
      </c>
      <c r="F5">
        <v>761</v>
      </c>
      <c r="G5">
        <v>202</v>
      </c>
      <c r="H5">
        <v>202</v>
      </c>
      <c r="I5">
        <v>115</v>
      </c>
      <c r="K5">
        <f>(I5-I6)/240</f>
        <v>0.11666666666666667</v>
      </c>
      <c r="L5">
        <f t="shared" si="0"/>
        <v>4.1666666666666666E-3</v>
      </c>
      <c r="N5">
        <f>B5-B6</f>
        <v>0</v>
      </c>
      <c r="O5">
        <f>ABS(N5)*$AQ$3+$AR$3</f>
        <v>0.47161778385220399</v>
      </c>
      <c r="P5">
        <f>C5-C6</f>
        <v>3</v>
      </c>
      <c r="Q5">
        <f>ABS(P5)*$AQ$3+$AR$3</f>
        <v>0.49510057553504599</v>
      </c>
      <c r="R5">
        <f>SQRT(N5^2+P5^2)</f>
        <v>3</v>
      </c>
      <c r="S5">
        <f>ABS(R5)*$AQ$3+$AR$3</f>
        <v>0.49510057553504599</v>
      </c>
      <c r="U5">
        <f>IFERROR(DEGREES(ATAN2(N5, P5)), 90)</f>
        <v>90</v>
      </c>
      <c r="V5">
        <f>N5^2+P5^2</f>
        <v>9</v>
      </c>
      <c r="W5">
        <f>DEGREES(SQRT(((P5/V5)^2)*O5^2+((N5/V5)^2)*Q5^2))</f>
        <v>9.0072361860147989</v>
      </c>
      <c r="X5" s="5">
        <f>U5-$U$3</f>
        <v>11.709001101864004</v>
      </c>
      <c r="Y5" s="5">
        <f>SQRT($W$3^2+W5^2)</f>
        <v>9.0107642250479252</v>
      </c>
      <c r="AA5">
        <f>N5/K5</f>
        <v>0</v>
      </c>
      <c r="AB5" s="4">
        <f>SQRT((L5/K5*N5/K5)^2+(O5/K5)^2)</f>
        <v>4.0424381473046056</v>
      </c>
      <c r="AC5">
        <f>P5/K5</f>
        <v>25.714285714285715</v>
      </c>
      <c r="AD5">
        <f>ABS(AC5)*SQRT((L5/K5)^2+(Q5/P5)^2)</f>
        <v>4.3419524862146339</v>
      </c>
      <c r="AE5">
        <f>R5/K5</f>
        <v>25.714285714285715</v>
      </c>
      <c r="AF5">
        <f>ABS(AE5)*SQRT((L5/K5)^2+(S5/R5)^2)</f>
        <v>4.3419524862146339</v>
      </c>
      <c r="AG5">
        <f>AF5/AE5</f>
        <v>0.16885370779723577</v>
      </c>
      <c r="AH5">
        <f>AE5*COS(RADIANS(X14))</f>
        <v>25.229257534865656</v>
      </c>
      <c r="AI5">
        <f>SQRT(COS(RADIANS(X14))^2*AF5^2+(AE5*SIN(RADIANS(X14)))^2*Y14^2)</f>
        <v>44.987612350238614</v>
      </c>
      <c r="AL5">
        <f>AH7-AH5</f>
        <v>1196.2624264664603</v>
      </c>
      <c r="AM5">
        <f>SQRT(AI5^2+AI7^2)</f>
        <v>75.815267142470518</v>
      </c>
    </row>
    <row r="6" spans="1:60" x14ac:dyDescent="0.25">
      <c r="A6" t="s">
        <v>20</v>
      </c>
      <c r="B6">
        <v>693</v>
      </c>
      <c r="C6">
        <v>657</v>
      </c>
      <c r="D6">
        <v>634.60199999999998</v>
      </c>
      <c r="E6">
        <v>592</v>
      </c>
      <c r="F6">
        <v>758</v>
      </c>
      <c r="G6">
        <v>202</v>
      </c>
      <c r="H6">
        <v>202</v>
      </c>
      <c r="I6">
        <v>87</v>
      </c>
      <c r="L6">
        <f t="shared" si="0"/>
        <v>4.1666666666666666E-3</v>
      </c>
    </row>
    <row r="7" spans="1:60" x14ac:dyDescent="0.25">
      <c r="A7" t="s">
        <v>2</v>
      </c>
      <c r="B7">
        <v>773</v>
      </c>
      <c r="C7">
        <v>1037</v>
      </c>
      <c r="D7">
        <v>634.60199999999998</v>
      </c>
      <c r="E7">
        <v>672</v>
      </c>
      <c r="F7">
        <v>1138</v>
      </c>
      <c r="G7">
        <v>202</v>
      </c>
      <c r="H7">
        <v>202</v>
      </c>
      <c r="I7">
        <v>109</v>
      </c>
      <c r="K7">
        <f>(I7-I8)/240</f>
        <v>9.166666666666666E-2</v>
      </c>
      <c r="L7">
        <f t="shared" si="0"/>
        <v>4.1666666666666666E-3</v>
      </c>
      <c r="N7">
        <f>B7-B8</f>
        <v>26</v>
      </c>
      <c r="O7">
        <f>ABS(N7)*$AQ$3+$AR$3</f>
        <v>0.67513531177016795</v>
      </c>
      <c r="P7">
        <f>C7-C8</f>
        <v>109</v>
      </c>
      <c r="Q7">
        <f>ABS(P7)*$AQ$3+$AR$3</f>
        <v>1.3248258816621299</v>
      </c>
      <c r="R7">
        <f>SQRT(N7^2+P7^2)</f>
        <v>112.05802068571441</v>
      </c>
      <c r="S7">
        <f>ABS(R7)*$AQ$3+$AR$3</f>
        <v>1.3487628359036141</v>
      </c>
      <c r="U7">
        <f>IFERROR(DEGREES(ATAN2(N7, P7)), 90)</f>
        <v>76.583816518159111</v>
      </c>
      <c r="V7">
        <f>N7^2+P7^2</f>
        <v>12557</v>
      </c>
      <c r="W7">
        <f>DEGREES(SQRT(((P7/V7)^2)*O7^2+((N7/V7)^2)*Q7^2))</f>
        <v>0.37074267792272914</v>
      </c>
      <c r="X7">
        <f>U7-$U$3</f>
        <v>-1.707182379976885</v>
      </c>
      <c r="Y7">
        <f>SQRT($W$3^2+W7^2)</f>
        <v>0.44835069084639978</v>
      </c>
      <c r="AA7">
        <f>N7/K7</f>
        <v>283.63636363636368</v>
      </c>
      <c r="AB7">
        <f>ABS(AA7)*SQRT((L7/K7)^2+(O7/N7)^2)</f>
        <v>14.847997727573262</v>
      </c>
      <c r="AC7">
        <f>P7/K7</f>
        <v>1189.0909090909092</v>
      </c>
      <c r="AD7">
        <f>ABS(AC7)*SQRT((L7/K7)^2+(Q7/P7)^2)</f>
        <v>55.948519253181324</v>
      </c>
      <c r="AE7">
        <f>R7/K7</f>
        <v>1222.4511347532482</v>
      </c>
      <c r="AF7">
        <f>ABS(AE7)*SQRT((L7/K7)^2+(S7/R7)^2)</f>
        <v>57.48105079894718</v>
      </c>
      <c r="AG7">
        <f>AF7/AE7</f>
        <v>4.7021143966257374E-2</v>
      </c>
      <c r="AH7">
        <f>AE7*COS(RADIANS(X15))</f>
        <v>1221.4916840013259</v>
      </c>
      <c r="AI7">
        <f>SQRT(COS(RADIANS(X15))^2*AF7^2+(AE7*SIN(RADIANS(X15)))^2*Y15^2)</f>
        <v>61.025154378410456</v>
      </c>
    </row>
    <row r="8" spans="1:60" x14ac:dyDescent="0.25">
      <c r="A8" t="s">
        <v>31</v>
      </c>
      <c r="B8">
        <v>747</v>
      </c>
      <c r="C8">
        <v>928</v>
      </c>
      <c r="D8">
        <v>634.60199999999998</v>
      </c>
      <c r="E8">
        <v>646</v>
      </c>
      <c r="F8">
        <v>1029</v>
      </c>
      <c r="G8">
        <v>202</v>
      </c>
      <c r="H8">
        <v>202</v>
      </c>
      <c r="I8">
        <v>87</v>
      </c>
      <c r="L8">
        <f t="shared" si="0"/>
        <v>4.1666666666666666E-3</v>
      </c>
    </row>
    <row r="10" spans="1:60" x14ac:dyDescent="0.25">
      <c r="AE10" t="s">
        <v>102</v>
      </c>
      <c r="AF10" t="s">
        <v>103</v>
      </c>
      <c r="AG10" s="1" t="s">
        <v>105</v>
      </c>
      <c r="AH10" s="1" t="s">
        <v>36</v>
      </c>
      <c r="AI10" t="s">
        <v>106</v>
      </c>
      <c r="AJ10" s="1" t="s">
        <v>104</v>
      </c>
      <c r="AK10" t="s">
        <v>107</v>
      </c>
    </row>
    <row r="11" spans="1:60" x14ac:dyDescent="0.25">
      <c r="U11">
        <f>U7-U5</f>
        <v>-13.416183481840889</v>
      </c>
      <c r="W11">
        <f>SQRT(W5^2+W7^2)</f>
        <v>9.0148629409374674</v>
      </c>
      <c r="AA11">
        <f>SUM(AA3:AA4)-SUM(AA5:AA7)</f>
        <v>-24.176904176904259</v>
      </c>
      <c r="AB11">
        <f>SQRT(SUMPRODUCT(AB3:AB7,AB3:AB7))</f>
        <v>17.660332026199526</v>
      </c>
      <c r="AC11">
        <f>SUM(AC3:AC4)-SUM(AC5:AC7)</f>
        <v>37.086697086696859</v>
      </c>
      <c r="AD11">
        <f>SQRT(SUMPRODUCT(AD3:AD7,AD3:AD7))</f>
        <v>66.777470605966769</v>
      </c>
      <c r="AE11">
        <f>SQRT(AA11^2+AC11^2)</f>
        <v>44.271275070632647</v>
      </c>
      <c r="AF11">
        <f>SQRT((AA11/AE11)^2*AB11^2+(AC11/AE11)^2*AD11^2)</f>
        <v>56.765758562849456</v>
      </c>
      <c r="AG11">
        <f>IF(DEGREES(ATAN(AC11/AA11))&lt;0, 180+DEGREES(ATAN(AC11/AA11)), DEGREES(ATAN(AC11/AA11)))</f>
        <v>123.10042337389868</v>
      </c>
      <c r="AH11">
        <f>AA11^2+AC11^2</f>
        <v>1959.9457963796199</v>
      </c>
      <c r="AI11">
        <f>DEGREES(SQRT(((AC11/AH11)^2)*AB11^2+((AA11/AH11)^2)*AD11^2))</f>
        <v>50.932334644159361</v>
      </c>
      <c r="AJ11">
        <f>AG11-U3</f>
        <v>44.809424475762683</v>
      </c>
      <c r="AK11">
        <f>SQRT(AI11^2+W3^2)</f>
        <v>50.932958686035363</v>
      </c>
    </row>
    <row r="12" spans="1:60" x14ac:dyDescent="0.25">
      <c r="X12" t="s">
        <v>32</v>
      </c>
    </row>
    <row r="13" spans="1:60" x14ac:dyDescent="0.25">
      <c r="A13" t="s">
        <v>29</v>
      </c>
      <c r="B13">
        <v>746</v>
      </c>
      <c r="C13">
        <v>924</v>
      </c>
      <c r="D13">
        <v>634.60199999999998</v>
      </c>
      <c r="E13">
        <v>645</v>
      </c>
      <c r="F13">
        <v>1025</v>
      </c>
      <c r="G13">
        <v>202</v>
      </c>
      <c r="H13">
        <v>202</v>
      </c>
      <c r="I13">
        <v>85</v>
      </c>
      <c r="K13">
        <f>(I13-I14)/240</f>
        <v>0</v>
      </c>
      <c r="N13">
        <f>B13-B14</f>
        <v>53</v>
      </c>
      <c r="O13">
        <f>ABS(N13)*$AQ$3+$AR$3</f>
        <v>0.88648043691574596</v>
      </c>
      <c r="P13">
        <f>C13-C14</f>
        <v>269</v>
      </c>
      <c r="Q13">
        <f>ABS(P13)*$AQ$3+$AR$3</f>
        <v>2.5772414380803701</v>
      </c>
      <c r="R13">
        <f>SQRT(N13^2+P13^2)</f>
        <v>274.17147918775214</v>
      </c>
      <c r="S13">
        <f>ABS(R13)*$AQ$3+$AR$3</f>
        <v>2.6177216942330821</v>
      </c>
      <c r="U13">
        <f>IF(DEGREES(ATAN(P13/N13))&lt;0, 180+DEGREES(ATAN(P13/N13)), DEGREES(ATAN(P13/N13)))</f>
        <v>78.854003500688123</v>
      </c>
      <c r="V13">
        <f>N13^2+P13^2</f>
        <v>75170</v>
      </c>
      <c r="W13">
        <f>DEGREES(SQRT(((P13/V13)^2)*O13^2+((N13/V13)^2)*Q13^2))</f>
        <v>0.20946742477910987</v>
      </c>
      <c r="X13">
        <f>U13-$U$3</f>
        <v>0.5630046025521267</v>
      </c>
      <c r="Y13">
        <f>SQRT($W$3^2+W13^2)</f>
        <v>0.32778775265820947</v>
      </c>
    </row>
    <row r="14" spans="1:60" x14ac:dyDescent="0.25">
      <c r="A14" t="s">
        <v>28</v>
      </c>
      <c r="B14">
        <v>693</v>
      </c>
      <c r="C14">
        <v>655</v>
      </c>
      <c r="D14">
        <v>634.60199999999998</v>
      </c>
      <c r="E14">
        <v>592</v>
      </c>
      <c r="F14">
        <v>756</v>
      </c>
      <c r="G14">
        <v>202</v>
      </c>
      <c r="H14">
        <v>202</v>
      </c>
      <c r="I14">
        <v>85</v>
      </c>
      <c r="X14">
        <f>U13-U5</f>
        <v>-11.145996499311877</v>
      </c>
      <c r="Y14">
        <f>SQRT($W$5^2+W13^2)</f>
        <v>9.0096714875015298</v>
      </c>
    </row>
    <row r="15" spans="1:60" x14ac:dyDescent="0.25">
      <c r="X15">
        <f>U13-U7</f>
        <v>2.2701869825290117</v>
      </c>
      <c r="Y15">
        <f>SQRT($W$7^2+W13^2)</f>
        <v>0.4258247706239135</v>
      </c>
    </row>
    <row r="18" spans="1:60" x14ac:dyDescent="0.25">
      <c r="A18" t="s">
        <v>28</v>
      </c>
      <c r="B18">
        <v>431</v>
      </c>
      <c r="C18">
        <v>575</v>
      </c>
      <c r="D18">
        <v>622.03499999999997</v>
      </c>
      <c r="E18">
        <v>332</v>
      </c>
      <c r="F18">
        <v>674</v>
      </c>
      <c r="G18">
        <v>198</v>
      </c>
      <c r="H18">
        <v>198</v>
      </c>
      <c r="I18">
        <v>96</v>
      </c>
      <c r="K18">
        <f>(I18-I19)/240</f>
        <v>0.1125</v>
      </c>
      <c r="L18">
        <f>1/240</f>
        <v>4.1666666666666666E-3</v>
      </c>
      <c r="N18">
        <f>B18-B19</f>
        <v>26</v>
      </c>
      <c r="O18">
        <f>ABS(N18)*$AQ$18+$AR$18</f>
        <v>1.1370530195964017</v>
      </c>
      <c r="P18">
        <f>C18-C19</f>
        <v>138</v>
      </c>
      <c r="Q18">
        <f>ABS(P18)*$AQ$18+$AR$18</f>
        <v>3.0903556861767925</v>
      </c>
      <c r="R18">
        <f>SQRT(N18^2+P18^2)</f>
        <v>140.42791745233566</v>
      </c>
      <c r="S18">
        <f>ABS(R18)*$AQ$18+$AR$18</f>
        <v>3.1326990579079026</v>
      </c>
      <c r="U18">
        <f>IFERROR(DEGREES(ATAN2(N18, P18)), 90)</f>
        <v>79.330217195503323</v>
      </c>
      <c r="V18">
        <f>N18^2+P18^2</f>
        <v>19720</v>
      </c>
      <c r="W18">
        <f>DEGREES(SQRT(((P18/V18)^2)*O18^2+((N18/V18)^2)*Q18^2))</f>
        <v>0.51220143371242244</v>
      </c>
      <c r="X18">
        <f>U18-$U$18</f>
        <v>0</v>
      </c>
      <c r="Y18">
        <f>SQRT($W$18^2+W18^2)</f>
        <v>0.72436221422305158</v>
      </c>
      <c r="AA18">
        <f>N18/K18</f>
        <v>231.11111111111111</v>
      </c>
      <c r="AB18">
        <f>ABS(AA18)*SQRT((L18/K18)^2+(O18/N18)^2)</f>
        <v>13.244704657881391</v>
      </c>
      <c r="AC18">
        <f>P18/K18</f>
        <v>1226.6666666666667</v>
      </c>
      <c r="AD18">
        <f>ABS(AC18)*SQRT((L18/K18)^2+(Q18/P18)^2)</f>
        <v>53.091120408676517</v>
      </c>
      <c r="AE18">
        <f>R18/K18</f>
        <v>1248.2481551318726</v>
      </c>
      <c r="AF18">
        <f>ABS(AE18)*SQRT((L18/K18)^2+(S18/R18)^2)</f>
        <v>53.969947079822383</v>
      </c>
      <c r="AG18">
        <f>AF18/AE18</f>
        <v>4.3236552650158466E-2</v>
      </c>
      <c r="AH18">
        <f>AE18*COS(RADIANS(X28))</f>
        <v>1248.1648870978713</v>
      </c>
      <c r="AI18">
        <f>SQRT(COS(RADIANS(X28))^2*AF18^2+(AE18*SIN(RADIANS(X28)))^2*Y28^2)</f>
        <v>54.731820655180691</v>
      </c>
      <c r="AJ18">
        <f>(AE3-AE18)/AE18</f>
        <v>2.4232392839413669E-2</v>
      </c>
      <c r="AL18">
        <f>AH18</f>
        <v>1248.1648870978713</v>
      </c>
      <c r="AM18">
        <f>AI18</f>
        <v>54.731820655180691</v>
      </c>
      <c r="AN18">
        <f>AL20/AL18</f>
        <v>0.91269312370797528</v>
      </c>
      <c r="AO18">
        <f>ABS(AN18)*SQRT((AM18/AL18)^2+(AM20/AL20)^2)</f>
        <v>0.14136444267234621</v>
      </c>
      <c r="AQ18">
        <f>AS3*0.00872010119009103</f>
        <v>1.7440202380182061E-2</v>
      </c>
      <c r="AR18">
        <f>AS3*0.341803878855834</f>
        <v>0.68360775771166804</v>
      </c>
      <c r="AU18">
        <v>1.5</v>
      </c>
      <c r="AV18">
        <v>2</v>
      </c>
      <c r="AW18">
        <v>10.5</v>
      </c>
      <c r="AX18">
        <v>0.2</v>
      </c>
      <c r="AY18">
        <v>7.7469999999999999</v>
      </c>
      <c r="AZ18">
        <v>18.669</v>
      </c>
      <c r="BA18" s="1">
        <f>AE18</f>
        <v>1248.2481551318726</v>
      </c>
      <c r="BB18" s="1">
        <f>AF18</f>
        <v>53.969947079822383</v>
      </c>
      <c r="BC18" s="1">
        <f>X28</f>
        <v>0.6618030030553399</v>
      </c>
      <c r="BD18" s="1">
        <f>Y28</f>
        <v>0.63267241486711945</v>
      </c>
      <c r="BE18">
        <f>AH18</f>
        <v>1248.1648870978713</v>
      </c>
      <c r="BF18">
        <f>AI18</f>
        <v>54.731820655180691</v>
      </c>
      <c r="BG18">
        <f>AN18</f>
        <v>0.91269312370797528</v>
      </c>
      <c r="BH18">
        <f>AO18</f>
        <v>0.14136444267234621</v>
      </c>
    </row>
    <row r="19" spans="1:60" x14ac:dyDescent="0.25">
      <c r="A19" t="s">
        <v>1</v>
      </c>
      <c r="B19">
        <v>405</v>
      </c>
      <c r="C19">
        <v>437</v>
      </c>
      <c r="D19">
        <v>622.03499999999997</v>
      </c>
      <c r="E19">
        <v>306</v>
      </c>
      <c r="F19">
        <v>536</v>
      </c>
      <c r="G19">
        <v>198</v>
      </c>
      <c r="H19">
        <v>198</v>
      </c>
      <c r="I19">
        <v>69</v>
      </c>
      <c r="L19">
        <f t="shared" ref="L19:L23" si="1">1/240</f>
        <v>4.1666666666666666E-3</v>
      </c>
      <c r="AQ19">
        <f>AS3*0.00051291753818516</f>
        <v>1.0258350763703199E-3</v>
      </c>
      <c r="AR19">
        <f>AS3*0.0676280548663656</f>
        <v>0.13525610973273119</v>
      </c>
    </row>
    <row r="20" spans="1:60" x14ac:dyDescent="0.25">
      <c r="A20" t="s">
        <v>4</v>
      </c>
      <c r="B20">
        <v>430.5</v>
      </c>
      <c r="C20">
        <v>581.5</v>
      </c>
      <c r="D20">
        <v>618.89400000000001</v>
      </c>
      <c r="E20">
        <v>332</v>
      </c>
      <c r="F20">
        <v>680</v>
      </c>
      <c r="G20">
        <v>197</v>
      </c>
      <c r="H20">
        <v>197</v>
      </c>
      <c r="I20">
        <v>126</v>
      </c>
      <c r="K20">
        <f>(I20-I21)/240</f>
        <v>0.11666666666666667</v>
      </c>
      <c r="L20">
        <f t="shared" si="1"/>
        <v>4.1666666666666666E-3</v>
      </c>
      <c r="N20">
        <f>B20-B21</f>
        <v>-1</v>
      </c>
      <c r="O20">
        <f>ABS(N20)*$AQ$18+$AR$18</f>
        <v>0.70104796009185011</v>
      </c>
      <c r="P20">
        <f>C20-C21</f>
        <v>3</v>
      </c>
      <c r="Q20">
        <f>ABS(P20)*$AQ$18+$AR$18</f>
        <v>0.73592836485221425</v>
      </c>
      <c r="R20">
        <f>SQRT(N20^2+P20^2)</f>
        <v>3.1622776601683795</v>
      </c>
      <c r="S20">
        <f>ABS(R20)*$AQ$18+$AR$18</f>
        <v>0.73875852008733323</v>
      </c>
      <c r="U20">
        <f>IFERROR(DEGREES(ATAN2(N20, P20)), 90)</f>
        <v>108.43494882292201</v>
      </c>
      <c r="V20">
        <f>N20^2+P20^2</f>
        <v>10</v>
      </c>
      <c r="W20">
        <f>DEGREES(SQRT(((P20/V20)^2)*O20^2+((N20/V20)^2)*Q20^2))</f>
        <v>12.766554948323321</v>
      </c>
      <c r="X20">
        <f>U20-$U$18</f>
        <v>29.104731627418687</v>
      </c>
      <c r="Y20">
        <f>SQRT($W$18^2+W20^2)</f>
        <v>12.776825723052488</v>
      </c>
      <c r="AA20">
        <f>N20/K20</f>
        <v>-8.5714285714285712</v>
      </c>
      <c r="AB20">
        <f>ABS(AA20)*SQRT((L20/K20)^2+(O20/N20)^2)</f>
        <v>6.0167750348689548</v>
      </c>
      <c r="AC20">
        <f>P20/K20</f>
        <v>25.714285714285715</v>
      </c>
      <c r="AD20">
        <f>ABS(AC20)*SQRT((L20/K20)^2+(Q20/P20)^2)</f>
        <v>6.3744588247461804</v>
      </c>
      <c r="AE20">
        <f>R20/K20</f>
        <v>27.105237087157537</v>
      </c>
      <c r="AF20">
        <f>ABS(AE20)*SQRT((L20/K20)^2+(S20/R20)^2)</f>
        <v>6.4057839153740739</v>
      </c>
      <c r="AG20">
        <f>AF20/AE20</f>
        <v>0.23633011933362261</v>
      </c>
      <c r="AH20">
        <f>AE20*COS(RADIANS(X29))</f>
        <v>23.833417221812255</v>
      </c>
      <c r="AI20">
        <f>SQRT(COS(RADIANS(X29))^2*AF20^2+(AE20*SIN(RADIANS(X29)))^2*Y29^2)</f>
        <v>164.97915768739739</v>
      </c>
      <c r="AJ20">
        <f>(AE5-AE20)/AE20</f>
        <v>-5.1316701949486156E-2</v>
      </c>
      <c r="AL20">
        <f>AH22-AH20</f>
        <v>1139.1915097079684</v>
      </c>
      <c r="AM20">
        <f>SQRT(AI20^2+AI22^2)</f>
        <v>169.22736262367255</v>
      </c>
    </row>
    <row r="21" spans="1:60" x14ac:dyDescent="0.25">
      <c r="A21" t="s">
        <v>20</v>
      </c>
      <c r="B21">
        <v>431.5</v>
      </c>
      <c r="C21">
        <v>578.5</v>
      </c>
      <c r="D21">
        <v>618.89400000000001</v>
      </c>
      <c r="E21">
        <v>333</v>
      </c>
      <c r="F21">
        <v>677</v>
      </c>
      <c r="G21">
        <v>197</v>
      </c>
      <c r="H21">
        <v>197</v>
      </c>
      <c r="I21">
        <v>98</v>
      </c>
      <c r="L21">
        <f t="shared" si="1"/>
        <v>4.1666666666666666E-3</v>
      </c>
    </row>
    <row r="22" spans="1:60" x14ac:dyDescent="0.25">
      <c r="A22" t="s">
        <v>2</v>
      </c>
      <c r="B22">
        <v>618.5</v>
      </c>
      <c r="C22">
        <v>1460.5</v>
      </c>
      <c r="D22">
        <v>644.02599999999995</v>
      </c>
      <c r="E22">
        <v>516</v>
      </c>
      <c r="F22">
        <v>1563</v>
      </c>
      <c r="G22">
        <v>205</v>
      </c>
      <c r="H22">
        <v>205</v>
      </c>
      <c r="I22">
        <v>228</v>
      </c>
      <c r="K22">
        <f>(I22-I23)/240</f>
        <v>0.54166666666666663</v>
      </c>
      <c r="L22">
        <f t="shared" si="1"/>
        <v>4.1666666666666666E-3</v>
      </c>
      <c r="N22">
        <f>B22-B23</f>
        <v>140</v>
      </c>
      <c r="O22">
        <f>ABS(N22)*$AQ$18+$AR$18</f>
        <v>3.1252360909371566</v>
      </c>
      <c r="P22">
        <f>C22-C23</f>
        <v>615</v>
      </c>
      <c r="Q22">
        <f>ABS(P22)*$AQ$18+$AR$18</f>
        <v>11.409332221523636</v>
      </c>
      <c r="R22">
        <f>SQRT(N22^2+P22^2)</f>
        <v>630.73369974974378</v>
      </c>
      <c r="S22">
        <f>ABS(R22)*$AQ$18+$AR$18</f>
        <v>11.683731129348187</v>
      </c>
      <c r="U22">
        <f>IFERROR(DEGREES(ATAN2(N22, P22)), 90)</f>
        <v>77.175601897764864</v>
      </c>
      <c r="V22">
        <f>N22^2+P22^2</f>
        <v>397825</v>
      </c>
      <c r="W22">
        <f>DEGREES(SQRT(((P22/V22)^2)*O22^2+((N22/V22)^2)*Q22^2))</f>
        <v>0.35992821791320706</v>
      </c>
      <c r="X22">
        <f>U22-$U$18</f>
        <v>-2.1546152977384594</v>
      </c>
      <c r="Y22">
        <f>SQRT($W$18^2+W22^2)</f>
        <v>0.62601807541574883</v>
      </c>
      <c r="AA22">
        <f>N22/K22</f>
        <v>258.46153846153845</v>
      </c>
      <c r="AB22">
        <f>ABS(AA22)*SQRT((L22/K22)^2+(O22/N22)^2)</f>
        <v>6.1026105715245409</v>
      </c>
      <c r="AC22">
        <f>P22/K22</f>
        <v>1135.3846153846155</v>
      </c>
      <c r="AD22">
        <f>ABS(AC22)*SQRT((L22/K22)^2+(Q22/P22)^2)</f>
        <v>22.802282483513487</v>
      </c>
      <c r="AE22">
        <f>R22/K22</f>
        <v>1164.4314456918348</v>
      </c>
      <c r="AF22">
        <f>ABS(AE22)*SQRT((L22/K22)^2+(S22/R22)^2)</f>
        <v>23.355817290944643</v>
      </c>
      <c r="AG22">
        <f>AF22/AE22</f>
        <v>2.0057700586287436E-2</v>
      </c>
      <c r="AH22">
        <f>AE22*COS(RADIANS(X30))</f>
        <v>1163.0249269297806</v>
      </c>
      <c r="AI22">
        <f>SQRT(COS(RADIANS(X30))^2*AF22^2+(AE22*SIN(RADIANS(X30)))^2*Y30^2)</f>
        <v>37.67993881790197</v>
      </c>
      <c r="AJ22">
        <f>(AE7-AE22)/AE22</f>
        <v>4.9826625067602479E-2</v>
      </c>
    </row>
    <row r="23" spans="1:60" x14ac:dyDescent="0.25">
      <c r="A23" t="s">
        <v>55</v>
      </c>
      <c r="B23">
        <v>478.5</v>
      </c>
      <c r="C23">
        <v>845.5</v>
      </c>
      <c r="D23">
        <v>631.46</v>
      </c>
      <c r="E23">
        <v>378</v>
      </c>
      <c r="F23">
        <v>946</v>
      </c>
      <c r="G23">
        <v>201</v>
      </c>
      <c r="H23">
        <v>201</v>
      </c>
      <c r="I23">
        <v>98</v>
      </c>
      <c r="L23">
        <f t="shared" si="1"/>
        <v>4.1666666666666666E-3</v>
      </c>
    </row>
    <row r="25" spans="1:60" x14ac:dyDescent="0.25">
      <c r="AE25" t="s">
        <v>102</v>
      </c>
      <c r="AF25" t="s">
        <v>103</v>
      </c>
      <c r="AG25" s="1" t="s">
        <v>105</v>
      </c>
      <c r="AH25" s="1" t="s">
        <v>36</v>
      </c>
      <c r="AI25" t="s">
        <v>106</v>
      </c>
      <c r="AJ25" s="1" t="s">
        <v>104</v>
      </c>
      <c r="AK25" t="s">
        <v>107</v>
      </c>
    </row>
    <row r="26" spans="1:60" x14ac:dyDescent="0.25">
      <c r="U26">
        <f>U22-U20</f>
        <v>-31.259346925157146</v>
      </c>
      <c r="W26">
        <f>SQRT(W20^2+W22^2)</f>
        <v>12.771627678984729</v>
      </c>
      <c r="AA26">
        <f>SUM(AA18:AA19)-SUM(AA20:AA22)</f>
        <v>-18.778998778998755</v>
      </c>
      <c r="AB26">
        <f>SQRT(SUMPRODUCT(AB18:AB22,AB18:AB22))</f>
        <v>15.775475874990599</v>
      </c>
      <c r="AC26">
        <f>SUM(AC18:AC19)-SUM(AC20:AC22)</f>
        <v>65.567765567765491</v>
      </c>
      <c r="AD26">
        <f>SQRT(SUMPRODUCT(AD18:AD22,AD18:AD22))</f>
        <v>58.131272805736145</v>
      </c>
      <c r="AE26">
        <f>SQRT(AA26^2+AC26^2)</f>
        <v>68.20397845207485</v>
      </c>
      <c r="AF26">
        <f>SQRT((AA26/AE26)^2*AB26^2+(AC26/AE26)^2*AD26^2)</f>
        <v>56.05293390740799</v>
      </c>
      <c r="AG26">
        <f>IF(DEGREES(ATAN(AC26/AA26))&lt;0, 180+DEGREES(ATAN(AC26/AA26)), DEGREES(ATAN(AC26/AA26)))</f>
        <v>105.98202822434679</v>
      </c>
      <c r="AH26">
        <f>AA26^2+AC26^2</f>
        <v>4651.7826766910912</v>
      </c>
      <c r="AI26">
        <f>DEGREES(SQRT(((AC26/AH26)^2)*AB26^2+((AA26/AH26)^2)*AD26^2))</f>
        <v>18.522989236470757</v>
      </c>
      <c r="AJ26">
        <f>AG26-U18</f>
        <v>26.651811028843468</v>
      </c>
      <c r="AK26">
        <f>SQRT(AI26^2+W18^2)</f>
        <v>18.530069631901242</v>
      </c>
    </row>
    <row r="27" spans="1:60" x14ac:dyDescent="0.25">
      <c r="X27" t="s">
        <v>32</v>
      </c>
    </row>
    <row r="28" spans="1:60" x14ac:dyDescent="0.25">
      <c r="A28" t="s">
        <v>29</v>
      </c>
      <c r="B28">
        <v>477.5</v>
      </c>
      <c r="C28">
        <v>838.5</v>
      </c>
      <c r="D28">
        <v>637.74300000000005</v>
      </c>
      <c r="E28">
        <v>376</v>
      </c>
      <c r="F28">
        <v>940</v>
      </c>
      <c r="G28">
        <v>203</v>
      </c>
      <c r="H28">
        <v>203</v>
      </c>
      <c r="I28">
        <v>96</v>
      </c>
      <c r="K28">
        <f>(I28-I29)/240</f>
        <v>0</v>
      </c>
      <c r="N28">
        <f>B28-B29</f>
        <v>46.5</v>
      </c>
      <c r="O28">
        <f>ABS(N28)*$AQ$18+$AR$18</f>
        <v>1.4945771683901339</v>
      </c>
      <c r="P28">
        <f>C28-C29</f>
        <v>263.5</v>
      </c>
      <c r="Q28">
        <f>ABS(P28)*$AQ$18+$AR$18</f>
        <v>5.2791010848896409</v>
      </c>
      <c r="R28">
        <f>SQRT(N28^2+P28^2)</f>
        <v>267.57148577529705</v>
      </c>
      <c r="S28">
        <f>ABS(R28)*$AQ$18+$AR$18</f>
        <v>5.3501086207988537</v>
      </c>
      <c r="U28">
        <f>IF(DEGREES(ATAN(P28/N28))&lt;0, 180+DEGREES(ATAN(P28/N28)), DEGREES(ATAN(P28/N28)))</f>
        <v>79.992020198558663</v>
      </c>
      <c r="V28">
        <f>N28^2+P28^2</f>
        <v>71594.5</v>
      </c>
      <c r="W28">
        <f>DEGREES(SQRT(((P28/V28)^2)*O28^2+((N28/V28)^2)*Q28^2))</f>
        <v>0.37138130787201917</v>
      </c>
      <c r="X28">
        <f>U28-$U$18</f>
        <v>0.6618030030553399</v>
      </c>
      <c r="Y28">
        <f>SQRT($W$18^2+W28^2)</f>
        <v>0.63267241486711945</v>
      </c>
    </row>
    <row r="29" spans="1:60" x14ac:dyDescent="0.25">
      <c r="A29" t="s">
        <v>28</v>
      </c>
      <c r="B29">
        <v>431</v>
      </c>
      <c r="C29">
        <v>575</v>
      </c>
      <c r="D29">
        <v>622.03499999999997</v>
      </c>
      <c r="E29">
        <v>332</v>
      </c>
      <c r="F29">
        <v>674</v>
      </c>
      <c r="G29">
        <v>198</v>
      </c>
      <c r="H29">
        <v>198</v>
      </c>
      <c r="I29">
        <v>96</v>
      </c>
      <c r="X29">
        <f>U28-U20</f>
        <v>-28.442928624363347</v>
      </c>
      <c r="Y29">
        <f>SQRT($W$20^2+W28^2)</f>
        <v>12.771955579487248</v>
      </c>
    </row>
    <row r="30" spans="1:60" x14ac:dyDescent="0.25">
      <c r="X30">
        <f>U28-U22</f>
        <v>2.8164183007937993</v>
      </c>
      <c r="Y30">
        <f>SQRT($W$22^2+W28^2)</f>
        <v>0.51717733698114476</v>
      </c>
    </row>
    <row r="37" spans="14:33" x14ac:dyDescent="0.25">
      <c r="N37">
        <f>B37-B38</f>
        <v>0</v>
      </c>
      <c r="O37">
        <f>N37*$AQ$3+$AR$3</f>
        <v>0.47161778385220399</v>
      </c>
      <c r="P37">
        <f>C37-C38</f>
        <v>0</v>
      </c>
      <c r="Q37">
        <f>P37*$AQ$3+$AR$3</f>
        <v>0.47161778385220399</v>
      </c>
      <c r="R37">
        <f>SQRT(N37^2+P37^2)</f>
        <v>0</v>
      </c>
      <c r="S37">
        <f>R37*$AQ$3+$AR$3</f>
        <v>0.47161778385220399</v>
      </c>
      <c r="AA37" t="e">
        <f>N37/K37</f>
        <v>#DIV/0!</v>
      </c>
      <c r="AC37" t="e">
        <f>P37/K37</f>
        <v>#DIV/0!</v>
      </c>
      <c r="AE37" t="e">
        <f>R37/K37</f>
        <v>#DIV/0!</v>
      </c>
      <c r="AF37" t="e">
        <f>ABS(AE37)*SQRT((L37/K37)^2+(S37/R37)^2)</f>
        <v>#DIV/0!</v>
      </c>
      <c r="AG37" t="e">
        <f>AF37/AE37</f>
        <v>#DIV/0!</v>
      </c>
    </row>
    <row r="40" spans="14:33" x14ac:dyDescent="0.25">
      <c r="N40">
        <f>B40-B41</f>
        <v>0</v>
      </c>
      <c r="O40">
        <f>N40*$AQ$3+$AR$3</f>
        <v>0.47161778385220399</v>
      </c>
      <c r="P40">
        <f>C40-C41</f>
        <v>0</v>
      </c>
      <c r="Q40">
        <f>P40*$AQ$3+$AR$3</f>
        <v>0.47161778385220399</v>
      </c>
      <c r="R40">
        <f>SQRT(N40^2+P40^2)</f>
        <v>0</v>
      </c>
      <c r="S40">
        <f>R40*$AQ$3+$AR$3</f>
        <v>0.47161778385220399</v>
      </c>
      <c r="AA40" t="e">
        <f>N40/K40</f>
        <v>#DIV/0!</v>
      </c>
      <c r="AC40" t="e">
        <f>P40/K40</f>
        <v>#DIV/0!</v>
      </c>
      <c r="AE40" t="e">
        <f>R40/K40</f>
        <v>#DIV/0!</v>
      </c>
      <c r="AF40" t="e">
        <f>ABS(AE40)*SQRT((L40/K40)^2+(S40/R40)^2)</f>
        <v>#DIV/0!</v>
      </c>
      <c r="AG40" t="e">
        <f>AF40/AE40</f>
        <v>#DIV/0!</v>
      </c>
    </row>
    <row r="43" spans="14:33" x14ac:dyDescent="0.25">
      <c r="N43">
        <f>B43-B44</f>
        <v>0</v>
      </c>
      <c r="O43">
        <f>N43*$AQ$3+$AR$3</f>
        <v>0.47161778385220399</v>
      </c>
      <c r="P43">
        <f>C43-C44</f>
        <v>0</v>
      </c>
      <c r="Q43">
        <f>P43*$AQ$3+$AR$3</f>
        <v>0.47161778385220399</v>
      </c>
      <c r="R43">
        <f>SQRT(N43^2+P43^2)</f>
        <v>0</v>
      </c>
      <c r="S43">
        <f>R43*$AQ$3+$AR$3</f>
        <v>0.47161778385220399</v>
      </c>
      <c r="AA43" t="e">
        <f>N43/K43</f>
        <v>#DIV/0!</v>
      </c>
      <c r="AC43" t="e">
        <f>P43/K43</f>
        <v>#DIV/0!</v>
      </c>
      <c r="AE43" t="e">
        <f>R43/K43</f>
        <v>#DIV/0!</v>
      </c>
      <c r="AF43" t="e">
        <f>ABS(AE43)*SQRT((L43/K43)^2+(S43/R43)^2)</f>
        <v>#DIV/0!</v>
      </c>
      <c r="AG43" t="e">
        <f>AF43/AE43</f>
        <v>#DIV/0!</v>
      </c>
    </row>
    <row r="46" spans="14:33" x14ac:dyDescent="0.25">
      <c r="N46">
        <f>B46-B47</f>
        <v>0</v>
      </c>
      <c r="O46">
        <f>N46*$AQ$3+$AR$3</f>
        <v>0.47161778385220399</v>
      </c>
      <c r="P46">
        <f>C46-C47</f>
        <v>0</v>
      </c>
      <c r="Q46">
        <f>P46*$AQ$3+$AR$3</f>
        <v>0.47161778385220399</v>
      </c>
      <c r="R46">
        <f>SQRT(N46^2+P46^2)</f>
        <v>0</v>
      </c>
      <c r="S46">
        <f>R46*$AQ$3+$AR$3</f>
        <v>0.47161778385220399</v>
      </c>
      <c r="AA46" t="e">
        <f>N46/K46</f>
        <v>#DIV/0!</v>
      </c>
      <c r="AC46" t="e">
        <f>P46/K46</f>
        <v>#DIV/0!</v>
      </c>
      <c r="AE46" t="e">
        <f>R46/K46</f>
        <v>#DIV/0!</v>
      </c>
      <c r="AF46" t="e">
        <f>ABS(AE46)*SQRT((L46/K46)^2+(S46/R46)^2)</f>
        <v>#DIV/0!</v>
      </c>
      <c r="AG46" t="e">
        <f>AF46/AE46</f>
        <v>#DIV/0!</v>
      </c>
    </row>
    <row r="49" spans="14:33" x14ac:dyDescent="0.25">
      <c r="N49">
        <f>B49-B50</f>
        <v>0</v>
      </c>
      <c r="O49">
        <f>N49*$AQ$3+$AR$3</f>
        <v>0.47161778385220399</v>
      </c>
      <c r="P49">
        <f>C49-C50</f>
        <v>0</v>
      </c>
      <c r="Q49">
        <f>P49*$AQ$3+$AR$3</f>
        <v>0.47161778385220399</v>
      </c>
      <c r="R49">
        <f>SQRT(N49^2+P49^2)</f>
        <v>0</v>
      </c>
      <c r="S49">
        <f>R49*$AQ$3+$AR$3</f>
        <v>0.47161778385220399</v>
      </c>
      <c r="AA49" t="e">
        <f>N49/K49</f>
        <v>#DIV/0!</v>
      </c>
      <c r="AC49" t="e">
        <f>P49/K49</f>
        <v>#DIV/0!</v>
      </c>
      <c r="AE49" t="e">
        <f>R49/K49</f>
        <v>#DIV/0!</v>
      </c>
      <c r="AF49" t="e">
        <f>ABS(AE49)*SQRT((L49/K49)^2+(S49/R49)^2)</f>
        <v>#DIV/0!</v>
      </c>
      <c r="AG49" t="e">
        <f>AF49/AE49</f>
        <v>#DIV/0!</v>
      </c>
    </row>
    <row r="52" spans="14:33" x14ac:dyDescent="0.25">
      <c r="N52">
        <f>B52-B54</f>
        <v>0</v>
      </c>
      <c r="O52">
        <f>N52*$AQ$3+$AR$3</f>
        <v>0.47161778385220399</v>
      </c>
      <c r="P52">
        <f>C52-C54</f>
        <v>0</v>
      </c>
      <c r="Q52">
        <f>P52*$AQ$3+$AR$3</f>
        <v>0.47161778385220399</v>
      </c>
      <c r="R52">
        <f>SQRT(N52^2+P52^2)</f>
        <v>0</v>
      </c>
      <c r="S52">
        <f>R52*$AQ$3+$AR$3</f>
        <v>0.47161778385220399</v>
      </c>
      <c r="AA52" t="e">
        <f>N52/K52</f>
        <v>#DIV/0!</v>
      </c>
      <c r="AC52" t="e">
        <f>P52/K52</f>
        <v>#DIV/0!</v>
      </c>
      <c r="AE52" t="e">
        <f>R52/K52</f>
        <v>#DIV/0!</v>
      </c>
      <c r="AF52" t="e">
        <f>ABS(AE52)*SQRT((L52/K52)^2+(S52/R52)^2)</f>
        <v>#DIV/0!</v>
      </c>
      <c r="AG52" t="e">
        <f>AF52/AE52</f>
        <v>#DIV/0!</v>
      </c>
    </row>
    <row r="54" spans="14:33" x14ac:dyDescent="0.25">
      <c r="N54">
        <f>B54-B55</f>
        <v>0</v>
      </c>
      <c r="O54">
        <f>N54*$AQ$3+$AR$3</f>
        <v>0.47161778385220399</v>
      </c>
      <c r="P54">
        <f>C54-C55</f>
        <v>0</v>
      </c>
      <c r="Q54">
        <f>P54*$AQ$3+$AR$3</f>
        <v>0.47161778385220399</v>
      </c>
      <c r="R54">
        <f>SQRT(N54^2+P54^2)</f>
        <v>0</v>
      </c>
      <c r="S54">
        <f>R54*$AQ$3+$AR$3</f>
        <v>0.47161778385220399</v>
      </c>
      <c r="AA54" t="e">
        <f>N54/K54</f>
        <v>#DIV/0!</v>
      </c>
      <c r="AC54" t="e">
        <f>P54/K54</f>
        <v>#DIV/0!</v>
      </c>
      <c r="AE54" t="e">
        <f>R54/K54</f>
        <v>#DIV/0!</v>
      </c>
      <c r="AF54" t="e">
        <f>ABS(AE54)*SQRT((L54/K54)^2+(S54/R54)^2)</f>
        <v>#DIV/0!</v>
      </c>
      <c r="AG54" t="e">
        <f>AF54/AE54</f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7386-41C4-4999-A9CB-2390D66819C0}">
  <dimension ref="A1:BH54"/>
  <sheetViews>
    <sheetView zoomScale="72" workbookViewId="0">
      <pane xSplit="1" ySplit="2" topLeftCell="AB3" activePane="bottomRight" state="frozen"/>
      <selection pane="topRight" activeCell="B1" sqref="B1"/>
      <selection pane="bottomLeft" activeCell="A3" sqref="A3"/>
      <selection pane="bottomRight" activeCell="AH1" sqref="AH1:AM2"/>
    </sheetView>
  </sheetViews>
  <sheetFormatPr defaultRowHeight="15" x14ac:dyDescent="0.25"/>
  <cols>
    <col min="1" max="1" width="14.140625" customWidth="1"/>
    <col min="12" max="13" width="8.28515625" customWidth="1"/>
    <col min="18" max="18" width="12" bestFit="1" customWidth="1"/>
    <col min="19" max="20" width="12" customWidth="1"/>
    <col min="25" max="25" width="7.7109375" customWidth="1"/>
    <col min="26" max="26" width="5.7109375" customWidth="1"/>
  </cols>
  <sheetData>
    <row r="1" spans="1:60" s="2" customFormat="1" x14ac:dyDescent="0.25">
      <c r="A1" s="2" t="s">
        <v>171</v>
      </c>
      <c r="K1" s="2" t="s">
        <v>48</v>
      </c>
      <c r="N1" s="2" t="s">
        <v>49</v>
      </c>
      <c r="U1" s="2" t="s">
        <v>51</v>
      </c>
      <c r="AA1" s="2" t="s">
        <v>50</v>
      </c>
      <c r="AL1" s="2" t="s">
        <v>101</v>
      </c>
      <c r="AQ1" s="2" t="s">
        <v>97</v>
      </c>
    </row>
    <row r="2" spans="1:60" ht="18" x14ac:dyDescent="0.35">
      <c r="A2" t="s">
        <v>14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K2" s="2" t="s">
        <v>15</v>
      </c>
      <c r="L2" s="1" t="s">
        <v>45</v>
      </c>
      <c r="M2" s="1"/>
      <c r="N2" s="2" t="s">
        <v>41</v>
      </c>
      <c r="O2" s="1" t="s">
        <v>43</v>
      </c>
      <c r="P2" s="2" t="s">
        <v>42</v>
      </c>
      <c r="Q2" s="1" t="s">
        <v>44</v>
      </c>
      <c r="R2" s="2" t="s">
        <v>17</v>
      </c>
      <c r="S2" s="1" t="s">
        <v>33</v>
      </c>
      <c r="T2" s="1"/>
      <c r="U2" s="2" t="s">
        <v>37</v>
      </c>
      <c r="V2" t="s">
        <v>36</v>
      </c>
      <c r="W2" s="1" t="s">
        <v>35</v>
      </c>
      <c r="X2" s="2" t="s">
        <v>38</v>
      </c>
      <c r="Y2" s="1" t="s">
        <v>47</v>
      </c>
      <c r="Z2" s="1"/>
      <c r="AA2" s="2" t="s">
        <v>18</v>
      </c>
      <c r="AB2" t="s">
        <v>99</v>
      </c>
      <c r="AC2" s="2" t="s">
        <v>19</v>
      </c>
      <c r="AD2" t="s">
        <v>100</v>
      </c>
      <c r="AE2" s="2" t="s">
        <v>16</v>
      </c>
      <c r="AF2" t="s">
        <v>40</v>
      </c>
      <c r="AG2" s="1" t="s">
        <v>39</v>
      </c>
      <c r="AH2" s="3" t="s">
        <v>224</v>
      </c>
      <c r="AI2" s="1" t="s">
        <v>225</v>
      </c>
      <c r="AL2" s="3" t="s">
        <v>226</v>
      </c>
      <c r="AM2" s="1" t="s">
        <v>227</v>
      </c>
      <c r="AN2" t="s">
        <v>180</v>
      </c>
      <c r="AO2" t="s">
        <v>181</v>
      </c>
      <c r="AP2" s="2"/>
      <c r="AQ2" t="s">
        <v>30</v>
      </c>
      <c r="AR2" t="s">
        <v>34</v>
      </c>
      <c r="AU2" t="s">
        <v>108</v>
      </c>
      <c r="AV2" t="s">
        <v>61</v>
      </c>
      <c r="AW2" t="s">
        <v>112</v>
      </c>
      <c r="AX2" s="1" t="s">
        <v>109</v>
      </c>
      <c r="AY2" s="1" t="s">
        <v>110</v>
      </c>
      <c r="AZ2" s="1" t="s">
        <v>111</v>
      </c>
      <c r="BA2" s="1" t="str">
        <f>AE2</f>
        <v>v</v>
      </c>
      <c r="BB2" s="1" t="str">
        <f>AF2</f>
        <v>σv</v>
      </c>
      <c r="BC2" s="1" t="str">
        <f>X12</f>
        <v>collision angle</v>
      </c>
      <c r="BD2" s="1"/>
      <c r="BE2" t="str">
        <f>AH2</f>
        <v>vn</v>
      </c>
      <c r="BF2" t="str">
        <f>AI2</f>
        <v>σvn</v>
      </c>
      <c r="BG2" t="str">
        <f>AN2</f>
        <v>COR</v>
      </c>
      <c r="BH2" t="str">
        <f>AO2</f>
        <v>σCOR</v>
      </c>
    </row>
    <row r="3" spans="1:60" x14ac:dyDescent="0.25">
      <c r="A3" t="s">
        <v>28</v>
      </c>
      <c r="B3">
        <v>709.5</v>
      </c>
      <c r="C3">
        <v>696.5</v>
      </c>
      <c r="D3">
        <v>637.74300000000005</v>
      </c>
      <c r="E3">
        <v>608</v>
      </c>
      <c r="F3">
        <v>798</v>
      </c>
      <c r="G3">
        <v>203</v>
      </c>
      <c r="H3">
        <v>203</v>
      </c>
      <c r="I3">
        <v>192</v>
      </c>
      <c r="K3">
        <f>(I3-I4)/240</f>
        <v>0.46666666666666667</v>
      </c>
      <c r="L3">
        <f>1/240</f>
        <v>4.1666666666666666E-3</v>
      </c>
      <c r="N3">
        <f>B3-B4</f>
        <v>81</v>
      </c>
      <c r="O3">
        <f>ABS(N3)*$AQ$3+$AR$3</f>
        <v>1.1056531592889378</v>
      </c>
      <c r="P3">
        <f>C3-C4</f>
        <v>237</v>
      </c>
      <c r="Q3">
        <f>ABS(P3)*$AQ$3+$AR$3</f>
        <v>2.326758326796722</v>
      </c>
      <c r="R3">
        <f>SQRT(N3^2+P3^2)</f>
        <v>250.45957757690161</v>
      </c>
      <c r="S3">
        <f>ABS(R3)*$AQ$3+$AR$3</f>
        <v>2.4321144789225322</v>
      </c>
      <c r="U3">
        <f>IFERROR(DEGREES(ATAN2(N3, P3)), 90)</f>
        <v>71.131000544938587</v>
      </c>
      <c r="V3">
        <f>N3^2+P3^2</f>
        <v>62730</v>
      </c>
      <c r="W3">
        <f>DEGREES(SQRT(((P3/V3)^2)*O3^2+((N3/V3)^2)*Q3^2))</f>
        <v>0.2948150029316105</v>
      </c>
      <c r="X3" s="5">
        <f>U3-$U$3</f>
        <v>0</v>
      </c>
      <c r="Y3" s="5">
        <f>SQRT($W$3^2+W3^2)</f>
        <v>0.41693137553694737</v>
      </c>
      <c r="AA3">
        <f>N3/K3</f>
        <v>173.57142857142856</v>
      </c>
      <c r="AB3">
        <f>ABS(AA3)*SQRT((L3/K3)^2+(O3/N3)^2)</f>
        <v>2.8310928791706149</v>
      </c>
      <c r="AC3">
        <f>P3/K3</f>
        <v>507.85714285714283</v>
      </c>
      <c r="AD3">
        <f>ABS(AC3)*SQRT((L3/K3)^2+(Q3/P3)^2)</f>
        <v>6.7394688603779453</v>
      </c>
      <c r="AE3">
        <f>R3/K3</f>
        <v>536.69909480764625</v>
      </c>
      <c r="AF3">
        <f>ABS(AE3)*SQRT((L3/K3)^2+(S3/R3)^2)</f>
        <v>7.0798579734745513</v>
      </c>
      <c r="AG3">
        <f>AF3/AE3</f>
        <v>1.3191484841262837E-2</v>
      </c>
      <c r="AH3" s="5">
        <f>AE3*COS(RADIANS(X13))</f>
        <v>523.15699750762258</v>
      </c>
      <c r="AI3" s="5">
        <f>SQRT(COS(RADIANS(X13))^2*AF3^2+(AE3*SIN(RADIANS(X13)))^2*Y13^2)</f>
        <v>40.506942516606067</v>
      </c>
      <c r="AL3">
        <f>AH3</f>
        <v>523.15699750762258</v>
      </c>
      <c r="AM3">
        <f>AI3</f>
        <v>40.506942516606067</v>
      </c>
      <c r="AN3">
        <f>AL5/AL3</f>
        <v>0.78271539347020358</v>
      </c>
      <c r="AO3">
        <f>ABS(AN3)*SQRT((AM3/AL3)^2+(AM5/AL5)^2)</f>
        <v>0.8856138574130491</v>
      </c>
      <c r="AQ3">
        <f>AS3*0.003913798613807</f>
        <v>7.8275972276139992E-3</v>
      </c>
      <c r="AR3">
        <f>AS3*0.235808891926102</f>
        <v>0.47161778385220399</v>
      </c>
      <c r="AS3">
        <v>2</v>
      </c>
      <c r="AU3">
        <v>1.6</v>
      </c>
      <c r="AV3">
        <v>1</v>
      </c>
      <c r="AW3">
        <v>12</v>
      </c>
      <c r="AX3">
        <v>0.2</v>
      </c>
      <c r="AY3">
        <v>7.07</v>
      </c>
      <c r="AZ3">
        <v>16.425000000000001</v>
      </c>
      <c r="BA3" s="1">
        <f>AE3</f>
        <v>536.69909480764625</v>
      </c>
      <c r="BB3" s="1">
        <f>AF3</f>
        <v>7.0798579734745513</v>
      </c>
      <c r="BC3" s="1">
        <f>X13</f>
        <v>12.89830378477879</v>
      </c>
      <c r="BD3" s="1">
        <f>Y13</f>
        <v>0.33317067543628631</v>
      </c>
      <c r="BE3">
        <f>AH3</f>
        <v>523.15699750762258</v>
      </c>
      <c r="BF3">
        <f>AI3</f>
        <v>40.506942516606067</v>
      </c>
      <c r="BG3">
        <f>AN3</f>
        <v>0.78271539347020358</v>
      </c>
      <c r="BH3">
        <f>AO3</f>
        <v>0.8856138574130491</v>
      </c>
    </row>
    <row r="4" spans="1:60" x14ac:dyDescent="0.25">
      <c r="A4" t="s">
        <v>1</v>
      </c>
      <c r="B4">
        <v>628.5</v>
      </c>
      <c r="C4">
        <v>459.5</v>
      </c>
      <c r="D4">
        <v>637.74300000000005</v>
      </c>
      <c r="E4">
        <v>527</v>
      </c>
      <c r="F4">
        <v>561</v>
      </c>
      <c r="G4">
        <v>203</v>
      </c>
      <c r="H4">
        <v>203</v>
      </c>
      <c r="I4">
        <v>80</v>
      </c>
      <c r="L4">
        <f t="shared" ref="L4:L8" si="0">1/240</f>
        <v>4.1666666666666666E-3</v>
      </c>
      <c r="AQ4">
        <f>AS3*0.000205630802414239</f>
        <v>4.11261604828478E-4</v>
      </c>
      <c r="AR4">
        <f>AS3*0.0272049920008763</f>
        <v>5.44099840017526E-2</v>
      </c>
    </row>
    <row r="5" spans="1:60" x14ac:dyDescent="0.25">
      <c r="A5" t="s">
        <v>53</v>
      </c>
      <c r="B5">
        <v>713</v>
      </c>
      <c r="C5">
        <v>698</v>
      </c>
      <c r="D5">
        <v>634.60199999999998</v>
      </c>
      <c r="E5">
        <v>612</v>
      </c>
      <c r="F5">
        <v>799</v>
      </c>
      <c r="G5">
        <v>202</v>
      </c>
      <c r="H5">
        <v>202</v>
      </c>
      <c r="I5">
        <v>208</v>
      </c>
      <c r="K5">
        <f>(I5-I6)/240</f>
        <v>5.8333333333333334E-2</v>
      </c>
      <c r="L5">
        <f t="shared" si="0"/>
        <v>4.1666666666666666E-3</v>
      </c>
      <c r="N5">
        <f>B5-B6</f>
        <v>3</v>
      </c>
      <c r="O5">
        <f>ABS(N5)*$AQ$3+$AR$3</f>
        <v>0.49510057553504599</v>
      </c>
      <c r="P5">
        <f>C5-C6</f>
        <v>0</v>
      </c>
      <c r="Q5">
        <f>ABS(P5)*$AQ$3+$AR$3</f>
        <v>0.47161778385220399</v>
      </c>
      <c r="R5">
        <f>SQRT(N5^2+P5^2)</f>
        <v>3</v>
      </c>
      <c r="S5">
        <f>ABS(R5)*$AQ$3+$AR$3</f>
        <v>0.49510057553504599</v>
      </c>
      <c r="U5">
        <f>IFERROR(DEGREES(ATAN2(N5, P5)), 90)</f>
        <v>0</v>
      </c>
      <c r="V5">
        <f>N5^2+P5^2</f>
        <v>9</v>
      </c>
      <c r="W5">
        <f>DEGREES(SQRT(((P5/V5)^2)*O5^2+((N5/V5)^2)*Q5^2))</f>
        <v>9.0072361860147989</v>
      </c>
      <c r="X5" s="5">
        <f>U5-$U$3</f>
        <v>-71.131000544938587</v>
      </c>
      <c r="Y5" s="5">
        <f>SQRT($W$3^2+W5^2)</f>
        <v>9.0120596756017974</v>
      </c>
      <c r="AA5">
        <f>N5/K5</f>
        <v>51.428571428571431</v>
      </c>
      <c r="AB5">
        <f>ABS(AA5)*SQRT((L5/K5)^2+(O5/N5)^2)</f>
        <v>9.2482965229961209</v>
      </c>
      <c r="AC5">
        <f>P5/K5</f>
        <v>0</v>
      </c>
      <c r="AD5" s="4">
        <f>SQRT((L5/K5*P5/K5)^2+(Q5/K5)^2)</f>
        <v>8.0848762946092112</v>
      </c>
      <c r="AE5">
        <f>R5/K5</f>
        <v>51.428571428571431</v>
      </c>
      <c r="AF5">
        <f>ABS(AE5)*SQRT((L5/K5)^2+(S5/R5)^2)</f>
        <v>9.2482965229961209</v>
      </c>
      <c r="AG5">
        <f>AF5/AE5</f>
        <v>0.1798279879471468</v>
      </c>
      <c r="AH5">
        <f>AE5*COS(RADIANS(X14))</f>
        <v>5.3495894260096835</v>
      </c>
      <c r="AI5">
        <f>SQRT(COS(RADIANS(X14))^2*AF5^2+(AE5*SIN(RADIANS(X14)))^2*Y14^2)</f>
        <v>460.78576616091726</v>
      </c>
      <c r="AL5">
        <f>AH7-AH5</f>
        <v>409.48303515086911</v>
      </c>
      <c r="AM5">
        <f>SQRT(AI5^2+AI7^2)</f>
        <v>462.22898719712532</v>
      </c>
    </row>
    <row r="6" spans="1:60" x14ac:dyDescent="0.25">
      <c r="A6" t="s">
        <v>20</v>
      </c>
      <c r="B6">
        <v>710</v>
      </c>
      <c r="C6">
        <v>698</v>
      </c>
      <c r="D6">
        <v>634.60199999999998</v>
      </c>
      <c r="E6">
        <v>609</v>
      </c>
      <c r="F6">
        <v>799</v>
      </c>
      <c r="G6">
        <v>202</v>
      </c>
      <c r="H6">
        <v>202</v>
      </c>
      <c r="I6">
        <v>194</v>
      </c>
      <c r="L6">
        <f t="shared" si="0"/>
        <v>4.1666666666666666E-3</v>
      </c>
    </row>
    <row r="7" spans="1:60" x14ac:dyDescent="0.25">
      <c r="A7" t="s">
        <v>2</v>
      </c>
      <c r="B7">
        <v>755</v>
      </c>
      <c r="C7">
        <v>1037</v>
      </c>
      <c r="D7">
        <v>634.60199999999998</v>
      </c>
      <c r="E7">
        <v>654</v>
      </c>
      <c r="F7">
        <v>1138</v>
      </c>
      <c r="G7">
        <v>202</v>
      </c>
      <c r="H7">
        <v>202</v>
      </c>
      <c r="I7">
        <v>233</v>
      </c>
      <c r="K7">
        <f>(I7-I8)/240</f>
        <v>0.16250000000000001</v>
      </c>
      <c r="L7">
        <f t="shared" si="0"/>
        <v>4.1666666666666666E-3</v>
      </c>
      <c r="N7">
        <f>B7-B8</f>
        <v>17</v>
      </c>
      <c r="O7">
        <f>ABS(N7)*$AQ$3+$AR$3</f>
        <v>0.60468693672164198</v>
      </c>
      <c r="P7">
        <f>C7-C8</f>
        <v>66</v>
      </c>
      <c r="Q7">
        <f>ABS(P7)*$AQ$3+$AR$3</f>
        <v>0.98823920087472794</v>
      </c>
      <c r="R7">
        <f>SQRT(N7^2+P7^2)</f>
        <v>68.154236845554948</v>
      </c>
      <c r="S7">
        <f>ABS(R7)*$AQ$3+$AR$3</f>
        <v>1.0051016992346178</v>
      </c>
      <c r="U7">
        <f>IFERROR(DEGREES(ATAN2(N7, P7)), 90)</f>
        <v>75.555964275507762</v>
      </c>
      <c r="V7">
        <f>N7^2+P7^2</f>
        <v>4645</v>
      </c>
      <c r="W7">
        <f>DEGREES(SQRT(((P7/V7)^2)*O7^2+((N7/V7)^2)*Q7^2))</f>
        <v>0.53411805387230249</v>
      </c>
      <c r="X7">
        <f>U7-$U$3</f>
        <v>4.4249637305691749</v>
      </c>
      <c r="Y7">
        <f>SQRT($W$3^2+W7^2)</f>
        <v>0.6100803073578932</v>
      </c>
      <c r="AA7">
        <f>N7/K7</f>
        <v>104.61538461538461</v>
      </c>
      <c r="AB7">
        <f>ABS(AA7)*SQRT((L7/K7)^2+(O7/N7)^2)</f>
        <v>4.587207800092691</v>
      </c>
      <c r="AC7">
        <f>P7/K7</f>
        <v>406.15384615384613</v>
      </c>
      <c r="AD7">
        <f>ABS(AC7)*SQRT((L7/K7)^2+(Q7/P7)^2)</f>
        <v>12.059846103547585</v>
      </c>
      <c r="AE7">
        <f>R7/K7</f>
        <v>419.41068828033815</v>
      </c>
      <c r="AF7">
        <f>ABS(AE7)*SQRT((L7/K7)^2+(S7/R7)^2)</f>
        <v>12.405978823353419</v>
      </c>
      <c r="AG7">
        <f>AF7/AE7</f>
        <v>2.9579548566633435E-2</v>
      </c>
      <c r="AH7">
        <f>AE7*COS(RADIANS(X15))</f>
        <v>414.8326245768788</v>
      </c>
      <c r="AI7">
        <f>SQRT(COS(RADIANS(X15))^2*AF7^2+(AE7*SIN(RADIANS(X15)))^2*Y15^2)</f>
        <v>36.498141168787235</v>
      </c>
    </row>
    <row r="8" spans="1:60" x14ac:dyDescent="0.25">
      <c r="A8" t="s">
        <v>31</v>
      </c>
      <c r="B8">
        <v>738</v>
      </c>
      <c r="C8">
        <v>971</v>
      </c>
      <c r="D8">
        <v>634.60199999999998</v>
      </c>
      <c r="E8">
        <v>637</v>
      </c>
      <c r="F8">
        <v>1072</v>
      </c>
      <c r="G8">
        <v>202</v>
      </c>
      <c r="H8">
        <v>202</v>
      </c>
      <c r="I8">
        <v>194</v>
      </c>
      <c r="L8">
        <f t="shared" si="0"/>
        <v>4.1666666666666666E-3</v>
      </c>
    </row>
    <row r="10" spans="1:60" x14ac:dyDescent="0.25">
      <c r="AE10" t="s">
        <v>102</v>
      </c>
      <c r="AF10" t="s">
        <v>103</v>
      </c>
      <c r="AG10" s="1" t="s">
        <v>105</v>
      </c>
      <c r="AH10" s="1" t="s">
        <v>36</v>
      </c>
      <c r="AI10" t="s">
        <v>106</v>
      </c>
      <c r="AJ10" s="1" t="s">
        <v>104</v>
      </c>
      <c r="AK10" t="s">
        <v>107</v>
      </c>
    </row>
    <row r="11" spans="1:60" x14ac:dyDescent="0.25">
      <c r="U11">
        <f>U7-U5</f>
        <v>75.555964275507762</v>
      </c>
      <c r="W11">
        <f>SQRT(W5^2+W7^2)</f>
        <v>9.0230585616035288</v>
      </c>
      <c r="AA11">
        <f>SUM(AA3:AA4)-SUM(AA5:AA7)</f>
        <v>17.527472527472526</v>
      </c>
      <c r="AB11">
        <f>SQRT(SUMPRODUCT(AB3:AB7,AB3:AB7))</f>
        <v>10.704604190206377</v>
      </c>
      <c r="AC11">
        <f>SUM(AC3:AC4)-SUM(AC5:AC7)</f>
        <v>101.7032967032967</v>
      </c>
      <c r="AD11">
        <f>SQRT(SUMPRODUCT(AD3:AD7,AD3:AD7))</f>
        <v>16.007046987511149</v>
      </c>
      <c r="AE11">
        <f>SQRT(AA11^2+AC11^2)</f>
        <v>103.20258162236111</v>
      </c>
      <c r="AF11">
        <f>SQRT((AA11/AE11)^2*AB11^2+(AC11/AE11)^2*AD11^2)</f>
        <v>15.878921781164015</v>
      </c>
      <c r="AG11">
        <f>IF(DEGREES(ATAN(AC11/AA11))&lt;0, 180+DEGREES(ATAN(AC11/AA11)), DEGREES(ATAN(AC11/AA11)))</f>
        <v>80.221739277807586</v>
      </c>
      <c r="AH11">
        <f>AA11^2+AC11^2</f>
        <v>10650.772853520106</v>
      </c>
      <c r="AI11">
        <f>DEGREES(SQRT(((AC11/AH11)^2)*AB11^2+((AA11/AH11)^2)*AD11^2))</f>
        <v>6.0479719025781407</v>
      </c>
      <c r="AJ11">
        <f>AG11-U3</f>
        <v>9.0907387328689993</v>
      </c>
      <c r="AK11">
        <f>SQRT(AI11^2+W3^2)</f>
        <v>6.0551531789318274</v>
      </c>
    </row>
    <row r="12" spans="1:60" x14ac:dyDescent="0.25">
      <c r="X12" t="s">
        <v>32</v>
      </c>
    </row>
    <row r="13" spans="1:60" x14ac:dyDescent="0.25">
      <c r="A13" t="s">
        <v>29</v>
      </c>
      <c r="B13">
        <v>738</v>
      </c>
      <c r="C13">
        <v>969</v>
      </c>
      <c r="D13">
        <v>634.60199999999998</v>
      </c>
      <c r="E13">
        <v>637</v>
      </c>
      <c r="F13">
        <v>1070</v>
      </c>
      <c r="G13">
        <v>202</v>
      </c>
      <c r="H13">
        <v>202</v>
      </c>
      <c r="I13">
        <v>192</v>
      </c>
      <c r="K13">
        <f>(I13-I14)/240</f>
        <v>0</v>
      </c>
      <c r="N13">
        <f>B13-B14</f>
        <v>28.5</v>
      </c>
      <c r="O13">
        <f>ABS(N13)*$AQ$3+$AR$3</f>
        <v>0.69470430483920298</v>
      </c>
      <c r="P13">
        <f>C13-C14</f>
        <v>272.5</v>
      </c>
      <c r="Q13">
        <f>ABS(P13)*$AQ$3+$AR$3</f>
        <v>2.6046380283770185</v>
      </c>
      <c r="R13">
        <f>SQRT(N13^2+P13^2)</f>
        <v>273.98631352678916</v>
      </c>
      <c r="S13">
        <f>ABS(R13)*$AQ$3+$AR$3</f>
        <v>2.6162722920186789</v>
      </c>
      <c r="U13">
        <f>IF(DEGREES(ATAN(P13/N13))&lt;0, 180+DEGREES(ATAN(P13/N13)), DEGREES(ATAN(P13/N13)))</f>
        <v>84.029304329717377</v>
      </c>
      <c r="V13">
        <f>N13^2+P13^2</f>
        <v>75068.5</v>
      </c>
      <c r="W13">
        <f>DEGREES(SQRT(((P13/V13)^2)*O13^2+((N13/V13)^2)*Q13^2))</f>
        <v>0.15519926873895296</v>
      </c>
      <c r="X13">
        <f>U13-$U$3</f>
        <v>12.89830378477879</v>
      </c>
      <c r="Y13">
        <f>SQRT($W$3^2+W13^2)</f>
        <v>0.33317067543628631</v>
      </c>
    </row>
    <row r="14" spans="1:60" x14ac:dyDescent="0.25">
      <c r="A14" t="s">
        <v>28</v>
      </c>
      <c r="B14">
        <v>709.5</v>
      </c>
      <c r="C14">
        <v>696.5</v>
      </c>
      <c r="D14">
        <v>637.74300000000005</v>
      </c>
      <c r="E14">
        <v>608</v>
      </c>
      <c r="F14">
        <v>798</v>
      </c>
      <c r="G14">
        <v>203</v>
      </c>
      <c r="H14">
        <v>203</v>
      </c>
      <c r="I14">
        <v>192</v>
      </c>
      <c r="X14">
        <f>U13-U5</f>
        <v>84.029304329717377</v>
      </c>
      <c r="Y14">
        <f>SQRT($W$5^2+W13^2)</f>
        <v>9.0085731680256398</v>
      </c>
    </row>
    <row r="15" spans="1:60" x14ac:dyDescent="0.25">
      <c r="X15">
        <f>U13-U7</f>
        <v>8.4733400542096149</v>
      </c>
      <c r="Y15">
        <f>SQRT($W$7^2+W13^2)</f>
        <v>0.55620941064444562</v>
      </c>
    </row>
    <row r="18" spans="1:60" x14ac:dyDescent="0.25">
      <c r="A18" t="s">
        <v>28</v>
      </c>
      <c r="B18">
        <v>446</v>
      </c>
      <c r="C18">
        <v>617</v>
      </c>
      <c r="D18">
        <v>628.31899999999996</v>
      </c>
      <c r="E18">
        <v>346</v>
      </c>
      <c r="F18">
        <v>717</v>
      </c>
      <c r="G18">
        <v>200</v>
      </c>
      <c r="H18">
        <v>200</v>
      </c>
      <c r="I18">
        <v>212</v>
      </c>
      <c r="K18">
        <f>(I18-I19)/240</f>
        <v>0.36666666666666664</v>
      </c>
      <c r="L18">
        <f>1/240</f>
        <v>4.1666666666666666E-3</v>
      </c>
      <c r="N18">
        <f>B18-B19</f>
        <v>60</v>
      </c>
      <c r="O18">
        <f>ABS(N18)*$AQ$18+$AR$18</f>
        <v>1.7300199005225916</v>
      </c>
      <c r="P18">
        <f>C18-C19</f>
        <v>181</v>
      </c>
      <c r="Q18">
        <f>ABS(P18)*$AQ$18+$AR$18</f>
        <v>3.840284388524621</v>
      </c>
      <c r="R18">
        <f>SQRT(N18^2+P18^2)</f>
        <v>190.68560512005095</v>
      </c>
      <c r="S18">
        <f>ABS(R18)*$AQ$18+$AR$18</f>
        <v>4.0092033019928373</v>
      </c>
      <c r="U18">
        <f>IFERROR(DEGREES(ATAN2(N18, P18)), 90)</f>
        <v>71.660068966444626</v>
      </c>
      <c r="V18">
        <f>N18^2+P18^2</f>
        <v>36361</v>
      </c>
      <c r="W18">
        <f>DEGREES(SQRT(((P18/V18)^2)*O18^2+((N18/V18)^2)*Q18^2))</f>
        <v>0.61260881312728588</v>
      </c>
      <c r="X18">
        <f>U18-$U$18</f>
        <v>0</v>
      </c>
      <c r="Y18">
        <f>SQRT($W$18^2+W18^2)</f>
        <v>0.86635969195389262</v>
      </c>
      <c r="AA18">
        <f>N18/K18</f>
        <v>163.63636363636365</v>
      </c>
      <c r="AB18">
        <f>ABS(AA18)*SQRT((L18/K18)^2+(O18/N18)^2)</f>
        <v>5.0714403714124554</v>
      </c>
      <c r="AC18">
        <f>P18/K18</f>
        <v>493.63636363636368</v>
      </c>
      <c r="AD18">
        <f>ABS(AC18)*SQRT((L18/K18)^2+(Q18/P18)^2)</f>
        <v>11.881111022993146</v>
      </c>
      <c r="AE18">
        <f>R18/K18</f>
        <v>520.05165032741172</v>
      </c>
      <c r="AF18">
        <f>ABS(AE18)*SQRT((L18/K18)^2+(S18/R18)^2)</f>
        <v>12.429031386016103</v>
      </c>
      <c r="AG18">
        <f>AF18/AE18</f>
        <v>2.3899609544919414E-2</v>
      </c>
      <c r="AH18">
        <f>AE18*COS(RADIANS(X28))</f>
        <v>505.44442109075999</v>
      </c>
      <c r="AI18">
        <f>SQRT(COS(RADIANS(X28))^2*AF18^2+(AE18*SIN(RADIANS(X28)))^2*Y28^2)</f>
        <v>81.740188484188977</v>
      </c>
      <c r="AJ18">
        <f>(AE3-AE18)/AE18</f>
        <v>3.2011136720273274E-2</v>
      </c>
      <c r="AL18">
        <f>AH18</f>
        <v>505.44442109075999</v>
      </c>
      <c r="AM18">
        <f>AI18</f>
        <v>81.740188484188977</v>
      </c>
      <c r="AN18">
        <f>AL20/AL18</f>
        <v>0.7286528697922382</v>
      </c>
      <c r="AO18">
        <f>ABS(AN18)*SQRT((AM18/AL18)^2+(AM20/AL20)^2)</f>
        <v>1.2669773515833129</v>
      </c>
      <c r="AQ18">
        <f>AS3*0.00872010119009103</f>
        <v>1.7440202380182061E-2</v>
      </c>
      <c r="AR18">
        <f>AS3*0.341803878855834</f>
        <v>0.68360775771166804</v>
      </c>
      <c r="AU18">
        <v>1.6</v>
      </c>
      <c r="AV18">
        <v>2</v>
      </c>
      <c r="AW18">
        <v>12</v>
      </c>
      <c r="AX18">
        <v>0.2</v>
      </c>
      <c r="AY18">
        <v>7.07</v>
      </c>
      <c r="AZ18">
        <v>16.425000000000001</v>
      </c>
      <c r="BA18" s="1">
        <f>AE18</f>
        <v>520.05165032741172</v>
      </c>
      <c r="BB18" s="1">
        <f>AF18</f>
        <v>12.429031386016103</v>
      </c>
      <c r="BC18" s="1">
        <f>X28</f>
        <v>13.611943214713165</v>
      </c>
      <c r="BD18" s="1">
        <f>Y28</f>
        <v>0.66052553425827876</v>
      </c>
      <c r="BE18">
        <f>AH18</f>
        <v>505.44442109075999</v>
      </c>
      <c r="BF18">
        <f>AI18</f>
        <v>81.740188484188977</v>
      </c>
      <c r="BG18">
        <f>AN18</f>
        <v>0.7286528697922382</v>
      </c>
      <c r="BH18">
        <f>AO18</f>
        <v>1.2669773515833129</v>
      </c>
    </row>
    <row r="19" spans="1:60" x14ac:dyDescent="0.25">
      <c r="A19" t="s">
        <v>1</v>
      </c>
      <c r="B19">
        <v>386</v>
      </c>
      <c r="C19">
        <v>436</v>
      </c>
      <c r="D19">
        <v>628.31899999999996</v>
      </c>
      <c r="E19">
        <v>286</v>
      </c>
      <c r="F19">
        <v>536</v>
      </c>
      <c r="G19">
        <v>200</v>
      </c>
      <c r="H19">
        <v>200</v>
      </c>
      <c r="I19">
        <v>124</v>
      </c>
      <c r="L19">
        <f t="shared" ref="L19:L23" si="1">1/240</f>
        <v>4.1666666666666666E-3</v>
      </c>
      <c r="AQ19">
        <f>AS3*0.00051291753818516</f>
        <v>1.0258350763703199E-3</v>
      </c>
      <c r="AR19">
        <f>AS3*0.0676280548663656</f>
        <v>0.13525610973273119</v>
      </c>
    </row>
    <row r="20" spans="1:60" x14ac:dyDescent="0.25">
      <c r="A20" t="s">
        <v>4</v>
      </c>
      <c r="B20">
        <v>449</v>
      </c>
      <c r="C20">
        <v>618</v>
      </c>
      <c r="D20">
        <v>628.31899999999996</v>
      </c>
      <c r="E20">
        <v>349</v>
      </c>
      <c r="F20">
        <v>718</v>
      </c>
      <c r="G20">
        <v>200</v>
      </c>
      <c r="H20">
        <v>200</v>
      </c>
      <c r="I20">
        <v>228</v>
      </c>
      <c r="K20">
        <f>(I20-I21)/240</f>
        <v>5.8333333333333334E-2</v>
      </c>
      <c r="L20">
        <f t="shared" si="1"/>
        <v>4.1666666666666666E-3</v>
      </c>
      <c r="N20">
        <f>B20-B21</f>
        <v>3</v>
      </c>
      <c r="O20">
        <f>ABS(N20)*$AQ$18+$AR$18</f>
        <v>0.73592836485221425</v>
      </c>
      <c r="P20">
        <f>C20-C21</f>
        <v>1</v>
      </c>
      <c r="Q20">
        <f>ABS(P20)*$AQ$18+$AR$18</f>
        <v>0.70104796009185011</v>
      </c>
      <c r="R20">
        <f>SQRT(N20^2+P20^2)</f>
        <v>3.1622776601683795</v>
      </c>
      <c r="S20">
        <f>ABS(R20)*$AQ$18+$AR$18</f>
        <v>0.73875852008733323</v>
      </c>
      <c r="U20">
        <f>IFERROR(DEGREES(ATAN2(N20, P20)), 90)</f>
        <v>18.43494882292201</v>
      </c>
      <c r="V20">
        <f>N20^2+P20^2</f>
        <v>10</v>
      </c>
      <c r="W20">
        <f>DEGREES(SQRT(((P20/V20)^2)*O20^2+((N20/V20)^2)*Q20^2))</f>
        <v>12.766554948323321</v>
      </c>
      <c r="X20">
        <f>U20-$U$18</f>
        <v>-53.225120143522616</v>
      </c>
      <c r="Y20">
        <f>SQRT($W$18^2+W20^2)</f>
        <v>12.781244650130125</v>
      </c>
      <c r="AA20">
        <f>N20/K20</f>
        <v>51.428571428571431</v>
      </c>
      <c r="AB20">
        <f>ABS(AA20)*SQRT((L20/K20)^2+(O20/N20)^2)</f>
        <v>13.139850997656643</v>
      </c>
      <c r="AC20">
        <f>P20/K20</f>
        <v>17.142857142857142</v>
      </c>
      <c r="AD20">
        <f>ABS(AC20)*SQRT((L20/K20)^2+(Q20/P20)^2)</f>
        <v>12.080184548512509</v>
      </c>
      <c r="AE20">
        <f>R20/K20</f>
        <v>54.210474174315074</v>
      </c>
      <c r="AF20">
        <f>ABS(AE20)*SQRT((L20/K20)^2+(S20/R20)^2)</f>
        <v>13.243171249144682</v>
      </c>
      <c r="AG20">
        <f>AF20/AE20</f>
        <v>0.24429174344723401</v>
      </c>
      <c r="AH20">
        <f>AE20*COS(RADIANS(X29))</f>
        <v>21.32354143190366</v>
      </c>
      <c r="AI20">
        <f>SQRT(COS(RADIANS(X29))^2*AF20^2+(AE20*SIN(RADIANS(X29)))^2*Y29^2)</f>
        <v>636.43272174748995</v>
      </c>
      <c r="AJ20">
        <f>(AE5-AE20)/AE20</f>
        <v>-5.1316701949486156E-2</v>
      </c>
      <c r="AL20">
        <f>AH22-AH20</f>
        <v>368.29352794825877</v>
      </c>
      <c r="AM20">
        <f>SQRT(AI20^2+AI22^2)</f>
        <v>637.61086946495573</v>
      </c>
    </row>
    <row r="21" spans="1:60" x14ac:dyDescent="0.25">
      <c r="A21" t="s">
        <v>20</v>
      </c>
      <c r="B21">
        <v>446</v>
      </c>
      <c r="C21">
        <v>617</v>
      </c>
      <c r="D21">
        <v>628.31899999999996</v>
      </c>
      <c r="E21">
        <v>346</v>
      </c>
      <c r="F21">
        <v>717</v>
      </c>
      <c r="G21">
        <v>200</v>
      </c>
      <c r="H21">
        <v>200</v>
      </c>
      <c r="I21">
        <v>214</v>
      </c>
      <c r="L21">
        <f t="shared" si="1"/>
        <v>4.1666666666666666E-3</v>
      </c>
    </row>
    <row r="22" spans="1:60" x14ac:dyDescent="0.25">
      <c r="A22" t="s">
        <v>2</v>
      </c>
      <c r="B22">
        <v>490</v>
      </c>
      <c r="C22">
        <v>982</v>
      </c>
      <c r="D22">
        <v>634.60199999999998</v>
      </c>
      <c r="E22">
        <v>389</v>
      </c>
      <c r="F22">
        <v>1083</v>
      </c>
      <c r="G22">
        <v>202</v>
      </c>
      <c r="H22">
        <v>202</v>
      </c>
      <c r="I22">
        <v>274</v>
      </c>
      <c r="K22">
        <f>(I22-I23)/240</f>
        <v>0.25</v>
      </c>
      <c r="L22">
        <f t="shared" si="1"/>
        <v>4.1666666666666666E-3</v>
      </c>
      <c r="N22">
        <f>B22-B23</f>
        <v>21</v>
      </c>
      <c r="O22">
        <f>ABS(N22)*$AQ$18+$AR$18</f>
        <v>1.0498520076954914</v>
      </c>
      <c r="P22">
        <f>C22-C23</f>
        <v>96</v>
      </c>
      <c r="Q22">
        <f>ABS(P22)*$AQ$18+$AR$18</f>
        <v>2.357867186209146</v>
      </c>
      <c r="R22">
        <f>SQRT(N22^2+P22^2)</f>
        <v>98.270036124955197</v>
      </c>
      <c r="S22">
        <f>ABS(R22)*$AQ$18+$AR$18</f>
        <v>2.3974570756386888</v>
      </c>
      <c r="U22">
        <f>IFERROR(DEGREES(ATAN2(N22, P22)), 90)</f>
        <v>77.66091272167381</v>
      </c>
      <c r="V22">
        <f>N22^2+P22^2</f>
        <v>9657</v>
      </c>
      <c r="W22">
        <f>DEGREES(SQRT(((P22/V22)^2)*O22^2+((N22/V22)^2)*Q22^2))</f>
        <v>0.66623874789495507</v>
      </c>
      <c r="X22">
        <f>U22-$U$18</f>
        <v>6.0008437552291838</v>
      </c>
      <c r="Y22">
        <f>SQRT($W$18^2+W22^2)</f>
        <v>0.90507658632728938</v>
      </c>
      <c r="AA22">
        <f>N22/K22</f>
        <v>84</v>
      </c>
      <c r="AB22">
        <f>ABS(AA22)*SQRT((L22/K22)^2+(O22/N22)^2)</f>
        <v>4.4266271368838002</v>
      </c>
      <c r="AC22">
        <f>P22/K22</f>
        <v>384</v>
      </c>
      <c r="AD22">
        <f>ABS(AC22)*SQRT((L22/K22)^2+(Q22/P22)^2)</f>
        <v>11.397920980811779</v>
      </c>
      <c r="AE22">
        <f>R22/K22</f>
        <v>393.08014449982079</v>
      </c>
      <c r="AF22">
        <f>ABS(AE22)*SQRT((L22/K22)^2+(S22/R22)^2)</f>
        <v>11.613991857775698</v>
      </c>
      <c r="AG22">
        <f>AF22/AE22</f>
        <v>2.9546116791409172E-2</v>
      </c>
      <c r="AH22">
        <f>AE22*COS(RADIANS(X30))</f>
        <v>389.61706938016243</v>
      </c>
      <c r="AI22">
        <f>SQRT(COS(RADIANS(X30))^2*AF22^2+(AE22*SIN(RADIANS(X30)))^2*Y30^2)</f>
        <v>38.742890301819251</v>
      </c>
      <c r="AJ22">
        <f>(AE7-AE22)/AE22</f>
        <v>6.6985178846980312E-2</v>
      </c>
    </row>
    <row r="23" spans="1:60" x14ac:dyDescent="0.25">
      <c r="A23" t="s">
        <v>31</v>
      </c>
      <c r="B23">
        <v>469</v>
      </c>
      <c r="C23">
        <v>886</v>
      </c>
      <c r="D23">
        <v>634.60199999999998</v>
      </c>
      <c r="E23">
        <v>368</v>
      </c>
      <c r="F23">
        <v>987</v>
      </c>
      <c r="G23">
        <v>202</v>
      </c>
      <c r="H23">
        <v>202</v>
      </c>
      <c r="I23">
        <v>214</v>
      </c>
      <c r="L23">
        <f t="shared" si="1"/>
        <v>4.1666666666666666E-3</v>
      </c>
    </row>
    <row r="25" spans="1:60" x14ac:dyDescent="0.25">
      <c r="AE25" t="s">
        <v>102</v>
      </c>
      <c r="AF25" t="s">
        <v>103</v>
      </c>
      <c r="AG25" s="1" t="s">
        <v>105</v>
      </c>
      <c r="AH25" s="1" t="s">
        <v>36</v>
      </c>
      <c r="AI25" t="s">
        <v>106</v>
      </c>
      <c r="AJ25" s="1" t="s">
        <v>104</v>
      </c>
      <c r="AK25" t="s">
        <v>107</v>
      </c>
    </row>
    <row r="26" spans="1:60" x14ac:dyDescent="0.25">
      <c r="U26">
        <f>U22-U20</f>
        <v>59.2259638987518</v>
      </c>
      <c r="W26">
        <f>SQRT(W20^2+W22^2)</f>
        <v>12.783927382371793</v>
      </c>
      <c r="AA26">
        <f>SUM(AA18:AA19)-SUM(AA20:AA22)</f>
        <v>28.20779220779221</v>
      </c>
      <c r="AB26">
        <f>SQRT(SUMPRODUCT(AB18:AB22,AB18:AB22))</f>
        <v>14.763814530479799</v>
      </c>
      <c r="AC26">
        <f>SUM(AC18:AC19)-SUM(AC20:AC22)</f>
        <v>92.493506493506516</v>
      </c>
      <c r="AD26">
        <f>SQRT(SUMPRODUCT(AD18:AD22,AD18:AD22))</f>
        <v>20.420682176451376</v>
      </c>
      <c r="AE26">
        <f>SQRT(AA26^2+AC26^2)</f>
        <v>96.699163826282984</v>
      </c>
      <c r="AF26">
        <f>SQRT((AA26/AE26)^2*AB26^2+(AC26/AE26)^2*AD26^2)</f>
        <v>20.001697404356747</v>
      </c>
      <c r="AG26">
        <f>IF(DEGREES(ATAN(AC26/AA26))&lt;0, 180+DEGREES(ATAN(AC26/AA26)), DEGREES(ATAN(AC26/AA26)))</f>
        <v>73.039839771572446</v>
      </c>
      <c r="AH26">
        <f>AA26^2+AC26^2</f>
        <v>9350.7282847023162</v>
      </c>
      <c r="AI26">
        <f>DEGREES(SQRT(((AC26/AH26)^2)*AB26^2+((AA26/AH26)^2)*AD26^2))</f>
        <v>9.0812891863130289</v>
      </c>
      <c r="AJ26">
        <f>AG26-U18</f>
        <v>1.3797708051278192</v>
      </c>
      <c r="AK26">
        <f>SQRT(AI26^2+W18^2)</f>
        <v>9.1019285233057712</v>
      </c>
    </row>
    <row r="27" spans="1:60" x14ac:dyDescent="0.25">
      <c r="X27" t="s">
        <v>32</v>
      </c>
    </row>
    <row r="28" spans="1:60" x14ac:dyDescent="0.25">
      <c r="A28" t="s">
        <v>29</v>
      </c>
      <c r="B28">
        <v>468</v>
      </c>
      <c r="C28">
        <v>883</v>
      </c>
      <c r="D28">
        <v>634.60199999999998</v>
      </c>
      <c r="E28">
        <v>367</v>
      </c>
      <c r="F28">
        <v>984</v>
      </c>
      <c r="G28">
        <v>202</v>
      </c>
      <c r="H28">
        <v>202</v>
      </c>
      <c r="I28">
        <v>212</v>
      </c>
      <c r="K28">
        <f>(I28-I29)/240</f>
        <v>0</v>
      </c>
      <c r="N28">
        <f>B28-B29</f>
        <v>22</v>
      </c>
      <c r="O28">
        <f>ABS(N28)*$AQ$18+$AR$18</f>
        <v>1.0672922100756734</v>
      </c>
      <c r="P28">
        <f>C28-C29</f>
        <v>266</v>
      </c>
      <c r="Q28">
        <f>ABS(P28)*$AQ$18+$AR$18</f>
        <v>5.3227015908400963</v>
      </c>
      <c r="R28">
        <f>SQRT(N28^2+P28^2)</f>
        <v>266.90822392725181</v>
      </c>
      <c r="S28">
        <f>ABS(R28)*$AQ$18+$AR$18</f>
        <v>5.3385411999378913</v>
      </c>
      <c r="U28">
        <f>IF(DEGREES(ATAN(P28/N28))&lt;0, 180+DEGREES(ATAN(P28/N28)), DEGREES(ATAN(P28/N28)))</f>
        <v>85.272012181157791</v>
      </c>
      <c r="V28">
        <f>N28^2+P28^2</f>
        <v>71240</v>
      </c>
      <c r="W28">
        <f>DEGREES(SQRT(((P28/V28)^2)*O28^2+((N28/V28)^2)*Q28^2))</f>
        <v>0.24699073562780177</v>
      </c>
      <c r="X28">
        <f>U28-$U$18</f>
        <v>13.611943214713165</v>
      </c>
      <c r="Y28">
        <f>SQRT($W$18^2+W28^2)</f>
        <v>0.66052553425827876</v>
      </c>
    </row>
    <row r="29" spans="1:60" x14ac:dyDescent="0.25">
      <c r="A29" t="s">
        <v>28</v>
      </c>
      <c r="B29">
        <v>446</v>
      </c>
      <c r="C29">
        <v>617</v>
      </c>
      <c r="D29">
        <v>628.31899999999996</v>
      </c>
      <c r="E29">
        <v>346</v>
      </c>
      <c r="F29">
        <v>717</v>
      </c>
      <c r="G29">
        <v>200</v>
      </c>
      <c r="H29">
        <v>200</v>
      </c>
      <c r="I29">
        <v>212</v>
      </c>
      <c r="X29">
        <f>U28-U20</f>
        <v>66.837063358235781</v>
      </c>
      <c r="Y29">
        <f>SQRT($W$20^2+W28^2)</f>
        <v>12.768943952889943</v>
      </c>
    </row>
    <row r="30" spans="1:60" x14ac:dyDescent="0.25">
      <c r="X30">
        <f>U28-U22</f>
        <v>7.6110994594839809</v>
      </c>
      <c r="Y30">
        <f>SQRT($W$22^2+W28^2)</f>
        <v>0.71054802278424523</v>
      </c>
    </row>
    <row r="37" spans="14:33" x14ac:dyDescent="0.25">
      <c r="N37">
        <f>B37-B38</f>
        <v>0</v>
      </c>
      <c r="O37">
        <f>N37*$AQ$3+$AR$3</f>
        <v>0.47161778385220399</v>
      </c>
      <c r="P37">
        <f>C37-C38</f>
        <v>0</v>
      </c>
      <c r="Q37">
        <f>P37*$AQ$3+$AR$3</f>
        <v>0.47161778385220399</v>
      </c>
      <c r="R37">
        <f>SQRT(N37^2+P37^2)</f>
        <v>0</v>
      </c>
      <c r="S37">
        <f>R37*$AQ$3+$AR$3</f>
        <v>0.47161778385220399</v>
      </c>
      <c r="W37">
        <f>(496-246)/4</f>
        <v>62.5</v>
      </c>
      <c r="AA37" t="e">
        <f>N37/K37</f>
        <v>#DIV/0!</v>
      </c>
      <c r="AC37" t="e">
        <f>P37/K37</f>
        <v>#DIV/0!</v>
      </c>
      <c r="AE37" t="e">
        <f>R37/K37</f>
        <v>#DIV/0!</v>
      </c>
      <c r="AF37" t="e">
        <f>ABS(AE37)*SQRT((L37/K37)^2+(S37/R37)^2)</f>
        <v>#DIV/0!</v>
      </c>
      <c r="AG37" t="e">
        <f>AF37/AE37</f>
        <v>#DIV/0!</v>
      </c>
    </row>
    <row r="40" spans="14:33" x14ac:dyDescent="0.25">
      <c r="N40">
        <f>B40-B41</f>
        <v>0</v>
      </c>
      <c r="O40">
        <f>N40*$AQ$3+$AR$3</f>
        <v>0.47161778385220399</v>
      </c>
      <c r="P40">
        <f>C40-C41</f>
        <v>0</v>
      </c>
      <c r="Q40">
        <f>P40*$AQ$3+$AR$3</f>
        <v>0.47161778385220399</v>
      </c>
      <c r="R40">
        <f>SQRT(N40^2+P40^2)</f>
        <v>0</v>
      </c>
      <c r="S40">
        <f>R40*$AQ$3+$AR$3</f>
        <v>0.47161778385220399</v>
      </c>
      <c r="AA40" t="e">
        <f>N40/K40</f>
        <v>#DIV/0!</v>
      </c>
      <c r="AC40" t="e">
        <f>P40/K40</f>
        <v>#DIV/0!</v>
      </c>
      <c r="AE40" t="e">
        <f>R40/K40</f>
        <v>#DIV/0!</v>
      </c>
      <c r="AF40" t="e">
        <f>ABS(AE40)*SQRT((L40/K40)^2+(S40/R40)^2)</f>
        <v>#DIV/0!</v>
      </c>
      <c r="AG40" t="e">
        <f>AF40/AE40</f>
        <v>#DIV/0!</v>
      </c>
    </row>
    <row r="43" spans="14:33" x14ac:dyDescent="0.25">
      <c r="N43">
        <f>B43-B44</f>
        <v>0</v>
      </c>
      <c r="O43">
        <f>N43*$AQ$3+$AR$3</f>
        <v>0.47161778385220399</v>
      </c>
      <c r="P43">
        <f>C43-C44</f>
        <v>0</v>
      </c>
      <c r="Q43">
        <f>P43*$AQ$3+$AR$3</f>
        <v>0.47161778385220399</v>
      </c>
      <c r="R43">
        <f>SQRT(N43^2+P43^2)</f>
        <v>0</v>
      </c>
      <c r="S43">
        <f>R43*$AQ$3+$AR$3</f>
        <v>0.47161778385220399</v>
      </c>
      <c r="AA43" t="e">
        <f>N43/K43</f>
        <v>#DIV/0!</v>
      </c>
      <c r="AC43" t="e">
        <f>P43/K43</f>
        <v>#DIV/0!</v>
      </c>
      <c r="AE43" t="e">
        <f>R43/K43</f>
        <v>#DIV/0!</v>
      </c>
      <c r="AF43" t="e">
        <f>ABS(AE43)*SQRT((L43/K43)^2+(S43/R43)^2)</f>
        <v>#DIV/0!</v>
      </c>
      <c r="AG43" t="e">
        <f>AF43/AE43</f>
        <v>#DIV/0!</v>
      </c>
    </row>
    <row r="46" spans="14:33" x14ac:dyDescent="0.25">
      <c r="N46">
        <f>B46-B47</f>
        <v>0</v>
      </c>
      <c r="O46">
        <f>N46*$AQ$3+$AR$3</f>
        <v>0.47161778385220399</v>
      </c>
      <c r="P46">
        <f>C46-C47</f>
        <v>0</v>
      </c>
      <c r="Q46">
        <f>P46*$AQ$3+$AR$3</f>
        <v>0.47161778385220399</v>
      </c>
      <c r="R46">
        <f>SQRT(N46^2+P46^2)</f>
        <v>0</v>
      </c>
      <c r="S46">
        <f>R46*$AQ$3+$AR$3</f>
        <v>0.47161778385220399</v>
      </c>
      <c r="AA46" t="e">
        <f>N46/K46</f>
        <v>#DIV/0!</v>
      </c>
      <c r="AC46" t="e">
        <f>P46/K46</f>
        <v>#DIV/0!</v>
      </c>
      <c r="AE46" t="e">
        <f>R46/K46</f>
        <v>#DIV/0!</v>
      </c>
      <c r="AF46" t="e">
        <f>ABS(AE46)*SQRT((L46/K46)^2+(S46/R46)^2)</f>
        <v>#DIV/0!</v>
      </c>
      <c r="AG46" t="e">
        <f>AF46/AE46</f>
        <v>#DIV/0!</v>
      </c>
    </row>
    <row r="49" spans="14:33" x14ac:dyDescent="0.25">
      <c r="N49">
        <f>B49-B50</f>
        <v>0</v>
      </c>
      <c r="O49">
        <f>N49*$AQ$3+$AR$3</f>
        <v>0.47161778385220399</v>
      </c>
      <c r="P49">
        <f>C49-C50</f>
        <v>0</v>
      </c>
      <c r="Q49">
        <f>P49*$AQ$3+$AR$3</f>
        <v>0.47161778385220399</v>
      </c>
      <c r="R49">
        <f>SQRT(N49^2+P49^2)</f>
        <v>0</v>
      </c>
      <c r="S49">
        <f>R49*$AQ$3+$AR$3</f>
        <v>0.47161778385220399</v>
      </c>
      <c r="AA49" t="e">
        <f>N49/K49</f>
        <v>#DIV/0!</v>
      </c>
      <c r="AC49" t="e">
        <f>P49/K49</f>
        <v>#DIV/0!</v>
      </c>
      <c r="AE49" t="e">
        <f>R49/K49</f>
        <v>#DIV/0!</v>
      </c>
      <c r="AF49" t="e">
        <f>ABS(AE49)*SQRT((L49/K49)^2+(S49/R49)^2)</f>
        <v>#DIV/0!</v>
      </c>
      <c r="AG49" t="e">
        <f>AF49/AE49</f>
        <v>#DIV/0!</v>
      </c>
    </row>
    <row r="52" spans="14:33" x14ac:dyDescent="0.25">
      <c r="N52">
        <f>B52-B54</f>
        <v>0</v>
      </c>
      <c r="O52">
        <f>N52*$AQ$3+$AR$3</f>
        <v>0.47161778385220399</v>
      </c>
      <c r="P52">
        <f>C52-C54</f>
        <v>0</v>
      </c>
      <c r="Q52">
        <f>P52*$AQ$3+$AR$3</f>
        <v>0.47161778385220399</v>
      </c>
      <c r="R52">
        <f>SQRT(N52^2+P52^2)</f>
        <v>0</v>
      </c>
      <c r="S52">
        <f>R52*$AQ$3+$AR$3</f>
        <v>0.47161778385220399</v>
      </c>
      <c r="AA52" t="e">
        <f>N52/K52</f>
        <v>#DIV/0!</v>
      </c>
      <c r="AC52" t="e">
        <f>P52/K52</f>
        <v>#DIV/0!</v>
      </c>
      <c r="AE52" t="e">
        <f>R52/K52</f>
        <v>#DIV/0!</v>
      </c>
      <c r="AF52" t="e">
        <f>ABS(AE52)*SQRT((L52/K52)^2+(S52/R52)^2)</f>
        <v>#DIV/0!</v>
      </c>
      <c r="AG52" t="e">
        <f>AF52/AE52</f>
        <v>#DIV/0!</v>
      </c>
    </row>
    <row r="54" spans="14:33" x14ac:dyDescent="0.25">
      <c r="N54">
        <f>B54-B55</f>
        <v>0</v>
      </c>
      <c r="O54">
        <f>N54*$AQ$3+$AR$3</f>
        <v>0.47161778385220399</v>
      </c>
      <c r="P54">
        <f>C54-C55</f>
        <v>0</v>
      </c>
      <c r="Q54">
        <f>P54*$AQ$3+$AR$3</f>
        <v>0.47161778385220399</v>
      </c>
      <c r="R54">
        <f>SQRT(N54^2+P54^2)</f>
        <v>0</v>
      </c>
      <c r="S54">
        <f>R54*$AQ$3+$AR$3</f>
        <v>0.47161778385220399</v>
      </c>
      <c r="AA54" t="e">
        <f>N54/K54</f>
        <v>#DIV/0!</v>
      </c>
      <c r="AC54" t="e">
        <f>P54/K54</f>
        <v>#DIV/0!</v>
      </c>
      <c r="AE54" t="e">
        <f>R54/K54</f>
        <v>#DIV/0!</v>
      </c>
      <c r="AF54" t="e">
        <f>ABS(AE54)*SQRT((L54/K54)^2+(S54/R54)^2)</f>
        <v>#DIV/0!</v>
      </c>
      <c r="AG54" t="e">
        <f>AF54/AE54</f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54CC-F857-4F21-9319-3A3FCE4BE9AC}">
  <dimension ref="A1:BH55"/>
  <sheetViews>
    <sheetView zoomScaleNormal="100" workbookViewId="0">
      <pane xSplit="1" ySplit="2" topLeftCell="AR3" activePane="bottomRight" state="frozen"/>
      <selection pane="topRight" activeCell="B1" sqref="B1"/>
      <selection pane="bottomLeft" activeCell="A3" sqref="A3"/>
      <selection pane="bottomRight" activeCell="BC3" sqref="BC3"/>
    </sheetView>
  </sheetViews>
  <sheetFormatPr defaultRowHeight="15" x14ac:dyDescent="0.25"/>
  <cols>
    <col min="1" max="1" width="14.7109375" customWidth="1"/>
    <col min="12" max="13" width="8.28515625" customWidth="1"/>
    <col min="18" max="18" width="12" bestFit="1" customWidth="1"/>
    <col min="19" max="20" width="12" customWidth="1"/>
    <col min="25" max="25" width="7.7109375" customWidth="1"/>
    <col min="26" max="26" width="5.7109375" customWidth="1"/>
  </cols>
  <sheetData>
    <row r="1" spans="1:60" s="2" customFormat="1" x14ac:dyDescent="0.25">
      <c r="A1" s="2" t="s">
        <v>172</v>
      </c>
      <c r="K1" s="2" t="s">
        <v>48</v>
      </c>
      <c r="N1" s="2" t="s">
        <v>49</v>
      </c>
      <c r="U1" s="2" t="s">
        <v>51</v>
      </c>
      <c r="AA1" s="2" t="s">
        <v>50</v>
      </c>
      <c r="AL1" s="2" t="s">
        <v>101</v>
      </c>
      <c r="AQ1" s="2" t="s">
        <v>97</v>
      </c>
    </row>
    <row r="2" spans="1:60" ht="18" x14ac:dyDescent="0.35">
      <c r="A2" t="s">
        <v>14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K2" s="2" t="s">
        <v>15</v>
      </c>
      <c r="L2" s="1" t="s">
        <v>45</v>
      </c>
      <c r="M2" s="1"/>
      <c r="N2" s="2" t="s">
        <v>41</v>
      </c>
      <c r="O2" s="1" t="s">
        <v>43</v>
      </c>
      <c r="P2" s="2" t="s">
        <v>42</v>
      </c>
      <c r="Q2" s="1" t="s">
        <v>44</v>
      </c>
      <c r="R2" s="2" t="s">
        <v>17</v>
      </c>
      <c r="S2" s="1" t="s">
        <v>33</v>
      </c>
      <c r="T2" s="1"/>
      <c r="U2" s="2" t="s">
        <v>37</v>
      </c>
      <c r="V2" t="s">
        <v>36</v>
      </c>
      <c r="W2" s="1" t="s">
        <v>35</v>
      </c>
      <c r="X2" s="2" t="s">
        <v>38</v>
      </c>
      <c r="Y2" s="1" t="s">
        <v>47</v>
      </c>
      <c r="Z2" s="1"/>
      <c r="AA2" s="2" t="s">
        <v>18</v>
      </c>
      <c r="AB2" t="s">
        <v>99</v>
      </c>
      <c r="AC2" s="2" t="s">
        <v>19</v>
      </c>
      <c r="AD2" t="s">
        <v>100</v>
      </c>
      <c r="AE2" s="2" t="s">
        <v>16</v>
      </c>
      <c r="AF2" t="s">
        <v>40</v>
      </c>
      <c r="AG2" s="1" t="s">
        <v>39</v>
      </c>
      <c r="AH2" s="3" t="s">
        <v>224</v>
      </c>
      <c r="AI2" s="1" t="s">
        <v>225</v>
      </c>
      <c r="AL2" s="3" t="s">
        <v>226</v>
      </c>
      <c r="AM2" s="1" t="s">
        <v>227</v>
      </c>
      <c r="AN2" t="s">
        <v>180</v>
      </c>
      <c r="AO2" t="s">
        <v>181</v>
      </c>
      <c r="AP2" s="2"/>
      <c r="AQ2" t="s">
        <v>30</v>
      </c>
      <c r="AR2" t="s">
        <v>34</v>
      </c>
      <c r="AU2" t="s">
        <v>108</v>
      </c>
      <c r="AV2" t="s">
        <v>61</v>
      </c>
      <c r="AW2" t="s">
        <v>112</v>
      </c>
      <c r="AX2" s="1" t="s">
        <v>109</v>
      </c>
      <c r="AY2" s="1" t="s">
        <v>110</v>
      </c>
      <c r="AZ2" s="1" t="s">
        <v>111</v>
      </c>
      <c r="BA2" s="1" t="str">
        <f>AE2</f>
        <v>v</v>
      </c>
      <c r="BB2" s="1" t="str">
        <f>AF2</f>
        <v>σv</v>
      </c>
      <c r="BC2" s="1" t="str">
        <f>X12</f>
        <v>collision angle</v>
      </c>
      <c r="BD2" s="1"/>
      <c r="BE2" t="str">
        <f>AH2</f>
        <v>vn</v>
      </c>
      <c r="BF2" t="str">
        <f>AI2</f>
        <v>σvn</v>
      </c>
      <c r="BG2" t="str">
        <f>AN2</f>
        <v>COR</v>
      </c>
      <c r="BH2" t="str">
        <f>AO2</f>
        <v>σCOR</v>
      </c>
    </row>
    <row r="3" spans="1:60" x14ac:dyDescent="0.25">
      <c r="A3" t="s">
        <v>28</v>
      </c>
      <c r="B3">
        <v>693.5</v>
      </c>
      <c r="C3">
        <v>697.5</v>
      </c>
      <c r="D3">
        <v>637.74300000000005</v>
      </c>
      <c r="E3">
        <v>592</v>
      </c>
      <c r="F3">
        <v>799</v>
      </c>
      <c r="G3">
        <v>203</v>
      </c>
      <c r="H3">
        <v>203</v>
      </c>
      <c r="I3">
        <v>55</v>
      </c>
      <c r="K3">
        <f>(I3-I4)/240</f>
        <v>8.3333333333333329E-2</v>
      </c>
      <c r="L3">
        <f>1/240</f>
        <v>4.1666666666666666E-3</v>
      </c>
      <c r="N3">
        <f>B3-B4</f>
        <v>35</v>
      </c>
      <c r="O3">
        <f>ABS(N3)*$AQ$3+$AR$3</f>
        <v>0.74558368681869402</v>
      </c>
      <c r="P3">
        <f>C3-C4</f>
        <v>230</v>
      </c>
      <c r="Q3">
        <f>ABS(P3)*$AQ$3+$AR$3</f>
        <v>2.2719651462034238</v>
      </c>
      <c r="R3">
        <f>SQRT(N3^2+P3^2)</f>
        <v>232.64780248263682</v>
      </c>
      <c r="S3">
        <f>ABS(R3)*$AQ$3+$AR$3</f>
        <v>2.2926910775757809</v>
      </c>
      <c r="U3">
        <f>IFERROR(DEGREES(ATAN2(N3, P3)), 90)</f>
        <v>81.347458208885271</v>
      </c>
      <c r="V3">
        <f>N3^2+P3^2</f>
        <v>54125</v>
      </c>
      <c r="W3">
        <f>DEGREES(SQRT(((P3/V3)^2)*O3^2+((N3/V3)^2)*Q3^2))</f>
        <v>0.20009753554684978</v>
      </c>
      <c r="X3">
        <f>U3-$U$3</f>
        <v>0</v>
      </c>
      <c r="Y3">
        <f>SQRT($W$3^2+W3^2)</f>
        <v>0.28298064856778743</v>
      </c>
      <c r="AA3">
        <f>N3/K3</f>
        <v>420</v>
      </c>
      <c r="AB3">
        <f>ABS(AA3)*SQRT((L3/K3)^2+(O3/N3)^2)</f>
        <v>22.826495239156245</v>
      </c>
      <c r="AC3">
        <f>P3/K3</f>
        <v>2760</v>
      </c>
      <c r="AD3">
        <f>ABS(AC3)*SQRT((L3/K3)^2+(Q3/P3)^2)</f>
        <v>140.66734834381822</v>
      </c>
      <c r="AE3">
        <f>R3/K3</f>
        <v>2791.7736297916422</v>
      </c>
      <c r="AF3">
        <f>ABS(AE3)*SQRT((L3/K3)^2+(S3/R3)^2)</f>
        <v>142.27412365682022</v>
      </c>
      <c r="AG3">
        <f>AF3/AE3</f>
        <v>5.0961912577216564E-2</v>
      </c>
      <c r="AH3" s="5">
        <f>AE3*COS(RADIANS(X13))</f>
        <v>2790.9502064686017</v>
      </c>
      <c r="AI3" s="5">
        <f>SQRT(COS(RADIANS(X13))^2*AF3^2+(AE3*SIN(RADIANS(X13)))^2*Y13^2)</f>
        <v>143.50429961869398</v>
      </c>
      <c r="AL3">
        <f>AH3</f>
        <v>2790.9502064686017</v>
      </c>
      <c r="AM3">
        <f>AI3</f>
        <v>143.50429961869398</v>
      </c>
      <c r="AN3">
        <f>AL5/AL3</f>
        <v>0.10241824194136331</v>
      </c>
      <c r="AO3">
        <f>ABS(AN3)*SQRT((AM3/AL3)^2+(AM5/AL5)^2)</f>
        <v>5.6560587969526961E-2</v>
      </c>
      <c r="AQ3">
        <f>AS3*0.003913798613807</f>
        <v>7.8275972276139992E-3</v>
      </c>
      <c r="AR3">
        <f>AS3*0.235808891926102</f>
        <v>0.47161778385220399</v>
      </c>
      <c r="AS3">
        <v>2</v>
      </c>
      <c r="AU3">
        <v>1.7</v>
      </c>
      <c r="AV3">
        <v>1</v>
      </c>
      <c r="AW3">
        <v>6.56</v>
      </c>
      <c r="AX3">
        <v>0.2</v>
      </c>
      <c r="AY3">
        <v>11.726000000000001</v>
      </c>
      <c r="AZ3">
        <v>21.123999999999999</v>
      </c>
      <c r="BA3" s="1">
        <f>AE3</f>
        <v>2791.7736297916422</v>
      </c>
      <c r="BB3" s="1">
        <f>AF3</f>
        <v>142.27412365682022</v>
      </c>
      <c r="BC3" s="1">
        <f>X13</f>
        <v>-1.3916171969597571</v>
      </c>
      <c r="BD3" s="1">
        <f>Y13</f>
        <v>0.28120011332193179</v>
      </c>
      <c r="BE3">
        <f>AH3</f>
        <v>2790.9502064686017</v>
      </c>
      <c r="BF3">
        <f>AI3</f>
        <v>143.50429961869398</v>
      </c>
      <c r="BG3">
        <f>AN3</f>
        <v>0.10241824194136331</v>
      </c>
      <c r="BH3">
        <f>AO3</f>
        <v>5.6560587969526961E-2</v>
      </c>
    </row>
    <row r="4" spans="1:60" x14ac:dyDescent="0.25">
      <c r="A4" t="s">
        <v>1</v>
      </c>
      <c r="B4">
        <v>658.5</v>
      </c>
      <c r="C4">
        <v>467.5</v>
      </c>
      <c r="D4">
        <v>637.74300000000005</v>
      </c>
      <c r="E4">
        <v>557</v>
      </c>
      <c r="F4">
        <v>569</v>
      </c>
      <c r="G4">
        <v>203</v>
      </c>
      <c r="H4">
        <v>203</v>
      </c>
      <c r="I4">
        <v>35</v>
      </c>
      <c r="L4">
        <f t="shared" ref="L4:L8" si="0">1/240</f>
        <v>4.1666666666666666E-3</v>
      </c>
      <c r="AQ4">
        <f>AS3*0.000205630802414239</f>
        <v>4.11261604828478E-4</v>
      </c>
      <c r="AR4">
        <f>AS3*0.0272049920008763</f>
        <v>5.44099840017526E-2</v>
      </c>
    </row>
    <row r="5" spans="1:60" x14ac:dyDescent="0.25">
      <c r="A5" t="s">
        <v>56</v>
      </c>
      <c r="B5">
        <v>684.5</v>
      </c>
      <c r="C5">
        <v>686.5</v>
      </c>
      <c r="D5">
        <v>644.02599999999995</v>
      </c>
      <c r="E5">
        <v>582</v>
      </c>
      <c r="F5">
        <v>789</v>
      </c>
      <c r="G5">
        <v>205</v>
      </c>
      <c r="H5">
        <v>205</v>
      </c>
      <c r="I5">
        <v>89</v>
      </c>
      <c r="K5">
        <f>(I5-I6)/240</f>
        <v>0.13333333333333333</v>
      </c>
      <c r="L5">
        <f t="shared" si="0"/>
        <v>4.1666666666666666E-3</v>
      </c>
      <c r="N5">
        <f>B5-B6</f>
        <v>-9</v>
      </c>
      <c r="O5">
        <f>ABS(N5)*$AQ$3+$AR$3</f>
        <v>0.54206615890072996</v>
      </c>
      <c r="P5">
        <f>C5-C6</f>
        <v>-11</v>
      </c>
      <c r="Q5">
        <f>ABS(P5)*$AQ$3+$AR$3</f>
        <v>0.55772135335595796</v>
      </c>
      <c r="R5">
        <f>SQRT(N5^2+P5^2)</f>
        <v>14.212670403551895</v>
      </c>
      <c r="S5">
        <f>ABS(R5)*$AQ$3+$AR$3</f>
        <v>0.5828688433000383</v>
      </c>
      <c r="U5">
        <f>IFERROR(DEGREES(ATAN2(N5, P5)), 90)</f>
        <v>-129.28940686250036</v>
      </c>
      <c r="V5">
        <f>N5^2+P5^2</f>
        <v>202</v>
      </c>
      <c r="W5">
        <f>DEGREES(SQRT(((P5/V5)^2)*O5^2+((N5/V5)^2)*Q5^2))</f>
        <v>2.2107638018486395</v>
      </c>
      <c r="X5">
        <f>U5-$U$3</f>
        <v>-210.63686507138561</v>
      </c>
      <c r="Y5">
        <f>SQRT($W$3^2+W5^2)</f>
        <v>2.2198008044183095</v>
      </c>
      <c r="AA5">
        <f>N5/K5</f>
        <v>-67.5</v>
      </c>
      <c r="AB5">
        <f>ABS(AA5)*SQRT((L5/K5)^2+(O5/N5)^2)</f>
        <v>4.5801443400621418</v>
      </c>
      <c r="AC5">
        <f>P5/K5</f>
        <v>-82.5</v>
      </c>
      <c r="AD5">
        <f>ABS(AC5)*SQRT((L5/K5)^2+(Q5/P5)^2)</f>
        <v>4.9136000895491661</v>
      </c>
      <c r="AE5">
        <f>R5/K5</f>
        <v>106.59502802663921</v>
      </c>
      <c r="AF5">
        <f>ABS(AE5)*SQRT((L5/K5)^2+(S5/R5)^2)</f>
        <v>5.4960300566689275</v>
      </c>
      <c r="AG5">
        <f>AF5/AE5</f>
        <v>5.1559910048481927E-2</v>
      </c>
      <c r="AH5">
        <f>AE5*COS(RADIANS(X14))</f>
        <v>-93.008055915846512</v>
      </c>
      <c r="AI5">
        <f>SQRT(COS(RADIANS(X14))^2*AF5^2+(AE5*SIN(RADIANS(X14)))^2*Y14^2)</f>
        <v>115.68795214609884</v>
      </c>
      <c r="AL5">
        <f>AH7-AH5</f>
        <v>285.84421349239915</v>
      </c>
      <c r="AM5">
        <f>SQRT(AI5^2+AI7^2)</f>
        <v>157.17208692211062</v>
      </c>
    </row>
    <row r="6" spans="1:60" x14ac:dyDescent="0.25">
      <c r="A6" t="s">
        <v>20</v>
      </c>
      <c r="B6">
        <v>693.5</v>
      </c>
      <c r="C6">
        <v>697.5</v>
      </c>
      <c r="D6">
        <v>644.02599999999995</v>
      </c>
      <c r="E6">
        <v>591</v>
      </c>
      <c r="F6">
        <v>800</v>
      </c>
      <c r="G6">
        <v>205</v>
      </c>
      <c r="H6">
        <v>205</v>
      </c>
      <c r="I6">
        <v>57</v>
      </c>
      <c r="L6">
        <f t="shared" si="0"/>
        <v>4.1666666666666666E-3</v>
      </c>
    </row>
    <row r="7" spans="1:60" x14ac:dyDescent="0.25">
      <c r="A7" t="s">
        <v>58</v>
      </c>
      <c r="B7">
        <v>756.5</v>
      </c>
      <c r="C7">
        <v>993.5</v>
      </c>
      <c r="D7">
        <v>644.02599999999995</v>
      </c>
      <c r="E7">
        <v>654</v>
      </c>
      <c r="F7">
        <v>1096</v>
      </c>
      <c r="G7">
        <v>205</v>
      </c>
      <c r="H7">
        <v>205</v>
      </c>
      <c r="I7">
        <v>87</v>
      </c>
      <c r="K7">
        <f>(I7-I8)/240</f>
        <v>0.125</v>
      </c>
      <c r="L7">
        <f t="shared" si="0"/>
        <v>4.1666666666666666E-3</v>
      </c>
      <c r="N7">
        <f>B7-B8</f>
        <v>14</v>
      </c>
      <c r="O7">
        <f>ABS(N7)*$AQ$3+$AR$3</f>
        <v>0.58120414503879991</v>
      </c>
      <c r="P7">
        <f>C7-C8</f>
        <v>22</v>
      </c>
      <c r="Q7">
        <f>ABS(P7)*$AQ$3+$AR$3</f>
        <v>0.64382492285971193</v>
      </c>
      <c r="R7">
        <f>SQRT(N7^2+P7^2)</f>
        <v>26.076809620810597</v>
      </c>
      <c r="S7">
        <f>ABS(R7)*$AQ$3+$AR$3</f>
        <v>0.67573654654507909</v>
      </c>
      <c r="U7">
        <f>IFERROR(DEGREES(ATAN2(N7, P7)), 90)</f>
        <v>57.528807709151508</v>
      </c>
      <c r="V7">
        <f>N7^2+P7^2</f>
        <v>680</v>
      </c>
      <c r="W7">
        <f>DEGREES(SQRT(((P7/V7)^2)*O7^2+((N7/V7)^2)*Q7^2))</f>
        <v>1.3181498867456176</v>
      </c>
      <c r="X7">
        <f>U7-$U$3</f>
        <v>-23.818650499733764</v>
      </c>
      <c r="Y7">
        <f>SQRT($W$3^2+W7^2)</f>
        <v>1.3332509694950188</v>
      </c>
      <c r="AA7">
        <f>N7/K7</f>
        <v>112</v>
      </c>
      <c r="AB7">
        <f>ABS(AA7)*SQRT((L7/K7)^2+(O7/N7)^2)</f>
        <v>5.9629578485208032</v>
      </c>
      <c r="AC7">
        <f>P7/K7</f>
        <v>176</v>
      </c>
      <c r="AD7">
        <f>ABS(AC7)*SQRT((L7/K7)^2+(Q7/P7)^2)</f>
        <v>7.8068208497875666</v>
      </c>
      <c r="AE7">
        <f>R7/K7</f>
        <v>208.61447696648477</v>
      </c>
      <c r="AF7">
        <f>ABS(AE7)*SQRT((L7/K7)^2+(S7/R7)^2)</f>
        <v>8.8079071235511108</v>
      </c>
      <c r="AG7">
        <f>AF7/AE7</f>
        <v>4.2220977429894072E-2</v>
      </c>
      <c r="AH7">
        <f>AE7*COS(RADIANS(X15))</f>
        <v>192.83615757655267</v>
      </c>
      <c r="AI7">
        <f>SQRT(COS(RADIANS(X15))^2*AF7^2+(AE7*SIN(RADIANS(X15)))^2*Y15^2)</f>
        <v>106.39249332398147</v>
      </c>
    </row>
    <row r="8" spans="1:60" x14ac:dyDescent="0.25">
      <c r="A8" t="s">
        <v>57</v>
      </c>
      <c r="B8">
        <v>742.5</v>
      </c>
      <c r="C8">
        <v>971.5</v>
      </c>
      <c r="D8">
        <v>644.02599999999995</v>
      </c>
      <c r="E8">
        <v>640</v>
      </c>
      <c r="F8">
        <v>1074</v>
      </c>
      <c r="G8">
        <v>205</v>
      </c>
      <c r="H8">
        <v>205</v>
      </c>
      <c r="I8">
        <v>57</v>
      </c>
      <c r="L8">
        <f t="shared" si="0"/>
        <v>4.1666666666666666E-3</v>
      </c>
    </row>
    <row r="10" spans="1:60" x14ac:dyDescent="0.25">
      <c r="AE10" t="s">
        <v>102</v>
      </c>
      <c r="AF10" t="s">
        <v>103</v>
      </c>
      <c r="AG10" s="1" t="s">
        <v>105</v>
      </c>
      <c r="AH10" s="1" t="s">
        <v>36</v>
      </c>
      <c r="AI10" t="s">
        <v>106</v>
      </c>
      <c r="AJ10" s="1" t="s">
        <v>104</v>
      </c>
      <c r="AK10" t="s">
        <v>107</v>
      </c>
    </row>
    <row r="11" spans="1:60" x14ac:dyDescent="0.25">
      <c r="U11">
        <f>U7-U5</f>
        <v>186.81821457165188</v>
      </c>
      <c r="W11">
        <f>SQRT(W5^2+W7^2)</f>
        <v>2.5739067021731254</v>
      </c>
      <c r="AA11">
        <f>SUM(AA3:AA4)-SUM(AA5:AA7)</f>
        <v>375.5</v>
      </c>
      <c r="AB11">
        <f>SQRT(SUMPRODUCT(AB3:AB7,AB3:AB7))</f>
        <v>24.032966387490784</v>
      </c>
      <c r="AC11">
        <f>SUM(AC3:AC4)-SUM(AC5:AC7)</f>
        <v>2666.5</v>
      </c>
      <c r="AD11">
        <f>SQRT(SUMPRODUCT(AD3:AD7,AD3:AD7))</f>
        <v>140.96947473726996</v>
      </c>
      <c r="AE11">
        <f>SQRT(AA11^2+AC11^2)</f>
        <v>2692.8094065492269</v>
      </c>
      <c r="AF11">
        <f>SQRT((AA11/AE11)^2*AB11^2+(AC11/AE11)^2*AD11^2)</f>
        <v>139.63239105670496</v>
      </c>
      <c r="AG11">
        <f>IF(DEGREES(ATAN(AC11/AA11))&lt;0, 180+DEGREES(ATAN(AC11/AA11)), DEGREES(ATAN(AC11/AA11)))</f>
        <v>81.984242308992293</v>
      </c>
      <c r="AH11">
        <f>AA11^2+AC11^2</f>
        <v>7251222.5</v>
      </c>
      <c r="AI11">
        <f>DEGREES(SQRT(((AC11/AH11)^2)*AB11^2+((AA11/AH11)^2)*AD11^2))</f>
        <v>0.6567671609752338</v>
      </c>
      <c r="AJ11">
        <f>AG11-U3</f>
        <v>0.6367841001070218</v>
      </c>
      <c r="AK11">
        <f>SQRT(AI11^2+W3^2)</f>
        <v>0.68657274011381453</v>
      </c>
    </row>
    <row r="12" spans="1:60" x14ac:dyDescent="0.25">
      <c r="X12" t="s">
        <v>32</v>
      </c>
    </row>
    <row r="13" spans="1:60" x14ac:dyDescent="0.25">
      <c r="A13" t="s">
        <v>59</v>
      </c>
      <c r="B13">
        <v>741.5</v>
      </c>
      <c r="C13">
        <v>968.5</v>
      </c>
      <c r="D13">
        <v>644.02599999999995</v>
      </c>
      <c r="E13">
        <v>639</v>
      </c>
      <c r="F13">
        <v>1071</v>
      </c>
      <c r="G13">
        <v>205</v>
      </c>
      <c r="H13">
        <v>205</v>
      </c>
      <c r="I13">
        <v>55</v>
      </c>
      <c r="K13">
        <f>(I13-I14)/240</f>
        <v>0</v>
      </c>
      <c r="N13">
        <f>B13-B14</f>
        <v>48</v>
      </c>
      <c r="O13">
        <f>ABS(N13)*$AQ$3+$AR$3</f>
        <v>0.84734245077767589</v>
      </c>
      <c r="P13">
        <f>C13-C14</f>
        <v>271</v>
      </c>
      <c r="Q13">
        <f>ABS(P13)*$AQ$3+$AR$3</f>
        <v>2.5928966325355978</v>
      </c>
      <c r="R13">
        <f>SQRT(N13^2+P13^2)</f>
        <v>275.21809533531768</v>
      </c>
      <c r="S13">
        <f>ABS(R13)*$AQ$3+$AR$3</f>
        <v>2.6259141838881419</v>
      </c>
      <c r="U13">
        <f>IF(DEGREES(ATAN(P13/N13))&lt;0, 180+DEGREES(ATAN(P13/N13)), DEGREES(ATAN(P13/N13)))</f>
        <v>79.955841011925514</v>
      </c>
      <c r="V13">
        <f>N13^2+P13^2</f>
        <v>75745</v>
      </c>
      <c r="W13">
        <f>DEGREES(SQRT(((P13/V13)^2)*O13^2+((N13/V13)^2)*Q13^2))</f>
        <v>0.19757145542902813</v>
      </c>
      <c r="X13">
        <f>U13-$U$3</f>
        <v>-1.3916171969597571</v>
      </c>
      <c r="Y13">
        <f>SQRT($W$3^2+W13^2)</f>
        <v>0.28120011332193179</v>
      </c>
    </row>
    <row r="14" spans="1:60" x14ac:dyDescent="0.25">
      <c r="A14" t="s">
        <v>28</v>
      </c>
      <c r="B14">
        <v>693.5</v>
      </c>
      <c r="C14">
        <v>697.5</v>
      </c>
      <c r="D14">
        <v>637.74300000000005</v>
      </c>
      <c r="E14">
        <v>592</v>
      </c>
      <c r="F14">
        <v>799</v>
      </c>
      <c r="G14">
        <v>203</v>
      </c>
      <c r="H14">
        <v>203</v>
      </c>
      <c r="I14">
        <v>55</v>
      </c>
      <c r="X14">
        <f>U13-U5</f>
        <v>209.24524787442587</v>
      </c>
      <c r="Y14">
        <f>SQRT($W$5^2+W13^2)</f>
        <v>2.2195745239943161</v>
      </c>
    </row>
    <row r="15" spans="1:60" x14ac:dyDescent="0.25">
      <c r="X15">
        <f>U13-U7</f>
        <v>22.427033302774007</v>
      </c>
      <c r="Y15">
        <f>SQRT($W$7^2+W13^2)</f>
        <v>1.3328741890845621</v>
      </c>
    </row>
    <row r="18" spans="1:60" x14ac:dyDescent="0.25">
      <c r="A18" t="s">
        <v>28</v>
      </c>
      <c r="B18">
        <v>429.5</v>
      </c>
      <c r="C18">
        <v>611.5</v>
      </c>
      <c r="D18">
        <v>631.46</v>
      </c>
      <c r="E18">
        <v>329</v>
      </c>
      <c r="F18">
        <v>712</v>
      </c>
      <c r="G18">
        <v>201</v>
      </c>
      <c r="H18">
        <v>201</v>
      </c>
      <c r="I18">
        <v>72</v>
      </c>
      <c r="K18">
        <f>(I18-I19)/240</f>
        <v>6.25E-2</v>
      </c>
      <c r="L18">
        <f>1/240</f>
        <v>4.1666666666666666E-3</v>
      </c>
      <c r="N18">
        <f>B18-B19</f>
        <v>23</v>
      </c>
      <c r="O18">
        <f>ABS(N18)*$AQ$18+$AR$18</f>
        <v>1.0847324124558555</v>
      </c>
      <c r="P18">
        <f>C18-C19</f>
        <v>170</v>
      </c>
      <c r="Q18">
        <f>ABS(P18)*$AQ$18+$AR$18</f>
        <v>3.6484421623426182</v>
      </c>
      <c r="R18">
        <f>SQRT(N18^2+P18^2)</f>
        <v>171.54882686862069</v>
      </c>
      <c r="S18">
        <f>ABS(R18)*$AQ$18+$AR$18</f>
        <v>3.675454016383227</v>
      </c>
      <c r="U18">
        <f>IFERROR(DEGREES(ATAN2(N18, P18)), 90)</f>
        <v>82.295002801161033</v>
      </c>
      <c r="V18">
        <f>N18^2+P18^2</f>
        <v>29429</v>
      </c>
      <c r="W18">
        <f>DEGREES(SQRT(((P18/V18)^2)*O18^2+((N18/V18)^2)*Q18^2))</f>
        <v>0.39444438797129833</v>
      </c>
      <c r="X18">
        <f>U18-$U$18</f>
        <v>0</v>
      </c>
      <c r="Y18">
        <f>SQRT($W$18^2+W18^2)</f>
        <v>0.55782860307096505</v>
      </c>
      <c r="AA18">
        <f>N18/K18</f>
        <v>368</v>
      </c>
      <c r="AB18">
        <f>ABS(AA18)*SQRT((L18/K18)^2+(O18/N18)^2)</f>
        <v>30.051712306328124</v>
      </c>
      <c r="AC18">
        <f>P18/K18</f>
        <v>2720</v>
      </c>
      <c r="AD18">
        <f>ABS(AC18)*SQRT((L18/K18)^2+(Q18/P18)^2)</f>
        <v>190.49784017683601</v>
      </c>
      <c r="AE18">
        <f>R18/K18</f>
        <v>2744.7812298979311</v>
      </c>
      <c r="AF18">
        <f>ABS(AE18)*SQRT((L18/K18)^2+(S18/R18)^2)</f>
        <v>192.20290464043049</v>
      </c>
      <c r="AG18">
        <f>AF18/AE18</f>
        <v>7.0024853910698681E-2</v>
      </c>
      <c r="AH18">
        <f>AE18*COS(RADIANS(X28))</f>
        <v>2744.1874970867948</v>
      </c>
      <c r="AI18">
        <f>SQRT(COS(RADIANS(X28))^2*AF18^2+(AE18*SIN(RADIANS(X28)))^2*Y28^2)</f>
        <v>194.4562709856385</v>
      </c>
      <c r="AJ18">
        <f>(AE3-AE18)/AE18</f>
        <v>1.7120635838601447E-2</v>
      </c>
      <c r="AL18">
        <f>AH18</f>
        <v>2744.1874970867948</v>
      </c>
      <c r="AM18">
        <f>AI18</f>
        <v>194.4562709856385</v>
      </c>
      <c r="AN18">
        <f>AL20/AL18</f>
        <v>0.10627024363368198</v>
      </c>
      <c r="AO18">
        <f>ABS(AN18)*SQRT((AM18/AL18)^2+(AM20/AL20)^2)</f>
        <v>8.3106859363046875E-2</v>
      </c>
      <c r="AQ18">
        <f>AS3*0.00872010119009103</f>
        <v>1.7440202380182061E-2</v>
      </c>
      <c r="AR18">
        <f>AS3*0.341803878855834</f>
        <v>0.68360775771166804</v>
      </c>
      <c r="AU18">
        <v>1.7</v>
      </c>
      <c r="AV18">
        <v>2</v>
      </c>
      <c r="AW18">
        <v>6.56</v>
      </c>
      <c r="AX18">
        <v>0.2</v>
      </c>
      <c r="AY18">
        <v>11.726000000000001</v>
      </c>
      <c r="AZ18">
        <v>21.123999999999999</v>
      </c>
      <c r="BA18" s="1">
        <f>AE18</f>
        <v>2744.7812298979311</v>
      </c>
      <c r="BB18" s="1">
        <f>AF18</f>
        <v>192.20290464043049</v>
      </c>
      <c r="BC18" s="1">
        <f>X28</f>
        <v>-1.1917553672215035</v>
      </c>
      <c r="BD18" s="1">
        <f>Y28</f>
        <v>0.521778045570091</v>
      </c>
      <c r="BE18">
        <f>AH18</f>
        <v>2744.1874970867948</v>
      </c>
      <c r="BF18">
        <f>AI18</f>
        <v>194.4562709856385</v>
      </c>
      <c r="BG18">
        <f>AN18</f>
        <v>0.10627024363368198</v>
      </c>
      <c r="BH18">
        <f>AO18</f>
        <v>8.3106859363046875E-2</v>
      </c>
    </row>
    <row r="19" spans="1:60" x14ac:dyDescent="0.25">
      <c r="A19" t="s">
        <v>1</v>
      </c>
      <c r="B19">
        <v>406.5</v>
      </c>
      <c r="C19">
        <v>441.5</v>
      </c>
      <c r="D19">
        <v>631.46</v>
      </c>
      <c r="E19">
        <v>306</v>
      </c>
      <c r="F19">
        <v>542</v>
      </c>
      <c r="G19">
        <v>201</v>
      </c>
      <c r="H19">
        <v>201</v>
      </c>
      <c r="I19">
        <v>57</v>
      </c>
      <c r="L19">
        <f t="shared" ref="L19:L25" si="1">1/240</f>
        <v>4.1666666666666666E-3</v>
      </c>
      <c r="AQ19">
        <f>AS3*0.00051291753818516</f>
        <v>1.0258350763703199E-3</v>
      </c>
      <c r="AR19">
        <f>AS3*0.0676280548663656</f>
        <v>0.13525610973273119</v>
      </c>
    </row>
    <row r="20" spans="1:60" x14ac:dyDescent="0.25">
      <c r="A20" t="s">
        <v>4</v>
      </c>
      <c r="B20">
        <v>423.5</v>
      </c>
      <c r="C20">
        <v>607.5</v>
      </c>
      <c r="D20">
        <v>631.46</v>
      </c>
      <c r="E20">
        <v>323</v>
      </c>
      <c r="F20">
        <v>708</v>
      </c>
      <c r="G20">
        <v>201</v>
      </c>
      <c r="H20">
        <v>201</v>
      </c>
      <c r="I20">
        <v>105</v>
      </c>
      <c r="K20">
        <f>(I20-I21)/240</f>
        <v>0.12916666666666668</v>
      </c>
      <c r="L20">
        <f t="shared" si="1"/>
        <v>4.1666666666666666E-3</v>
      </c>
      <c r="N20">
        <f>B20-B21</f>
        <v>-7</v>
      </c>
      <c r="O20">
        <f>ABS(N20)*$AQ$18+$AR$18</f>
        <v>0.80568917437294241</v>
      </c>
      <c r="P20">
        <f>C20-C21</f>
        <v>-11</v>
      </c>
      <c r="Q20">
        <f>ABS(P20)*$AQ$18+$AR$18</f>
        <v>0.87544998389367068</v>
      </c>
      <c r="R20">
        <f>SQRT(N20^2+P20^2)</f>
        <v>13.038404810405298</v>
      </c>
      <c r="S20">
        <f>ABS(R20)*$AQ$18+$AR$18</f>
        <v>0.91100017631987573</v>
      </c>
      <c r="U20">
        <f>IFERROR(DEGREES(ATAN2(N20, P20)), 90)</f>
        <v>-122.47119229084849</v>
      </c>
      <c r="V20">
        <f>N20^2+P20^2</f>
        <v>170</v>
      </c>
      <c r="W20">
        <f>DEGREES(SQRT(((P20/V20)^2)*O20^2+((N20/V20)^2)*Q20^2))</f>
        <v>3.6315246874587821</v>
      </c>
      <c r="X20">
        <f>U20-$U$18</f>
        <v>-204.76619509200953</v>
      </c>
      <c r="Y20">
        <f>SQRT($W$18^2+W20^2)</f>
        <v>3.6528835090685079</v>
      </c>
      <c r="AA20">
        <f>N20/K20</f>
        <v>-54.193548387096769</v>
      </c>
      <c r="AB20">
        <f>ABS(AA20)*SQRT((L20/K20)^2+(O20/N20)^2)</f>
        <v>6.4779397778987438</v>
      </c>
      <c r="AC20">
        <f>P20/K20</f>
        <v>-85.161290322580641</v>
      </c>
      <c r="AD20">
        <f>ABS(AC20)*SQRT((L20/K20)^2+(Q20/P20)^2)</f>
        <v>7.3132536456485644</v>
      </c>
      <c r="AE20">
        <f>R20/K20</f>
        <v>100.94248885475069</v>
      </c>
      <c r="AF20">
        <f>ABS(AE20)*SQRT((L20/K20)^2+(S20/R20)^2)</f>
        <v>7.7682921089369188</v>
      </c>
      <c r="AG20">
        <f>AF20/AE20</f>
        <v>7.6957604246463127E-2</v>
      </c>
      <c r="AH20">
        <f>AE20*COS(RADIANS(X29))</f>
        <v>-92.517953748437748</v>
      </c>
      <c r="AI20">
        <f>SQRT(COS(RADIANS(X29))^2*AF20^2+(AE20*SIN(RADIANS(X29)))^2*Y29^2)</f>
        <v>147.42720974262974</v>
      </c>
      <c r="AJ20">
        <f>(AE5-AE20)/AE20</f>
        <v>5.5997620387804543E-2</v>
      </c>
      <c r="AL20">
        <f>AH22-AH20</f>
        <v>291.62547389191764</v>
      </c>
      <c r="AM20">
        <f>SQRT(AI20^2+AI22^2)</f>
        <v>227.12263597711691</v>
      </c>
    </row>
    <row r="21" spans="1:60" x14ac:dyDescent="0.25">
      <c r="A21" t="s">
        <v>20</v>
      </c>
      <c r="B21">
        <v>430.5</v>
      </c>
      <c r="C21">
        <v>618.5</v>
      </c>
      <c r="D21">
        <v>631.46</v>
      </c>
      <c r="E21">
        <v>330</v>
      </c>
      <c r="F21">
        <v>719</v>
      </c>
      <c r="G21">
        <v>201</v>
      </c>
      <c r="H21">
        <v>201</v>
      </c>
      <c r="I21">
        <v>74</v>
      </c>
      <c r="L21">
        <f t="shared" si="1"/>
        <v>4.1666666666666666E-3</v>
      </c>
    </row>
    <row r="22" spans="1:60" x14ac:dyDescent="0.25">
      <c r="A22" t="s">
        <v>58</v>
      </c>
      <c r="B22">
        <v>487</v>
      </c>
      <c r="C22">
        <v>908</v>
      </c>
      <c r="D22">
        <v>634.60199999999998</v>
      </c>
      <c r="E22">
        <v>386</v>
      </c>
      <c r="F22">
        <v>1009</v>
      </c>
      <c r="G22">
        <v>202</v>
      </c>
      <c r="H22">
        <v>202</v>
      </c>
      <c r="I22">
        <v>104</v>
      </c>
      <c r="K22">
        <f>(I22-I23)/240</f>
        <v>0.125</v>
      </c>
      <c r="L22">
        <f t="shared" si="1"/>
        <v>4.1666666666666666E-3</v>
      </c>
      <c r="N22">
        <f>B22-B23</f>
        <v>14</v>
      </c>
      <c r="O22">
        <f>ABS(N22)*$AQ$18+$AR$18</f>
        <v>0.92777059103421688</v>
      </c>
      <c r="P22">
        <f>C22-C23</f>
        <v>23</v>
      </c>
      <c r="Q22">
        <f>ABS(P22)*$AQ$18+$AR$18</f>
        <v>1.0847324124558555</v>
      </c>
      <c r="R22">
        <f>SQRT(N22^2+P22^2)</f>
        <v>26.92582403567252</v>
      </c>
      <c r="S22">
        <f>ABS(R22)*$AQ$18+$AR$18</f>
        <v>1.1531995781469673</v>
      </c>
      <c r="U22">
        <f>IFERROR(DEGREES(ATAN2(N22, P22)), 90)</f>
        <v>58.671307132195828</v>
      </c>
      <c r="V22">
        <f>N22^2+P22^2</f>
        <v>725</v>
      </c>
      <c r="W22">
        <f>DEGREES(SQRT(((P22/V22)^2)*O22^2+((N22/V22)^2)*Q22^2))</f>
        <v>2.0698320476596392</v>
      </c>
      <c r="X22">
        <f>U22-$U$18</f>
        <v>-23.623695668965205</v>
      </c>
      <c r="Y22">
        <f>SQRT($W$18^2+W22^2)</f>
        <v>2.1070811756363224</v>
      </c>
      <c r="AA22">
        <f>N22/K22</f>
        <v>112</v>
      </c>
      <c r="AB22">
        <f>ABS(AA22)*SQRT((L22/K22)^2+(O22/N22)^2)</f>
        <v>8.3082072092244115</v>
      </c>
      <c r="AC22">
        <f>P22/K22</f>
        <v>184</v>
      </c>
      <c r="AD22">
        <f>ABS(AC22)*SQRT((L22/K22)^2+(Q22/P22)^2)</f>
        <v>10.626524351933938</v>
      </c>
      <c r="AE22">
        <f>R22/K22</f>
        <v>215.40659228538016</v>
      </c>
      <c r="AF22">
        <f>ABS(AE22)*SQRT((L22/K22)^2+(S22/R22)^2)</f>
        <v>11.690474269507183</v>
      </c>
      <c r="AG22">
        <f>AF22/AE22</f>
        <v>5.4271664323156492E-2</v>
      </c>
      <c r="AH22">
        <f>AE22*COS(RADIANS(X30))</f>
        <v>199.10752014347992</v>
      </c>
      <c r="AI22">
        <f>SQRT(COS(RADIANS(X30))^2*AF22^2+(AE22*SIN(RADIANS(X30)))^2*Y30^2)</f>
        <v>172.77126381634366</v>
      </c>
      <c r="AJ22">
        <f>(AE7-AE22)/AE22</f>
        <v>-3.1531603776995321E-2</v>
      </c>
    </row>
    <row r="23" spans="1:60" x14ac:dyDescent="0.25">
      <c r="A23" t="s">
        <v>57</v>
      </c>
      <c r="B23">
        <v>473</v>
      </c>
      <c r="C23">
        <v>885</v>
      </c>
      <c r="D23">
        <v>634.60199999999998</v>
      </c>
      <c r="E23">
        <v>372</v>
      </c>
      <c r="F23">
        <v>986</v>
      </c>
      <c r="G23">
        <v>202</v>
      </c>
      <c r="H23">
        <v>202</v>
      </c>
      <c r="I23">
        <v>74</v>
      </c>
      <c r="L23">
        <f t="shared" si="1"/>
        <v>4.1666666666666666E-3</v>
      </c>
    </row>
    <row r="24" spans="1:60" x14ac:dyDescent="0.25">
      <c r="A24" t="s">
        <v>2</v>
      </c>
      <c r="B24">
        <v>560</v>
      </c>
      <c r="C24">
        <v>1484</v>
      </c>
      <c r="D24">
        <v>634.60199999999998</v>
      </c>
      <c r="E24">
        <v>459</v>
      </c>
      <c r="F24">
        <v>1585</v>
      </c>
      <c r="G24">
        <v>202</v>
      </c>
      <c r="H24">
        <v>202</v>
      </c>
      <c r="I24">
        <v>102</v>
      </c>
      <c r="K24">
        <f>(I24-I25)/240</f>
        <v>0.11666666666666667</v>
      </c>
      <c r="L24">
        <f t="shared" si="1"/>
        <v>4.1666666666666666E-3</v>
      </c>
      <c r="N24">
        <f>B24-B25</f>
        <v>49</v>
      </c>
      <c r="O24">
        <f>ABS(N24)*$AQ$18+$AR$18</f>
        <v>1.5381776743405891</v>
      </c>
      <c r="P24">
        <f>C24-C25</f>
        <v>312</v>
      </c>
      <c r="Q24">
        <f>ABS(P24)*$AQ$18+$AR$18</f>
        <v>6.1249509003284714</v>
      </c>
      <c r="R24">
        <f>SQRT(N24^2+P24^2)</f>
        <v>315.82431825304394</v>
      </c>
      <c r="S24">
        <f>ABS(R24)*$AQ$18+$AR$18</f>
        <v>6.191647784627782</v>
      </c>
      <c r="U24">
        <f>IFERROR(DEGREES(ATAN2(N24, P24)), 90)</f>
        <v>81.074530394630884</v>
      </c>
      <c r="V24">
        <f>N24^2+P24^2</f>
        <v>99745</v>
      </c>
      <c r="W24">
        <f>DEGREES(SQRT(((P24/V24)^2)*O24^2+((N24/V24)^2)*Q24^2))</f>
        <v>0.32513969613767352</v>
      </c>
      <c r="X24">
        <f>U24-$U$18</f>
        <v>-1.2204724065301491</v>
      </c>
      <c r="Y24">
        <f>SQRT($W$18^2+W24^2)</f>
        <v>0.51117726593281787</v>
      </c>
      <c r="AA24">
        <f>N24/K24</f>
        <v>420</v>
      </c>
      <c r="AB24">
        <f>ABS(AA24)*SQRT((L24/K24)^2+(O24/N24)^2)</f>
        <v>19.970675444732564</v>
      </c>
      <c r="AC24">
        <f>P24/K24</f>
        <v>2674.2857142857142</v>
      </c>
      <c r="AD24">
        <f>ABS(AC24)*SQRT((L24/K24)^2+(Q24/P24)^2)</f>
        <v>108.98809519478657</v>
      </c>
      <c r="AE24">
        <f>R24/K24</f>
        <v>2707.065585026091</v>
      </c>
      <c r="AF24">
        <f>ABS(AE24)*SQRT((L24/K24)^2+(S24/R24)^2)</f>
        <v>110.28943029842728</v>
      </c>
      <c r="AG24">
        <f>AF24/AE24</f>
        <v>4.0741321861015901E-2</v>
      </c>
    </row>
    <row r="25" spans="1:60" x14ac:dyDescent="0.25">
      <c r="A25" t="s">
        <v>31</v>
      </c>
      <c r="B25">
        <v>511</v>
      </c>
      <c r="C25">
        <v>1172</v>
      </c>
      <c r="D25">
        <v>634.60199999999998</v>
      </c>
      <c r="E25">
        <v>410</v>
      </c>
      <c r="F25">
        <v>1273</v>
      </c>
      <c r="G25">
        <v>202</v>
      </c>
      <c r="H25">
        <v>202</v>
      </c>
      <c r="I25">
        <v>74</v>
      </c>
      <c r="L25">
        <f t="shared" si="1"/>
        <v>4.1666666666666666E-3</v>
      </c>
      <c r="AE25" t="s">
        <v>102</v>
      </c>
      <c r="AF25" t="s">
        <v>103</v>
      </c>
      <c r="AG25" s="1" t="s">
        <v>105</v>
      </c>
      <c r="AH25" s="1" t="s">
        <v>36</v>
      </c>
      <c r="AI25" t="s">
        <v>106</v>
      </c>
      <c r="AJ25" s="1" t="s">
        <v>104</v>
      </c>
      <c r="AK25" t="s">
        <v>107</v>
      </c>
    </row>
    <row r="26" spans="1:60" x14ac:dyDescent="0.25">
      <c r="U26">
        <f>U22-U20</f>
        <v>181.14249942304431</v>
      </c>
      <c r="W26">
        <f>SQRT(W20^2+W22^2)</f>
        <v>4.1799732368929705</v>
      </c>
      <c r="AA26">
        <f>SUM(AA18:AA19)-SUM(AA20:AA22)</f>
        <v>310.19354838709677</v>
      </c>
      <c r="AB26">
        <f>SQRT(SUMPRODUCT(AB18:AB22,AB18:AB22))</f>
        <v>31.844864944599852</v>
      </c>
      <c r="AC26">
        <f>SUM(AC18:AC19)-SUM(AC20:AC22)</f>
        <v>2621.1612903225805</v>
      </c>
      <c r="AD26">
        <f>SQRT(SUMPRODUCT(AD18:AD22,AD18:AD22))</f>
        <v>190.93410855770946</v>
      </c>
      <c r="AE26">
        <f>SQRT(AA26^2+AC26^2)</f>
        <v>2639.4519407154421</v>
      </c>
      <c r="AF26">
        <f>SQRT((AA26/AE26)^2*AB26^2+(AC26/AE26)^2*AD26^2)</f>
        <v>189.64791969879323</v>
      </c>
      <c r="AG26">
        <f>IF(DEGREES(ATAN(AC26/AA26))&lt;0, 180+DEGREES(ATAN(AC26/AA26)), DEGREES(ATAN(AC26/AA26)))</f>
        <v>83.250891045967862</v>
      </c>
      <c r="AH26">
        <f>AA26^2+AC26^2</f>
        <v>6966706.5473465137</v>
      </c>
      <c r="AI26">
        <f>DEGREES(SQRT(((AC26/AH26)^2)*AB26^2+((AA26/AH26)^2)*AD26^2))</f>
        <v>0.84173313554525353</v>
      </c>
      <c r="AJ26">
        <f>AG26-U18</f>
        <v>0.95588824480682888</v>
      </c>
      <c r="AK26">
        <f>SQRT(AI26^2+W18^2)</f>
        <v>0.92957035595854509</v>
      </c>
    </row>
    <row r="27" spans="1:60" x14ac:dyDescent="0.25">
      <c r="X27" t="s">
        <v>32</v>
      </c>
    </row>
    <row r="28" spans="1:60" x14ac:dyDescent="0.25">
      <c r="A28" t="s">
        <v>59</v>
      </c>
      <c r="B28">
        <v>472</v>
      </c>
      <c r="C28">
        <v>883</v>
      </c>
      <c r="D28">
        <v>634.60199999999998</v>
      </c>
      <c r="E28">
        <v>371</v>
      </c>
      <c r="F28">
        <v>984</v>
      </c>
      <c r="G28">
        <v>202</v>
      </c>
      <c r="H28">
        <v>202</v>
      </c>
      <c r="I28">
        <v>72</v>
      </c>
      <c r="K28">
        <f>(I28-I33)/240</f>
        <v>0</v>
      </c>
      <c r="N28">
        <f>B28-B29</f>
        <v>42.5</v>
      </c>
      <c r="O28">
        <f>ABS(N28)*$AQ$18+$AR$18</f>
        <v>1.4248163588694056</v>
      </c>
      <c r="P28">
        <f>C28-C29</f>
        <v>271.5</v>
      </c>
      <c r="Q28">
        <f>ABS(P28)*$AQ$18+$AR$18</f>
        <v>5.4186227039310975</v>
      </c>
      <c r="R28">
        <f>SQRT(N28^2+P28^2)</f>
        <v>274.80629541551627</v>
      </c>
      <c r="S28">
        <f>ABS(R28)*$AQ$18+$AR$18</f>
        <v>5.4762851651063693</v>
      </c>
      <c r="U28">
        <f>IF(DEGREES(ATAN(P28/N28))&lt;0, 180+DEGREES(ATAN(P28/N28)), DEGREES(ATAN(P28/N28)))</f>
        <v>81.103247433939529</v>
      </c>
      <c r="V28">
        <f>N28^2+P28^2</f>
        <v>75518.5</v>
      </c>
      <c r="W28">
        <f>DEGREES(SQRT(((P28/V28)^2)*O28^2+((N28/V28)^2)*Q28^2))</f>
        <v>0.3415639817616779</v>
      </c>
      <c r="X28">
        <f>U28-$U$18</f>
        <v>-1.1917553672215035</v>
      </c>
      <c r="Y28">
        <f>SQRT($W$18^2+W28^2)</f>
        <v>0.521778045570091</v>
      </c>
    </row>
    <row r="29" spans="1:60" x14ac:dyDescent="0.25">
      <c r="A29" t="s">
        <v>28</v>
      </c>
      <c r="B29">
        <v>429.5</v>
      </c>
      <c r="C29">
        <v>611.5</v>
      </c>
      <c r="D29">
        <v>631.46</v>
      </c>
      <c r="E29">
        <v>329</v>
      </c>
      <c r="F29">
        <v>712</v>
      </c>
      <c r="G29">
        <v>201</v>
      </c>
      <c r="H29">
        <v>201</v>
      </c>
      <c r="I29">
        <v>72</v>
      </c>
      <c r="X29">
        <f>U28-U20</f>
        <v>203.57443972478802</v>
      </c>
      <c r="Y29">
        <f>SQRT($W$20^2+W28^2)</f>
        <v>3.6475522627180403</v>
      </c>
    </row>
    <row r="30" spans="1:60" x14ac:dyDescent="0.25">
      <c r="X30">
        <f>U28-U22</f>
        <v>22.431940301743701</v>
      </c>
      <c r="Y30">
        <f>SQRT($W$22^2+W28^2)</f>
        <v>2.0978252213079589</v>
      </c>
    </row>
    <row r="31" spans="1:60" x14ac:dyDescent="0.25">
      <c r="X31" t="s">
        <v>32</v>
      </c>
    </row>
    <row r="32" spans="1:60" x14ac:dyDescent="0.25">
      <c r="A32" t="s">
        <v>29</v>
      </c>
      <c r="B32">
        <v>508</v>
      </c>
      <c r="C32">
        <v>1157</v>
      </c>
      <c r="D32">
        <v>634.60199999999998</v>
      </c>
      <c r="E32">
        <v>407</v>
      </c>
      <c r="F32">
        <v>1258</v>
      </c>
      <c r="G32">
        <v>202</v>
      </c>
      <c r="H32">
        <v>202</v>
      </c>
      <c r="I32">
        <v>72</v>
      </c>
      <c r="K32">
        <f>(I32-I36)/240</f>
        <v>0.3</v>
      </c>
      <c r="N32">
        <f>B32-B33</f>
        <v>36</v>
      </c>
      <c r="O32">
        <f>ABS(N32)*$AQ$18+$AR$18</f>
        <v>1.3114550433982224</v>
      </c>
      <c r="P32">
        <f>C32-C33</f>
        <v>274</v>
      </c>
      <c r="Q32">
        <f>ABS(P32)*$AQ$18+$AR$18</f>
        <v>5.4622232098815529</v>
      </c>
      <c r="R32">
        <f>SQRT(N32^2+P32^2)</f>
        <v>276.3548443577568</v>
      </c>
      <c r="S32">
        <f>ABS(R32)*$AQ$18+$AR$18</f>
        <v>5.5032921720546613</v>
      </c>
      <c r="U32">
        <f>IF(DEGREES(ATAN(P32/N32))&lt;0, 180+DEGREES(ATAN(P32/N32)), DEGREES(ATAN(P32/N32)))</f>
        <v>82.514961049626677</v>
      </c>
      <c r="V32">
        <f>N32^2+P32^2</f>
        <v>76372</v>
      </c>
      <c r="W32">
        <f>DEGREES(SQRT(((P32/V32)^2)*O32^2+((N32/V32)^2)*Q32^2))</f>
        <v>0.30730778737564057</v>
      </c>
      <c r="X32">
        <f>U32-$U$18</f>
        <v>0.2199582484656446</v>
      </c>
      <c r="Y32">
        <f>SQRT($W$18^2+W32^2)</f>
        <v>0.50002445078592317</v>
      </c>
    </row>
    <row r="33" spans="1:33" x14ac:dyDescent="0.25">
      <c r="A33" t="s">
        <v>59</v>
      </c>
      <c r="B33">
        <v>472</v>
      </c>
      <c r="C33">
        <v>883</v>
      </c>
      <c r="D33">
        <v>634.60199999999998</v>
      </c>
      <c r="E33">
        <v>371</v>
      </c>
      <c r="F33">
        <v>984</v>
      </c>
      <c r="G33">
        <v>202</v>
      </c>
      <c r="H33">
        <v>202</v>
      </c>
      <c r="I33">
        <v>72</v>
      </c>
    </row>
    <row r="38" spans="1:33" x14ac:dyDescent="0.25">
      <c r="AA38" t="e">
        <f>N38/K38</f>
        <v>#DIV/0!</v>
      </c>
      <c r="AC38" t="e">
        <f>P38/K38</f>
        <v>#DIV/0!</v>
      </c>
      <c r="AE38" t="e">
        <f>R38/K38</f>
        <v>#DIV/0!</v>
      </c>
      <c r="AF38" t="e">
        <f>ABS(AE38)*SQRT((L38/K38)^2+(S38/R38)^2)</f>
        <v>#DIV/0!</v>
      </c>
      <c r="AG38" t="e">
        <f>AF38/AE38</f>
        <v>#DIV/0!</v>
      </c>
    </row>
    <row r="41" spans="1:33" x14ac:dyDescent="0.25">
      <c r="AA41" t="e">
        <f>N41/K41</f>
        <v>#DIV/0!</v>
      </c>
      <c r="AC41" t="e">
        <f>P41/K41</f>
        <v>#DIV/0!</v>
      </c>
      <c r="AE41" t="e">
        <f>R41/K41</f>
        <v>#DIV/0!</v>
      </c>
      <c r="AF41" t="e">
        <f>ABS(AE41)*SQRT((L41/K41)^2+(S41/R41)^2)</f>
        <v>#DIV/0!</v>
      </c>
      <c r="AG41" t="e">
        <f>AF41/AE41</f>
        <v>#DIV/0!</v>
      </c>
    </row>
    <row r="44" spans="1:33" x14ac:dyDescent="0.25">
      <c r="AA44" t="e">
        <f>N44/K44</f>
        <v>#DIV/0!</v>
      </c>
      <c r="AC44" t="e">
        <f>P44/K44</f>
        <v>#DIV/0!</v>
      </c>
      <c r="AE44" t="e">
        <f>R44/K44</f>
        <v>#DIV/0!</v>
      </c>
      <c r="AF44" t="e">
        <f>ABS(AE44)*SQRT((L44/K44)^2+(S44/R44)^2)</f>
        <v>#DIV/0!</v>
      </c>
      <c r="AG44" t="e">
        <f>AF44/AE44</f>
        <v>#DIV/0!</v>
      </c>
    </row>
    <row r="47" spans="1:33" x14ac:dyDescent="0.25">
      <c r="AA47" t="e">
        <f>N47/K47</f>
        <v>#DIV/0!</v>
      </c>
      <c r="AC47" t="e">
        <f>P47/K47</f>
        <v>#DIV/0!</v>
      </c>
      <c r="AE47" t="e">
        <f>R47/K47</f>
        <v>#DIV/0!</v>
      </c>
      <c r="AF47" t="e">
        <f>ABS(AE47)*SQRT((L47/K47)^2+(S47/R47)^2)</f>
        <v>#DIV/0!</v>
      </c>
      <c r="AG47" t="e">
        <f>AF47/AE47</f>
        <v>#DIV/0!</v>
      </c>
    </row>
    <row r="50" spans="27:33" x14ac:dyDescent="0.25">
      <c r="AA50" t="e">
        <f>N50/K50</f>
        <v>#DIV/0!</v>
      </c>
      <c r="AC50" t="e">
        <f>P50/K50</f>
        <v>#DIV/0!</v>
      </c>
      <c r="AE50" t="e">
        <f>R50/K50</f>
        <v>#DIV/0!</v>
      </c>
      <c r="AF50" t="e">
        <f>ABS(AE50)*SQRT((L50/K50)^2+(S50/R50)^2)</f>
        <v>#DIV/0!</v>
      </c>
      <c r="AG50" t="e">
        <f>AF50/AE50</f>
        <v>#DIV/0!</v>
      </c>
    </row>
    <row r="53" spans="27:33" x14ac:dyDescent="0.25">
      <c r="AA53" t="e">
        <f>N53/K53</f>
        <v>#DIV/0!</v>
      </c>
      <c r="AC53" t="e">
        <f>P53/K53</f>
        <v>#DIV/0!</v>
      </c>
      <c r="AE53" t="e">
        <f>R53/K53</f>
        <v>#DIV/0!</v>
      </c>
      <c r="AF53" t="e">
        <f>ABS(AE53)*SQRT((L53/K53)^2+(S53/R53)^2)</f>
        <v>#DIV/0!</v>
      </c>
      <c r="AG53" t="e">
        <f>AF53/AE53</f>
        <v>#DIV/0!</v>
      </c>
    </row>
    <row r="55" spans="27:33" x14ac:dyDescent="0.25">
      <c r="AA55" t="e">
        <f>N55/K55</f>
        <v>#DIV/0!</v>
      </c>
      <c r="AC55" t="e">
        <f>P55/K55</f>
        <v>#DIV/0!</v>
      </c>
      <c r="AE55" t="e">
        <f>R55/K55</f>
        <v>#DIV/0!</v>
      </c>
      <c r="AF55" t="e">
        <f>ABS(AE55)*SQRT((L55/K55)^2+(S55/R55)^2)</f>
        <v>#DIV/0!</v>
      </c>
      <c r="AG55" t="e">
        <f>AF55/AE55</f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2EFF-7847-4619-8716-177B47AB91DF}">
  <dimension ref="A1:BH55"/>
  <sheetViews>
    <sheetView zoomScale="115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C3" sqref="BC3"/>
    </sheetView>
  </sheetViews>
  <sheetFormatPr defaultRowHeight="15" x14ac:dyDescent="0.25"/>
  <cols>
    <col min="1" max="1" width="14.7109375" customWidth="1"/>
    <col min="18" max="18" width="12" bestFit="1" customWidth="1"/>
    <col min="19" max="19" width="12" customWidth="1"/>
    <col min="25" max="25" width="7.7109375" customWidth="1"/>
  </cols>
  <sheetData>
    <row r="1" spans="1:60" s="2" customFormat="1" x14ac:dyDescent="0.25">
      <c r="A1" s="2" t="s">
        <v>173</v>
      </c>
      <c r="K1" s="2" t="s">
        <v>48</v>
      </c>
      <c r="N1" s="2" t="s">
        <v>49</v>
      </c>
      <c r="U1" s="2" t="s">
        <v>51</v>
      </c>
      <c r="AA1" s="2" t="s">
        <v>50</v>
      </c>
      <c r="AL1" s="2" t="s">
        <v>101</v>
      </c>
      <c r="AQ1" s="2" t="s">
        <v>97</v>
      </c>
    </row>
    <row r="2" spans="1:60" ht="18" x14ac:dyDescent="0.35">
      <c r="A2" t="s">
        <v>14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K2" s="2" t="s">
        <v>15</v>
      </c>
      <c r="L2" s="1" t="s">
        <v>45</v>
      </c>
      <c r="M2" s="1"/>
      <c r="N2" s="2" t="s">
        <v>41</v>
      </c>
      <c r="O2" s="1" t="s">
        <v>43</v>
      </c>
      <c r="P2" s="2" t="s">
        <v>42</v>
      </c>
      <c r="Q2" s="1" t="s">
        <v>44</v>
      </c>
      <c r="R2" s="2" t="s">
        <v>17</v>
      </c>
      <c r="S2" s="1" t="s">
        <v>33</v>
      </c>
      <c r="T2" s="1"/>
      <c r="U2" s="2" t="s">
        <v>37</v>
      </c>
      <c r="V2" t="s">
        <v>36</v>
      </c>
      <c r="W2" s="1" t="s">
        <v>35</v>
      </c>
      <c r="X2" s="2" t="s">
        <v>38</v>
      </c>
      <c r="Y2" s="1" t="s">
        <v>47</v>
      </c>
      <c r="Z2" s="1"/>
      <c r="AA2" s="2" t="s">
        <v>18</v>
      </c>
      <c r="AB2" t="s">
        <v>99</v>
      </c>
      <c r="AC2" s="2" t="s">
        <v>19</v>
      </c>
      <c r="AD2" t="s">
        <v>100</v>
      </c>
      <c r="AE2" s="2" t="s">
        <v>16</v>
      </c>
      <c r="AF2" t="s">
        <v>40</v>
      </c>
      <c r="AG2" s="1" t="s">
        <v>39</v>
      </c>
      <c r="AH2" s="3" t="s">
        <v>224</v>
      </c>
      <c r="AI2" s="1" t="s">
        <v>225</v>
      </c>
      <c r="AL2" s="3" t="s">
        <v>226</v>
      </c>
      <c r="AM2" s="1" t="s">
        <v>227</v>
      </c>
      <c r="AN2" t="s">
        <v>180</v>
      </c>
      <c r="AO2" t="s">
        <v>181</v>
      </c>
      <c r="AP2" s="2"/>
      <c r="AQ2" t="s">
        <v>30</v>
      </c>
      <c r="AR2" t="s">
        <v>34</v>
      </c>
      <c r="AU2" t="s">
        <v>108</v>
      </c>
      <c r="AV2" t="s">
        <v>61</v>
      </c>
      <c r="AW2" t="s">
        <v>112</v>
      </c>
      <c r="AX2" s="1" t="s">
        <v>109</v>
      </c>
      <c r="AY2" s="1" t="s">
        <v>110</v>
      </c>
      <c r="AZ2" s="1" t="s">
        <v>111</v>
      </c>
      <c r="BA2" s="1" t="str">
        <f>AE2</f>
        <v>v</v>
      </c>
      <c r="BB2" s="1" t="str">
        <f>AF2</f>
        <v>σv</v>
      </c>
      <c r="BC2" s="1" t="str">
        <f>X12</f>
        <v>collision angle</v>
      </c>
      <c r="BD2" s="1"/>
      <c r="BE2" t="str">
        <f>AH2</f>
        <v>vn</v>
      </c>
      <c r="BF2" t="str">
        <f>AI2</f>
        <v>σvn</v>
      </c>
      <c r="BG2" t="str">
        <f>AN2</f>
        <v>COR</v>
      </c>
      <c r="BH2" t="str">
        <f>AO2</f>
        <v>σCOR</v>
      </c>
    </row>
    <row r="3" spans="1:60" x14ac:dyDescent="0.25">
      <c r="A3" t="s">
        <v>28</v>
      </c>
      <c r="B3">
        <v>707.5</v>
      </c>
      <c r="C3">
        <v>665.5</v>
      </c>
      <c r="D3">
        <v>637.74300000000005</v>
      </c>
      <c r="E3">
        <v>606</v>
      </c>
      <c r="F3">
        <v>767</v>
      </c>
      <c r="G3">
        <v>203</v>
      </c>
      <c r="H3">
        <v>203</v>
      </c>
      <c r="I3">
        <v>54</v>
      </c>
      <c r="K3">
        <f>(I3-I4)/240</f>
        <v>7.0833333333333331E-2</v>
      </c>
      <c r="L3">
        <f>1/240</f>
        <v>4.1666666666666666E-3</v>
      </c>
      <c r="N3">
        <f>B3-B4</f>
        <v>29</v>
      </c>
      <c r="O3">
        <f>ABS(N3)*$AQ$3+$AR$3</f>
        <v>0.6986181034530099</v>
      </c>
      <c r="P3">
        <f>C3-C4</f>
        <v>195</v>
      </c>
      <c r="Q3">
        <f>ABS(P3)*$AQ$3+$AR$3</f>
        <v>1.9979992432369338</v>
      </c>
      <c r="R3">
        <f>SQRT(N3^2+P3^2)</f>
        <v>197.14461696937099</v>
      </c>
      <c r="S3">
        <f>ABS(R3)*$AQ$3+$AR$3</f>
        <v>2.0147864410806759</v>
      </c>
      <c r="U3">
        <f>IFERROR(DEGREES(ATAN2(N3, P3)), 90)</f>
        <v>81.541087599829453</v>
      </c>
      <c r="V3">
        <f>N3^2+P3^2</f>
        <v>38866</v>
      </c>
      <c r="W3">
        <f>DEGREES(SQRT(((P3/V3)^2)*O3^2+((N3/V3)^2)*Q3^2))</f>
        <v>0.21823968739974853</v>
      </c>
      <c r="X3">
        <f>U3-$U$3</f>
        <v>0</v>
      </c>
      <c r="Y3">
        <f>SQRT($W$3^2+W3^2)</f>
        <v>0.308637525768789</v>
      </c>
      <c r="AA3">
        <f>N3/K3</f>
        <v>409.41176470588238</v>
      </c>
      <c r="AB3">
        <f>ABS(AA3)*SQRT((L3/K3)^2+(O3/N3)^2)</f>
        <v>26.024387480348022</v>
      </c>
      <c r="AC3">
        <f>P3/K3</f>
        <v>2752.9411764705883</v>
      </c>
      <c r="AD3">
        <f>ABS(AC3)*SQRT((L3/K3)^2+(Q3/P3)^2)</f>
        <v>164.37597608297241</v>
      </c>
      <c r="AE3">
        <f>R3/K3</f>
        <v>2783.2181219205318</v>
      </c>
      <c r="AF3">
        <f>ABS(AE3)*SQRT((L3/K3)^2+(S3/R3)^2)</f>
        <v>166.17123889535563</v>
      </c>
      <c r="AG3">
        <f>AF3/AE3</f>
        <v>5.9704712895693145E-2</v>
      </c>
      <c r="AH3" s="5">
        <f>AE3*COS(RADIANS(X13))</f>
        <v>2776.6596625338225</v>
      </c>
      <c r="AI3" s="5">
        <f>SQRT(COS(RADIANS(X13))^2*AF3^2+(AE3*SIN(RADIANS(X13)))^2*Y13^2)</f>
        <v>172.97647751321892</v>
      </c>
      <c r="AL3">
        <f>AH3</f>
        <v>2776.6596625338225</v>
      </c>
      <c r="AM3">
        <f>AI3</f>
        <v>172.97647751321892</v>
      </c>
      <c r="AN3">
        <f>AL5/AL3</f>
        <v>1.5779145009016727E-3</v>
      </c>
      <c r="AO3">
        <f>ABS(AN3)*SQRT((AM3/AL3)^2+(AM5/AL5)^2)</f>
        <v>0.19204887180267793</v>
      </c>
      <c r="AQ3">
        <f>AS3*0.003913798613807</f>
        <v>7.8275972276139992E-3</v>
      </c>
      <c r="AR3">
        <f>AS3*0.235808891926102</f>
        <v>0.47161778385220399</v>
      </c>
      <c r="AS3">
        <v>2</v>
      </c>
      <c r="AU3">
        <v>1.8</v>
      </c>
      <c r="AV3">
        <v>1</v>
      </c>
      <c r="AW3">
        <v>6.72</v>
      </c>
      <c r="AX3">
        <v>0.2</v>
      </c>
      <c r="AY3">
        <v>11.515000000000001</v>
      </c>
      <c r="AZ3">
        <v>19.939</v>
      </c>
      <c r="BA3" s="1">
        <f>AE3</f>
        <v>2783.2181219205318</v>
      </c>
      <c r="BB3" s="1">
        <f>AF3</f>
        <v>166.17123889535563</v>
      </c>
      <c r="BC3" s="1">
        <f>X13</f>
        <v>3.9341439273363648</v>
      </c>
      <c r="BD3" s="1">
        <f>Y13</f>
        <v>0.2585711441103305</v>
      </c>
      <c r="BE3">
        <f>AH3</f>
        <v>2776.6596625338225</v>
      </c>
      <c r="BF3">
        <f>AI3</f>
        <v>172.97647751321892</v>
      </c>
      <c r="BG3">
        <f>AN3</f>
        <v>1.5779145009016727E-3</v>
      </c>
      <c r="BH3">
        <f>AO3</f>
        <v>0.19204887180267793</v>
      </c>
    </row>
    <row r="4" spans="1:60" x14ac:dyDescent="0.25">
      <c r="A4" t="s">
        <v>1</v>
      </c>
      <c r="B4">
        <v>678.5</v>
      </c>
      <c r="C4">
        <v>470.5</v>
      </c>
      <c r="D4">
        <v>637.74300000000005</v>
      </c>
      <c r="E4">
        <v>577</v>
      </c>
      <c r="F4">
        <v>572</v>
      </c>
      <c r="G4">
        <v>203</v>
      </c>
      <c r="H4">
        <v>203</v>
      </c>
      <c r="I4">
        <v>37</v>
      </c>
      <c r="L4">
        <f t="shared" ref="L4:L8" si="0">1/240</f>
        <v>4.1666666666666666E-3</v>
      </c>
      <c r="AQ4">
        <f>AS3*0.000205630802414239</f>
        <v>4.11261604828478E-4</v>
      </c>
      <c r="AR4">
        <f>AS3*0.0272049920008763</f>
        <v>5.44099840017526E-2</v>
      </c>
      <c r="AU4">
        <v>1.9</v>
      </c>
      <c r="AV4">
        <v>1</v>
      </c>
      <c r="AW4">
        <v>6.72</v>
      </c>
      <c r="AX4">
        <v>0.2</v>
      </c>
      <c r="AY4">
        <v>11.345000000000001</v>
      </c>
      <c r="AZ4">
        <v>18.922999999999998</v>
      </c>
      <c r="BA4">
        <f>BA3</f>
        <v>2783.2181219205318</v>
      </c>
      <c r="BB4">
        <f t="shared" ref="BB4:BF4" si="1">BB3</f>
        <v>166.17123889535563</v>
      </c>
      <c r="BC4" s="1"/>
      <c r="BD4" s="1"/>
      <c r="BE4">
        <f t="shared" si="1"/>
        <v>2776.6596625338225</v>
      </c>
      <c r="BF4">
        <f t="shared" si="1"/>
        <v>172.97647751321892</v>
      </c>
    </row>
    <row r="5" spans="1:60" x14ac:dyDescent="0.25">
      <c r="A5" t="s">
        <v>56</v>
      </c>
      <c r="B5">
        <v>717.5</v>
      </c>
      <c r="C5">
        <v>675.5</v>
      </c>
      <c r="D5">
        <v>637.74300000000005</v>
      </c>
      <c r="E5">
        <v>616</v>
      </c>
      <c r="F5">
        <v>777</v>
      </c>
      <c r="G5">
        <v>203</v>
      </c>
      <c r="H5">
        <v>203</v>
      </c>
      <c r="I5">
        <v>70</v>
      </c>
      <c r="K5">
        <f>(I5-I6)/240</f>
        <v>5.8333333333333334E-2</v>
      </c>
      <c r="L5">
        <f t="shared" si="0"/>
        <v>4.1666666666666666E-3</v>
      </c>
      <c r="N5">
        <f>B5-B6</f>
        <v>8</v>
      </c>
      <c r="O5">
        <f>ABS(N5)*$AQ$3+$AR$3</f>
        <v>0.53423856167311601</v>
      </c>
      <c r="P5">
        <f>C5-C6</f>
        <v>4</v>
      </c>
      <c r="Q5">
        <f>ABS(P5)*$AQ$3+$AR$3</f>
        <v>0.50292817276266</v>
      </c>
      <c r="R5">
        <f>SQRT(N5^2+P5^2)</f>
        <v>8.9442719099991592</v>
      </c>
      <c r="S5">
        <f>ABS(R5)*$AQ$3+$AR$3</f>
        <v>0.54162994185793922</v>
      </c>
      <c r="U5">
        <f>IFERROR(DEGREES(ATAN2(N5, P5)), 90)</f>
        <v>26.56505117707799</v>
      </c>
      <c r="V5">
        <f>N5^2+P5^2</f>
        <v>80</v>
      </c>
      <c r="W5">
        <f>DEGREES(SQRT(((P5/V5)^2)*O5^2+((N5/V5)^2)*Q5^2))</f>
        <v>3.2627894341863706</v>
      </c>
      <c r="X5">
        <f>U5-$U$3</f>
        <v>-54.976036422751463</v>
      </c>
      <c r="Y5">
        <f>SQRT($W$3^2+W5^2)</f>
        <v>3.270080037704667</v>
      </c>
      <c r="AA5">
        <f>N5/K5</f>
        <v>137.14285714285714</v>
      </c>
      <c r="AB5">
        <f>ABS(AA5)*SQRT((L5/K5)^2+(O5/N5)^2)</f>
        <v>13.410289168485663</v>
      </c>
      <c r="AC5">
        <f>P5/K5</f>
        <v>68.571428571428569</v>
      </c>
      <c r="AD5">
        <f>ABS(AC5)*SQRT((L5/K5)^2+(Q5/P5)^2)</f>
        <v>9.9157670366003963</v>
      </c>
      <c r="AE5">
        <f>R5/K5</f>
        <v>153.33037559998559</v>
      </c>
      <c r="AF5">
        <f>ABS(AE5)*SQRT((L5/K5)^2+(S5/R5)^2)</f>
        <v>14.358371043994142</v>
      </c>
      <c r="AG5">
        <f>AF5/AE5</f>
        <v>9.3643356626561938E-2</v>
      </c>
      <c r="AH5">
        <f>AE5*COS(RADIANS(X14))</f>
        <v>79.176920073710932</v>
      </c>
      <c r="AI5">
        <f>SQRT(COS(RADIANS(X14))^2*AF5^2+(AE5*SIN(RADIANS(X14)))^2*Y14^2)</f>
        <v>428.87412556515943</v>
      </c>
      <c r="AL5">
        <f>AH7-AH5</f>
        <v>4.3813315455808635</v>
      </c>
      <c r="AM5">
        <f>SQRT(AI5^2+AI7^2)</f>
        <v>533.25428571797761</v>
      </c>
    </row>
    <row r="6" spans="1:60" x14ac:dyDescent="0.25">
      <c r="A6" t="s">
        <v>20</v>
      </c>
      <c r="B6">
        <v>709.5</v>
      </c>
      <c r="C6">
        <v>671.5</v>
      </c>
      <c r="D6">
        <v>637.74300000000005</v>
      </c>
      <c r="E6">
        <v>608</v>
      </c>
      <c r="F6">
        <v>773</v>
      </c>
      <c r="G6">
        <v>203</v>
      </c>
      <c r="H6">
        <v>203</v>
      </c>
      <c r="I6">
        <v>56</v>
      </c>
      <c r="L6">
        <f t="shared" si="0"/>
        <v>4.1666666666666666E-3</v>
      </c>
    </row>
    <row r="7" spans="1:60" x14ac:dyDescent="0.25">
      <c r="A7" t="s">
        <v>58</v>
      </c>
      <c r="B7">
        <v>727.5</v>
      </c>
      <c r="C7">
        <v>949.5</v>
      </c>
      <c r="D7">
        <v>637.74300000000005</v>
      </c>
      <c r="E7">
        <v>626</v>
      </c>
      <c r="F7">
        <v>1051</v>
      </c>
      <c r="G7">
        <v>203</v>
      </c>
      <c r="H7">
        <v>203</v>
      </c>
      <c r="I7">
        <v>67</v>
      </c>
      <c r="K7">
        <f>(I7-I8)/240</f>
        <v>4.583333333333333E-2</v>
      </c>
      <c r="L7">
        <f t="shared" si="0"/>
        <v>4.1666666666666666E-3</v>
      </c>
      <c r="N7">
        <f>B7-B8</f>
        <v>-2</v>
      </c>
      <c r="O7">
        <f>ABS(N7)*$AQ$3+$AR$3</f>
        <v>0.48727297830743199</v>
      </c>
      <c r="P7">
        <f>C7-C8</f>
        <v>4</v>
      </c>
      <c r="Q7">
        <f>ABS(P7)*$AQ$3+$AR$3</f>
        <v>0.50292817276266</v>
      </c>
      <c r="R7">
        <f>SQRT(N7^2+P7^2)</f>
        <v>4.4721359549995796</v>
      </c>
      <c r="S7">
        <f>ABS(R7)*$AQ$3+$AR$3</f>
        <v>0.50662386285507155</v>
      </c>
      <c r="U7">
        <f>IFERROR(DEGREES(ATAN2(N7, P7)), 90)</f>
        <v>116.56505117707799</v>
      </c>
      <c r="V7">
        <f>N7^2+P7^2</f>
        <v>20</v>
      </c>
      <c r="W7">
        <f>DEGREES(SQRT(((P7/V7)^2)*O7^2+((N7/V7)^2)*Q7^2))</f>
        <v>6.2834339943410331</v>
      </c>
      <c r="X7">
        <f>U7-$U$3</f>
        <v>35.023963577248537</v>
      </c>
      <c r="Y7">
        <f>SQRT($W$3^2+W7^2)</f>
        <v>6.287222862472496</v>
      </c>
      <c r="AA7">
        <f>N7/K7</f>
        <v>-43.63636363636364</v>
      </c>
      <c r="AB7">
        <f>ABS(AA7)*SQRT((L7/K7)^2+(O7/N7)^2)</f>
        <v>11.347401370623004</v>
      </c>
      <c r="AC7">
        <f>P7/K7</f>
        <v>87.27272727272728</v>
      </c>
      <c r="AD7">
        <f>ABS(AC7)*SQRT((L7/K7)^2+(Q7/P7)^2)</f>
        <v>13.540781851281395</v>
      </c>
      <c r="AE7">
        <f>R7/K7</f>
        <v>97.573875381809017</v>
      </c>
      <c r="AF7">
        <f>ABS(AE7)*SQRT((L7/K7)^2+(S7/R7)^2)</f>
        <v>14.172701874629524</v>
      </c>
      <c r="AG7">
        <f>AF7/AE7</f>
        <v>0.14525098874233894</v>
      </c>
      <c r="AH7">
        <f>AE7*COS(RADIANS(X15))</f>
        <v>83.558251619291795</v>
      </c>
      <c r="AI7">
        <f>SQRT(COS(RADIANS(X15))^2*AF7^2+(AE7*SIN(RADIANS(X15)))^2*Y15^2)</f>
        <v>316.90237874984518</v>
      </c>
    </row>
    <row r="8" spans="1:60" x14ac:dyDescent="0.25">
      <c r="A8" t="s">
        <v>57</v>
      </c>
      <c r="B8">
        <v>729.5</v>
      </c>
      <c r="C8">
        <v>945.5</v>
      </c>
      <c r="D8">
        <v>637.74300000000005</v>
      </c>
      <c r="E8">
        <v>628</v>
      </c>
      <c r="F8">
        <v>1047</v>
      </c>
      <c r="G8">
        <v>203</v>
      </c>
      <c r="H8">
        <v>203</v>
      </c>
      <c r="I8">
        <v>56</v>
      </c>
      <c r="L8">
        <f t="shared" si="0"/>
        <v>4.1666666666666666E-3</v>
      </c>
    </row>
    <row r="10" spans="1:60" x14ac:dyDescent="0.25">
      <c r="AE10" t="s">
        <v>102</v>
      </c>
      <c r="AF10" t="s">
        <v>103</v>
      </c>
      <c r="AG10" s="1" t="s">
        <v>105</v>
      </c>
      <c r="AH10" s="1" t="s">
        <v>36</v>
      </c>
      <c r="AI10" t="s">
        <v>106</v>
      </c>
      <c r="AJ10" s="1" t="s">
        <v>104</v>
      </c>
      <c r="AK10" t="s">
        <v>107</v>
      </c>
    </row>
    <row r="11" spans="1:60" x14ac:dyDescent="0.25">
      <c r="U11">
        <f>U7-U5</f>
        <v>90</v>
      </c>
      <c r="W11">
        <f>SQRT(W5^2+W7^2)</f>
        <v>7.0800662181280991</v>
      </c>
      <c r="AA11">
        <f>SUM(AA3:AA4)-SUM(AA5:AA7)</f>
        <v>315.90527119938889</v>
      </c>
      <c r="AB11">
        <f>SQRT(SUMPRODUCT(AB3:AB7,AB3:AB7))</f>
        <v>31.398536863613813</v>
      </c>
      <c r="AC11">
        <f>SUM(AC3:AC4)-SUM(AC5:AC7)</f>
        <v>2597.0970206264324</v>
      </c>
      <c r="AD11">
        <f>SQRT(SUMPRODUCT(AD3:AD7,AD3:AD7))</f>
        <v>165.23055626093512</v>
      </c>
      <c r="AE11">
        <f>SQRT(AA11^2+AC11^2)</f>
        <v>2616.2394911242836</v>
      </c>
      <c r="AF11">
        <f>SQRT((AA11/AE11)^2*AB11^2+(AC11/AE11)^2*AD11^2)</f>
        <v>164.06541080199153</v>
      </c>
      <c r="AG11">
        <f>IF(DEGREES(ATAN(AC11/AA11))&lt;0, 180+DEGREES(ATAN(AC11/AA11)), DEGREES(ATAN(AC11/AA11)))</f>
        <v>83.064735415093111</v>
      </c>
      <c r="AH11">
        <f>AA11^2+AC11^2</f>
        <v>6844709.0749182506</v>
      </c>
      <c r="AI11">
        <f>DEGREES(SQRT(((AC11/AH11)^2)*AB11^2+((AA11/AH11)^2)*AD11^2))</f>
        <v>0.81046342124585957</v>
      </c>
      <c r="AJ11">
        <f>AG11-U3</f>
        <v>1.5236478152636579</v>
      </c>
      <c r="AK11">
        <f>SQRT(AI11^2+W3^2)</f>
        <v>0.83933278163901326</v>
      </c>
    </row>
    <row r="12" spans="1:60" x14ac:dyDescent="0.25">
      <c r="X12" t="s">
        <v>32</v>
      </c>
    </row>
    <row r="13" spans="1:60" x14ac:dyDescent="0.25">
      <c r="A13" t="s">
        <v>59</v>
      </c>
      <c r="B13">
        <v>729.5</v>
      </c>
      <c r="C13">
        <v>943.5</v>
      </c>
      <c r="D13">
        <v>637.74300000000005</v>
      </c>
      <c r="E13">
        <v>628</v>
      </c>
      <c r="F13">
        <v>1045</v>
      </c>
      <c r="G13">
        <v>203</v>
      </c>
      <c r="H13">
        <v>203</v>
      </c>
      <c r="I13">
        <v>54</v>
      </c>
      <c r="K13">
        <f>(I13-I14)/240</f>
        <v>0</v>
      </c>
      <c r="N13">
        <f>B13-B14</f>
        <v>22</v>
      </c>
      <c r="O13">
        <f>ABS(N13)*$AQ$3+$AR$3</f>
        <v>0.64382492285971193</v>
      </c>
      <c r="P13">
        <f>C13-C14</f>
        <v>278</v>
      </c>
      <c r="Q13">
        <f>ABS(P13)*$AQ$3+$AR$3</f>
        <v>2.6476898131288955</v>
      </c>
      <c r="R13">
        <f>SQRT(N13^2+P13^2)</f>
        <v>278.86914494077683</v>
      </c>
      <c r="S13">
        <f>ABS(R13)*$AQ$3+$AR$3</f>
        <v>2.6544931296577152</v>
      </c>
      <c r="U13">
        <f>IF(DEGREES(ATAN(P13/N13))&lt;0, 180+DEGREES(ATAN(P13/N13)), DEGREES(ATAN(P13/N13)))</f>
        <v>85.475231527165818</v>
      </c>
      <c r="V13">
        <f>N13^2+P13^2</f>
        <v>77768</v>
      </c>
      <c r="W13">
        <f>DEGREES(SQRT(((P13/V13)^2)*O13^2+((N13/V13)^2)*Q13^2))</f>
        <v>0.13867398966707978</v>
      </c>
      <c r="X13">
        <f>U13-$U$3</f>
        <v>3.9341439273363648</v>
      </c>
      <c r="Y13">
        <f>SQRT($W$3^2+W13^2)</f>
        <v>0.2585711441103305</v>
      </c>
    </row>
    <row r="14" spans="1:60" x14ac:dyDescent="0.25">
      <c r="A14" t="s">
        <v>28</v>
      </c>
      <c r="B14">
        <v>707.5</v>
      </c>
      <c r="C14">
        <v>665.5</v>
      </c>
      <c r="D14">
        <v>637.74300000000005</v>
      </c>
      <c r="E14">
        <v>606</v>
      </c>
      <c r="F14">
        <v>767</v>
      </c>
      <c r="G14">
        <v>203</v>
      </c>
      <c r="H14">
        <v>203</v>
      </c>
      <c r="I14">
        <v>54</v>
      </c>
      <c r="X14">
        <f>U13-U5</f>
        <v>58.910180350087828</v>
      </c>
      <c r="Y14">
        <f>SQRT($W$5^2+W13^2)</f>
        <v>3.2657350424136373</v>
      </c>
    </row>
    <row r="15" spans="1:60" x14ac:dyDescent="0.25">
      <c r="X15">
        <f>U13-U7</f>
        <v>-31.089819649912172</v>
      </c>
      <c r="Y15">
        <f>SQRT($W$7^2+W13^2)</f>
        <v>6.2849640600922054</v>
      </c>
    </row>
    <row r="18" spans="1:60" x14ac:dyDescent="0.25">
      <c r="A18" t="s">
        <v>28</v>
      </c>
      <c r="B18">
        <v>444.5</v>
      </c>
      <c r="C18">
        <v>588.5</v>
      </c>
      <c r="D18">
        <v>631.46</v>
      </c>
      <c r="E18">
        <v>344</v>
      </c>
      <c r="F18">
        <v>689</v>
      </c>
      <c r="G18">
        <v>201</v>
      </c>
      <c r="H18">
        <v>201</v>
      </c>
      <c r="I18">
        <v>64</v>
      </c>
      <c r="K18">
        <f>(I18-I19)/240</f>
        <v>5.4166666666666669E-2</v>
      </c>
      <c r="L18">
        <f>1/240</f>
        <v>4.1666666666666666E-3</v>
      </c>
      <c r="N18">
        <f>B18-B19</f>
        <v>18</v>
      </c>
      <c r="O18">
        <f>ABS(N18)*$AQ$18+$AR$18</f>
        <v>0.99753140055494516</v>
      </c>
      <c r="P18">
        <f>C18-C19</f>
        <v>147</v>
      </c>
      <c r="Q18">
        <f>ABS(P18)*$AQ$18+$AR$18</f>
        <v>3.2473175075984311</v>
      </c>
      <c r="R18">
        <f>SQRT(N18^2+P18^2)</f>
        <v>148.0979405663698</v>
      </c>
      <c r="S18">
        <f>ABS(R18)*$AQ$18+$AR$18</f>
        <v>3.2664658132773319</v>
      </c>
      <c r="U18">
        <f>IFERROR(DEGREES(ATAN2(N18, P18)), 90)</f>
        <v>83.018942593170209</v>
      </c>
      <c r="V18">
        <f>N18^2+P18^2</f>
        <v>21933</v>
      </c>
      <c r="W18">
        <f>DEGREES(SQRT(((P18/V18)^2)*O18^2+((N18/V18)^2)*Q18^2))</f>
        <v>0.41237307979024884</v>
      </c>
      <c r="X18">
        <f>U18-$U$18</f>
        <v>0</v>
      </c>
      <c r="Y18">
        <f>SQRT($W$18^2+W18^2)</f>
        <v>0.58318360219693233</v>
      </c>
      <c r="AA18">
        <f>N18/K18</f>
        <v>332.30769230769232</v>
      </c>
      <c r="AB18">
        <f>ABS(AA18)*SQRT((L18/K18)^2+(O18/N18)^2)</f>
        <v>31.505082779954058</v>
      </c>
      <c r="AC18">
        <f>P18/K18</f>
        <v>2713.8461538461538</v>
      </c>
      <c r="AD18">
        <f>ABS(AC18)*SQRT((L18/K18)^2+(Q18/P18)^2)</f>
        <v>217.19509725724211</v>
      </c>
      <c r="AE18">
        <f>R18/K18</f>
        <v>2734.1158258406731</v>
      </c>
      <c r="AF18">
        <f>ABS(AE18)*SQRT((L18/K18)^2+(S18/R18)^2)</f>
        <v>218.79132429670705</v>
      </c>
      <c r="AG18">
        <f>AF18/AE18</f>
        <v>8.0022697732432063E-2</v>
      </c>
      <c r="AH18">
        <f>AE18*COS(RADIANS(X28))</f>
        <v>2729.0439441785379</v>
      </c>
      <c r="AI18">
        <f>SQRT(COS(RADIANS(X28))^2*AF18^2+(AE18*SIN(RADIANS(X28)))^2*Y28^2)</f>
        <v>231.73763335410189</v>
      </c>
      <c r="AJ18">
        <f>(AE3-AE18)/AE18</f>
        <v>1.7959113368856975E-2</v>
      </c>
      <c r="AL18">
        <f>AH18</f>
        <v>2729.0439441785379</v>
      </c>
      <c r="AM18">
        <f>AI18</f>
        <v>231.73763335410189</v>
      </c>
      <c r="AN18">
        <f>AL20/AL18</f>
        <v>6.1003511409771845E-4</v>
      </c>
      <c r="AO18">
        <f>ABS(AN18)*SQRT((AM18/AL18)^2+(AM20/AL20)^2)</f>
        <v>0.35243990934331776</v>
      </c>
      <c r="AQ18">
        <f>AS3*0.00872010119009103</f>
        <v>1.7440202380182061E-2</v>
      </c>
      <c r="AR18">
        <f>AS3*0.341803878855834</f>
        <v>0.68360775771166804</v>
      </c>
      <c r="AU18">
        <v>1.8</v>
      </c>
      <c r="AV18">
        <v>2</v>
      </c>
      <c r="AW18">
        <v>6.72</v>
      </c>
      <c r="AX18">
        <v>0.2</v>
      </c>
      <c r="AY18">
        <v>11.515000000000001</v>
      </c>
      <c r="AZ18">
        <v>19.939</v>
      </c>
      <c r="BA18" s="1">
        <f>AE18</f>
        <v>2734.1158258406731</v>
      </c>
      <c r="BB18" s="1">
        <f>AF18</f>
        <v>218.79132429670705</v>
      </c>
      <c r="BC18" s="1">
        <f>X28</f>
        <v>3.4904457361603249</v>
      </c>
      <c r="BD18" s="1">
        <f>Y28</f>
        <v>0.4657309964625152</v>
      </c>
      <c r="BE18">
        <f>AH18</f>
        <v>2729.0439441785379</v>
      </c>
      <c r="BF18">
        <f>AI18</f>
        <v>231.73763335410189</v>
      </c>
      <c r="BG18">
        <f>AN18</f>
        <v>6.1003511409771845E-4</v>
      </c>
      <c r="BH18">
        <f>AO18</f>
        <v>0.35243990934331776</v>
      </c>
    </row>
    <row r="19" spans="1:60" x14ac:dyDescent="0.25">
      <c r="A19" t="s">
        <v>1</v>
      </c>
      <c r="B19">
        <v>426.5</v>
      </c>
      <c r="C19">
        <v>441.5</v>
      </c>
      <c r="D19">
        <v>631.46</v>
      </c>
      <c r="E19">
        <v>326</v>
      </c>
      <c r="F19">
        <v>542</v>
      </c>
      <c r="G19">
        <v>201</v>
      </c>
      <c r="H19">
        <v>201</v>
      </c>
      <c r="I19">
        <v>51</v>
      </c>
      <c r="L19">
        <f t="shared" ref="L19:L25" si="2">1/240</f>
        <v>4.1666666666666666E-3</v>
      </c>
      <c r="AQ19">
        <f>AS3*0.00051291753818516</f>
        <v>1.0258350763703199E-3</v>
      </c>
      <c r="AR19">
        <f>AS3*0.0676280548663656</f>
        <v>0.13525610973273119</v>
      </c>
      <c r="AU19">
        <v>1.9</v>
      </c>
      <c r="AV19">
        <v>2</v>
      </c>
      <c r="AW19">
        <v>6.72</v>
      </c>
      <c r="AX19">
        <v>0.2</v>
      </c>
      <c r="AY19">
        <v>11.345000000000001</v>
      </c>
      <c r="AZ19">
        <v>18.922999999999998</v>
      </c>
      <c r="BA19">
        <f>BA18</f>
        <v>2734.1158258406731</v>
      </c>
      <c r="BB19">
        <f t="shared" ref="BB19" si="3">BB18</f>
        <v>218.79132429670705</v>
      </c>
      <c r="BC19" s="1">
        <f>X32</f>
        <v>-1.7651048557254114</v>
      </c>
      <c r="BD19" s="1">
        <f>Y32</f>
        <v>0.53276426251689024</v>
      </c>
      <c r="BE19">
        <f t="shared" ref="BE19" si="4">BE18</f>
        <v>2729.0439441785379</v>
      </c>
      <c r="BF19">
        <f t="shared" ref="BF19" si="5">BF18</f>
        <v>231.73763335410189</v>
      </c>
    </row>
    <row r="20" spans="1:60" x14ac:dyDescent="0.25">
      <c r="A20" t="s">
        <v>4</v>
      </c>
      <c r="B20">
        <v>454.5</v>
      </c>
      <c r="C20">
        <v>596.5</v>
      </c>
      <c r="D20">
        <v>631.46</v>
      </c>
      <c r="E20">
        <v>354</v>
      </c>
      <c r="F20">
        <v>697</v>
      </c>
      <c r="G20">
        <v>201</v>
      </c>
      <c r="H20">
        <v>201</v>
      </c>
      <c r="I20">
        <v>80</v>
      </c>
      <c r="K20">
        <f>(I20-I21)/240</f>
        <v>5.8333333333333334E-2</v>
      </c>
      <c r="L20">
        <f t="shared" si="2"/>
        <v>4.1666666666666666E-3</v>
      </c>
      <c r="N20">
        <f>B20-B21</f>
        <v>8</v>
      </c>
      <c r="O20">
        <f>ABS(N20)*$AQ$18+$AR$18</f>
        <v>0.82312937675312448</v>
      </c>
      <c r="P20">
        <f>C20-C21</f>
        <v>3</v>
      </c>
      <c r="Q20">
        <f>ABS(P20)*$AQ$18+$AR$18</f>
        <v>0.73592836485221425</v>
      </c>
      <c r="R20">
        <f>SQRT(N20^2+P20^2)</f>
        <v>8.5440037453175304</v>
      </c>
      <c r="S20">
        <f>ABS(R20)*$AQ$18+$AR$18</f>
        <v>0.83261691216703926</v>
      </c>
      <c r="U20">
        <f>IFERROR(DEGREES(ATAN2(N20, P20)), 90)</f>
        <v>20.556045219583467</v>
      </c>
      <c r="V20">
        <f>N20^2+P20^2</f>
        <v>73</v>
      </c>
      <c r="W20">
        <f>DEGREES(SQRT(((P20/V20)^2)*O20^2+((N20/V20)^2)*Q20^2))</f>
        <v>5.0108928983421261</v>
      </c>
      <c r="X20">
        <f>U20-$U$18</f>
        <v>-62.462897373586742</v>
      </c>
      <c r="Y20">
        <f>SQRT($W$18^2+W20^2)</f>
        <v>5.0278324550039706</v>
      </c>
      <c r="AA20">
        <f>N20/K20</f>
        <v>137.14285714285714</v>
      </c>
      <c r="AB20">
        <f>ABS(AA20)*SQRT((L20/K20)^2+(O20/N20)^2)</f>
        <v>17.177729529065044</v>
      </c>
      <c r="AC20">
        <f>P20/K20</f>
        <v>51.428571428571431</v>
      </c>
      <c r="AD20">
        <f>ABS(AC20)*SQRT((L20/K20)^2+(Q20/P20)^2)</f>
        <v>13.139850997656643</v>
      </c>
      <c r="AE20">
        <f>R20/K20</f>
        <v>146.46863563401482</v>
      </c>
      <c r="AF20">
        <f>ABS(AE20)*SQRT((L20/K20)^2+(S20/R20)^2)</f>
        <v>17.697041485170899</v>
      </c>
      <c r="AG20">
        <f>AF20/AE20</f>
        <v>0.12082478551511179</v>
      </c>
      <c r="AH20">
        <f>AE20*COS(RADIANS(X29))</f>
        <v>59.6831016254377</v>
      </c>
      <c r="AI20">
        <f>SQRT(COS(RADIANS(X29))^2*AF20^2+(AE20*SIN(RADIANS(X29)))^2*Y29^2)</f>
        <v>670.90680979828539</v>
      </c>
      <c r="AJ20">
        <f>(AE5-AE20)/AE20</f>
        <v>4.6847845180427485E-2</v>
      </c>
      <c r="AL20">
        <f>AH22-AH20</f>
        <v>1.6648126338646421</v>
      </c>
      <c r="AM20">
        <f>SQRT(AI20^2+AI22^2)</f>
        <v>961.82398989113165</v>
      </c>
      <c r="BA20" s="1"/>
      <c r="BB20" s="1"/>
    </row>
    <row r="21" spans="1:60" x14ac:dyDescent="0.25">
      <c r="A21" t="s">
        <v>20</v>
      </c>
      <c r="B21">
        <v>446.5</v>
      </c>
      <c r="C21">
        <v>593.5</v>
      </c>
      <c r="D21">
        <v>631.46</v>
      </c>
      <c r="E21">
        <v>346</v>
      </c>
      <c r="F21">
        <v>694</v>
      </c>
      <c r="G21">
        <v>201</v>
      </c>
      <c r="H21">
        <v>201</v>
      </c>
      <c r="I21">
        <v>66</v>
      </c>
      <c r="L21">
        <f t="shared" si="2"/>
        <v>4.1666666666666666E-3</v>
      </c>
    </row>
    <row r="22" spans="1:60" x14ac:dyDescent="0.25">
      <c r="A22" t="s">
        <v>58</v>
      </c>
      <c r="B22">
        <v>458.5</v>
      </c>
      <c r="C22">
        <v>863.5</v>
      </c>
      <c r="D22">
        <v>631.46</v>
      </c>
      <c r="E22">
        <v>358</v>
      </c>
      <c r="F22">
        <v>964</v>
      </c>
      <c r="G22">
        <v>201</v>
      </c>
      <c r="H22">
        <v>201</v>
      </c>
      <c r="I22">
        <v>77</v>
      </c>
      <c r="K22">
        <f>(I22-I23)/240</f>
        <v>4.583333333333333E-2</v>
      </c>
      <c r="L22">
        <f t="shared" si="2"/>
        <v>4.1666666666666666E-3</v>
      </c>
      <c r="N22">
        <f>B22-B23</f>
        <v>-3</v>
      </c>
      <c r="O22">
        <f>ABS(N22)*$AQ$18+$AR$18</f>
        <v>0.73592836485221425</v>
      </c>
      <c r="P22">
        <f>C22-C23</f>
        <v>3</v>
      </c>
      <c r="Q22">
        <f>ABS(P22)*$AQ$18+$AR$18</f>
        <v>0.73592836485221425</v>
      </c>
      <c r="R22">
        <f>SQRT(N22^2+P22^2)</f>
        <v>4.2426406871192848</v>
      </c>
      <c r="S22">
        <f>ABS(R22)*$AQ$18+$AR$18</f>
        <v>0.75760026992142304</v>
      </c>
      <c r="U22">
        <f>IFERROR(DEGREES(ATAN2(N22, P22)), 90)</f>
        <v>135</v>
      </c>
      <c r="V22">
        <f>N22^2+P22^2</f>
        <v>18</v>
      </c>
      <c r="W22">
        <f>DEGREES(SQRT(((P22/V22)^2)*O22^2+((N22/V22)^2)*Q22^2))</f>
        <v>9.9385247159890238</v>
      </c>
      <c r="X22">
        <f>U22-$U$18</f>
        <v>51.981057406829791</v>
      </c>
      <c r="Y22">
        <f>SQRT($W$18^2+W22^2)</f>
        <v>9.947076207974904</v>
      </c>
      <c r="AA22">
        <f>N22/K22</f>
        <v>-65.454545454545453</v>
      </c>
      <c r="AB22">
        <f>ABS(AA22)*SQRT((L22/K22)^2+(O22/N22)^2)</f>
        <v>17.123738699437119</v>
      </c>
      <c r="AC22">
        <f>P22/K22</f>
        <v>65.454545454545453</v>
      </c>
      <c r="AD22">
        <f>ABS(AC22)*SQRT((L22/K22)^2+(Q22/P22)^2)</f>
        <v>17.123738699437119</v>
      </c>
      <c r="AE22">
        <f>R22/K22</f>
        <v>92.566705900784399</v>
      </c>
      <c r="AF22">
        <f>ABS(AE22)*SQRT((L22/K22)^2+(S22/R22)^2)</f>
        <v>18.548258605941552</v>
      </c>
      <c r="AG22">
        <f>AF22/AE22</f>
        <v>0.20037721365846267</v>
      </c>
      <c r="AH22">
        <f>AE22*COS(RADIANS(X30))</f>
        <v>61.347914259302343</v>
      </c>
      <c r="AI22">
        <f>SQRT(COS(RADIANS(X30))^2*AF22^2+(AE22*SIN(RADIANS(X30)))^2*Y30^2)</f>
        <v>689.19477660265454</v>
      </c>
      <c r="AJ22">
        <f>(AE7-AE22)/AE22</f>
        <v>5.4092553389459959E-2</v>
      </c>
    </row>
    <row r="23" spans="1:60" x14ac:dyDescent="0.25">
      <c r="A23" t="s">
        <v>57</v>
      </c>
      <c r="B23">
        <v>461.5</v>
      </c>
      <c r="C23">
        <v>860.5</v>
      </c>
      <c r="D23">
        <v>631.46</v>
      </c>
      <c r="E23">
        <v>361</v>
      </c>
      <c r="F23">
        <v>961</v>
      </c>
      <c r="G23">
        <v>201</v>
      </c>
      <c r="H23">
        <v>201</v>
      </c>
      <c r="I23">
        <v>66</v>
      </c>
      <c r="L23">
        <f t="shared" si="2"/>
        <v>4.1666666666666666E-3</v>
      </c>
    </row>
    <row r="24" spans="1:60" x14ac:dyDescent="0.25">
      <c r="A24" t="s">
        <v>2</v>
      </c>
      <c r="B24">
        <v>551</v>
      </c>
      <c r="C24">
        <v>1478</v>
      </c>
      <c r="D24">
        <v>634.60199999999998</v>
      </c>
      <c r="E24">
        <v>450</v>
      </c>
      <c r="F24">
        <v>1579</v>
      </c>
      <c r="G24">
        <v>202</v>
      </c>
      <c r="H24">
        <v>202</v>
      </c>
      <c r="I24">
        <v>96</v>
      </c>
      <c r="K24">
        <f>(I24-I25)/240</f>
        <v>0.125</v>
      </c>
      <c r="L24">
        <f t="shared" si="2"/>
        <v>4.1666666666666666E-3</v>
      </c>
      <c r="N24">
        <f>B24-B25</f>
        <v>46</v>
      </c>
      <c r="O24">
        <f>ABS(N24)*$AQ$18+$AR$18</f>
        <v>1.4858570672000428</v>
      </c>
      <c r="P24">
        <f>C24-C25</f>
        <v>328</v>
      </c>
      <c r="Q24">
        <f>ABS(P24)*$AQ$18+$AR$18</f>
        <v>6.4039941384113837</v>
      </c>
      <c r="R24">
        <f>SQRT(N24^2+P24^2)</f>
        <v>331.20990323358387</v>
      </c>
      <c r="S24">
        <f>ABS(R24)*$AQ$18+$AR$18</f>
        <v>6.4599755004258874</v>
      </c>
      <c r="U24">
        <f>IFERROR(DEGREES(ATAN2(N24, P24)), 90)</f>
        <v>82.016684121066689</v>
      </c>
      <c r="V24">
        <f>N24^2+P24^2</f>
        <v>109700</v>
      </c>
      <c r="W24">
        <f>DEGREES(SQRT(((P24/V24)^2)*O24^2+((N24/V24)^2)*Q24^2))</f>
        <v>0.29743342320228505</v>
      </c>
      <c r="X24">
        <f>U24-$U$18</f>
        <v>-1.0022584721035201</v>
      </c>
      <c r="Y24">
        <f>SQRT($W$18^2+W24^2)</f>
        <v>0.50844684891689962</v>
      </c>
      <c r="AA24">
        <f>N24/K24</f>
        <v>368</v>
      </c>
      <c r="AB24">
        <f>ABS(AA24)*SQRT((L24/K24)^2+(O24/N24)^2)</f>
        <v>17.08123149707313</v>
      </c>
      <c r="AC24">
        <f>P24/K24</f>
        <v>2624</v>
      </c>
      <c r="AD24">
        <f>ABS(AC24)*SQRT((L24/K24)^2+(Q24/P24)^2)</f>
        <v>101.36631983536469</v>
      </c>
      <c r="AE24">
        <f>R24/K24</f>
        <v>2649.679225868671</v>
      </c>
      <c r="AF24">
        <f>ABS(AE24)*SQRT((L24/K24)^2+(S24/R24)^2)</f>
        <v>102.33128080269231</v>
      </c>
      <c r="AG24">
        <f>AF24/AE24</f>
        <v>3.8620252520998655E-2</v>
      </c>
    </row>
    <row r="25" spans="1:60" x14ac:dyDescent="0.25">
      <c r="A25" t="s">
        <v>31</v>
      </c>
      <c r="B25">
        <v>505</v>
      </c>
      <c r="C25">
        <v>1150</v>
      </c>
      <c r="D25">
        <v>634.60199999999998</v>
      </c>
      <c r="E25">
        <v>404</v>
      </c>
      <c r="F25">
        <v>1251</v>
      </c>
      <c r="G25">
        <v>202</v>
      </c>
      <c r="H25">
        <v>202</v>
      </c>
      <c r="I25">
        <v>66</v>
      </c>
      <c r="L25">
        <f t="shared" si="2"/>
        <v>4.1666666666666666E-3</v>
      </c>
      <c r="AE25" t="s">
        <v>102</v>
      </c>
      <c r="AF25" t="s">
        <v>103</v>
      </c>
      <c r="AG25" s="1" t="s">
        <v>105</v>
      </c>
      <c r="AH25" s="1" t="s">
        <v>36</v>
      </c>
      <c r="AI25" t="s">
        <v>106</v>
      </c>
      <c r="AJ25" s="1" t="s">
        <v>104</v>
      </c>
      <c r="AK25" t="s">
        <v>107</v>
      </c>
    </row>
    <row r="26" spans="1:60" x14ac:dyDescent="0.25">
      <c r="U26">
        <f>U22-U20</f>
        <v>114.44395478041653</v>
      </c>
      <c r="W26">
        <f>SQRT(W20^2+W22^2)</f>
        <v>11.130288458480322</v>
      </c>
      <c r="AA26">
        <f>SUM(AA18:AA19)-SUM(AA20:AA22)</f>
        <v>260.61938061938065</v>
      </c>
      <c r="AB26">
        <f>SQRT(SUMPRODUCT(AB18:AB22,AB18:AB22))</f>
        <v>39.760118960989935</v>
      </c>
      <c r="AC26">
        <f>SUM(AC18:AC19)-SUM(AC20:AC22)</f>
        <v>2596.9630369630368</v>
      </c>
      <c r="AD26">
        <f>SQRT(SUMPRODUCT(AD18:AD22,AD18:AD22))</f>
        <v>218.26494996648015</v>
      </c>
      <c r="AE26">
        <f>SQRT(AA26^2+AC26^2)</f>
        <v>2610.0075626148496</v>
      </c>
      <c r="AF26">
        <f>SQRT((AA26/AE26)^2*AB26^2+(AC26/AE26)^2*AD26^2)</f>
        <v>217.21037316852784</v>
      </c>
      <c r="AG26">
        <f>IF(DEGREES(ATAN(AC26/AA26))&lt;0, 180+DEGREES(ATAN(AC26/AA26)), DEGREES(ATAN(AC26/AA26)))</f>
        <v>84.269243726358496</v>
      </c>
      <c r="AH26">
        <f>AA26^2+AC26^2</f>
        <v>6812139.4769067084</v>
      </c>
      <c r="AI26">
        <f>DEGREES(SQRT(((AC26/AH26)^2)*AB26^2+((AA26/AH26)^2)*AD26^2))</f>
        <v>0.99153392312958055</v>
      </c>
      <c r="AJ26">
        <f>AG26-U18</f>
        <v>1.2503011331882874</v>
      </c>
      <c r="AK26">
        <f>SQRT(AI26^2+W18^2)</f>
        <v>1.0738673463945312</v>
      </c>
    </row>
    <row r="27" spans="1:60" x14ac:dyDescent="0.25">
      <c r="X27" t="s">
        <v>32</v>
      </c>
    </row>
    <row r="28" spans="1:60" x14ac:dyDescent="0.25">
      <c r="A28" t="s">
        <v>59</v>
      </c>
      <c r="B28">
        <v>461</v>
      </c>
      <c r="C28">
        <v>859</v>
      </c>
      <c r="D28">
        <v>628.31899999999996</v>
      </c>
      <c r="E28">
        <v>361</v>
      </c>
      <c r="F28">
        <v>959</v>
      </c>
      <c r="G28">
        <v>200</v>
      </c>
      <c r="H28">
        <v>200</v>
      </c>
      <c r="I28">
        <v>64</v>
      </c>
      <c r="K28">
        <f>(I28-I33)/240</f>
        <v>0</v>
      </c>
      <c r="N28">
        <f>B28-B29</f>
        <v>16.5</v>
      </c>
      <c r="O28">
        <f>ABS(N28)*$AQ$18+$AR$18</f>
        <v>0.97137109698467206</v>
      </c>
      <c r="P28">
        <f>C28-C29</f>
        <v>270.5</v>
      </c>
      <c r="Q28">
        <f>ABS(P28)*$AQ$18+$AR$18</f>
        <v>5.4011825015509158</v>
      </c>
      <c r="R28">
        <f>SQRT(N28^2+P28^2)</f>
        <v>271.00276751354403</v>
      </c>
      <c r="S28">
        <f>ABS(R28)*$AQ$18+$AR$18</f>
        <v>5.4099508687373046</v>
      </c>
      <c r="U28">
        <f>IF(DEGREES(ATAN(P28/N28))&lt;0, 180+DEGREES(ATAN(P28/N28)), DEGREES(ATAN(P28/N28)))</f>
        <v>86.509388329330534</v>
      </c>
      <c r="V28">
        <f>N28^2+P28^2</f>
        <v>73442.5</v>
      </c>
      <c r="W28">
        <f>DEGREES(SQRT(((P28/V28)^2)*O28^2+((N28/V28)^2)*Q28^2))</f>
        <v>0.21645739564697805</v>
      </c>
      <c r="X28">
        <f>U28-$U$18</f>
        <v>3.4904457361603249</v>
      </c>
      <c r="Y28">
        <f>SQRT($W$18^2+W28^2)</f>
        <v>0.4657309964625152</v>
      </c>
      <c r="AA28">
        <f>SUM(AA18:AA19)-SUM(AA20:AA24)</f>
        <v>-107.38061938061935</v>
      </c>
      <c r="AB28">
        <f>SQRT(SUMPRODUCT(AB18:AB26,AB18:AB26))</f>
        <v>58.766509076520329</v>
      </c>
      <c r="AC28">
        <f>SUM(AC18:AC19)-SUM(AC20:AC24)</f>
        <v>-27.036963036963243</v>
      </c>
      <c r="AD28">
        <f>SQRT(SUMPRODUCT(AD18:AD26,AD18:AD26))</f>
        <v>324.89122420389509</v>
      </c>
      <c r="AE28">
        <f>SQRT(AA28^2+AC28^2)</f>
        <v>110.73208563387381</v>
      </c>
      <c r="AF28">
        <f>SQRT((AA28/AE28)^2*AB28^2+(AC28/AE28)^2*AD28^2)</f>
        <v>97.675117476963948</v>
      </c>
      <c r="AG28">
        <f>IF(DEGREES(ATAN(AC28/AA28))&lt;0, 180+DEGREES(ATAN(AC28/AA28)), DEGREES(ATAN(AC28/AA28)))</f>
        <v>14.132527005581636</v>
      </c>
      <c r="AJ28">
        <f>AG28-U20</f>
        <v>-6.423518214001831</v>
      </c>
      <c r="AK28">
        <f>SQRT(AI28^2+W20^2)</f>
        <v>5.0108928983421261</v>
      </c>
    </row>
    <row r="29" spans="1:60" x14ac:dyDescent="0.25">
      <c r="A29" t="s">
        <v>28</v>
      </c>
      <c r="B29">
        <v>444.5</v>
      </c>
      <c r="C29">
        <v>588.5</v>
      </c>
      <c r="D29">
        <v>631.46</v>
      </c>
      <c r="E29">
        <v>344</v>
      </c>
      <c r="F29">
        <v>689</v>
      </c>
      <c r="G29">
        <v>201</v>
      </c>
      <c r="H29">
        <v>201</v>
      </c>
      <c r="I29">
        <v>64</v>
      </c>
      <c r="X29">
        <f>U28-U20</f>
        <v>65.953343109747067</v>
      </c>
      <c r="Y29">
        <f>SQRT($W$20^2+W28^2)</f>
        <v>5.015565914509132</v>
      </c>
    </row>
    <row r="30" spans="1:60" x14ac:dyDescent="0.25">
      <c r="X30">
        <f>U28-U22</f>
        <v>-48.490611670669466</v>
      </c>
      <c r="Y30">
        <f>SQRT($W$22^2+W28^2)</f>
        <v>9.9408816175656671</v>
      </c>
    </row>
    <row r="31" spans="1:60" x14ac:dyDescent="0.25">
      <c r="X31" t="s">
        <v>32</v>
      </c>
    </row>
    <row r="32" spans="1:60" x14ac:dyDescent="0.25">
      <c r="A32" t="s">
        <v>29</v>
      </c>
      <c r="B32">
        <v>503</v>
      </c>
      <c r="C32">
        <v>1132</v>
      </c>
      <c r="D32">
        <v>634.60199999999998</v>
      </c>
      <c r="E32">
        <v>402</v>
      </c>
      <c r="F32">
        <v>1233</v>
      </c>
      <c r="G32">
        <v>202</v>
      </c>
      <c r="H32">
        <v>202</v>
      </c>
      <c r="I32">
        <v>64</v>
      </c>
      <c r="K32">
        <f>(I32-I36)/240</f>
        <v>0.26666666666666666</v>
      </c>
      <c r="N32">
        <f>B32-B33</f>
        <v>42</v>
      </c>
      <c r="O32">
        <f>ABS(N32)*$AQ$18+$AR$18</f>
        <v>1.4160962576793146</v>
      </c>
      <c r="P32">
        <f>C32-C33</f>
        <v>273</v>
      </c>
      <c r="Q32">
        <f>ABS(P32)*$AQ$18+$AR$18</f>
        <v>5.4447830075013703</v>
      </c>
      <c r="R32">
        <f>SQRT(N32^2+P32^2)</f>
        <v>276.21187519728403</v>
      </c>
      <c r="S32">
        <f>ABS(R32)*$AQ$18+$AR$18</f>
        <v>5.5007987609618914</v>
      </c>
      <c r="U32">
        <f>IF(DEGREES(ATAN(P32/N32))&lt;0, 180+DEGREES(ATAN(P32/N32)), DEGREES(ATAN(P32/N32)))</f>
        <v>81.253837737444798</v>
      </c>
      <c r="V32">
        <f>N32^2+P32^2</f>
        <v>76293</v>
      </c>
      <c r="W32">
        <f>DEGREES(SQRT(((P32/V32)^2)*O32^2+((N32/V32)^2)*Q32^2))</f>
        <v>0.33732210493750775</v>
      </c>
      <c r="X32">
        <f>U32-$U$18</f>
        <v>-1.7651048557254114</v>
      </c>
      <c r="Y32">
        <f>SQRT($W$18^2+W32^2)</f>
        <v>0.53276426251689024</v>
      </c>
    </row>
    <row r="33" spans="1:33" x14ac:dyDescent="0.25">
      <c r="A33" t="s">
        <v>59</v>
      </c>
      <c r="B33">
        <v>461</v>
      </c>
      <c r="C33">
        <v>859</v>
      </c>
      <c r="D33">
        <v>628.31899999999996</v>
      </c>
      <c r="E33">
        <v>361</v>
      </c>
      <c r="F33">
        <v>959</v>
      </c>
      <c r="G33">
        <v>200</v>
      </c>
      <c r="H33">
        <v>200</v>
      </c>
      <c r="I33">
        <v>64</v>
      </c>
    </row>
    <row r="38" spans="1:33" x14ac:dyDescent="0.25">
      <c r="AA38" t="e">
        <f>N38/K38</f>
        <v>#DIV/0!</v>
      </c>
      <c r="AC38" t="e">
        <f>P38/K38</f>
        <v>#DIV/0!</v>
      </c>
      <c r="AE38" t="e">
        <f>R38/K38</f>
        <v>#DIV/0!</v>
      </c>
      <c r="AF38" t="e">
        <f>ABS(AE38)*SQRT((L38/K38)^2+(S38/R38)^2)</f>
        <v>#DIV/0!</v>
      </c>
      <c r="AG38" t="e">
        <f>AF38/AE38</f>
        <v>#DIV/0!</v>
      </c>
    </row>
    <row r="41" spans="1:33" x14ac:dyDescent="0.25">
      <c r="AA41" t="e">
        <f>N41/K41</f>
        <v>#DIV/0!</v>
      </c>
      <c r="AC41" t="e">
        <f>P41/K41</f>
        <v>#DIV/0!</v>
      </c>
      <c r="AE41" t="e">
        <f>R41/K41</f>
        <v>#DIV/0!</v>
      </c>
      <c r="AF41" t="e">
        <f>ABS(AE41)*SQRT((L41/K41)^2+(S41/R41)^2)</f>
        <v>#DIV/0!</v>
      </c>
      <c r="AG41" t="e">
        <f>AF41/AE41</f>
        <v>#DIV/0!</v>
      </c>
    </row>
    <row r="44" spans="1:33" x14ac:dyDescent="0.25">
      <c r="AA44" t="e">
        <f>N44/K44</f>
        <v>#DIV/0!</v>
      </c>
      <c r="AC44" t="e">
        <f>P44/K44</f>
        <v>#DIV/0!</v>
      </c>
      <c r="AE44" t="e">
        <f>R44/K44</f>
        <v>#DIV/0!</v>
      </c>
      <c r="AF44" t="e">
        <f>ABS(AE44)*SQRT((L44/K44)^2+(S44/R44)^2)</f>
        <v>#DIV/0!</v>
      </c>
      <c r="AG44" t="e">
        <f>AF44/AE44</f>
        <v>#DIV/0!</v>
      </c>
    </row>
    <row r="47" spans="1:33" x14ac:dyDescent="0.25">
      <c r="AA47" t="e">
        <f>N47/K47</f>
        <v>#DIV/0!</v>
      </c>
      <c r="AC47" t="e">
        <f>P47/K47</f>
        <v>#DIV/0!</v>
      </c>
      <c r="AE47" t="e">
        <f>R47/K47</f>
        <v>#DIV/0!</v>
      </c>
      <c r="AF47" t="e">
        <f>ABS(AE47)*SQRT((L47/K47)^2+(S47/R47)^2)</f>
        <v>#DIV/0!</v>
      </c>
      <c r="AG47" t="e">
        <f>AF47/AE47</f>
        <v>#DIV/0!</v>
      </c>
    </row>
    <row r="50" spans="27:33" x14ac:dyDescent="0.25">
      <c r="AA50" t="e">
        <f>N50/K50</f>
        <v>#DIV/0!</v>
      </c>
      <c r="AC50" t="e">
        <f>P50/K50</f>
        <v>#DIV/0!</v>
      </c>
      <c r="AE50" t="e">
        <f>R50/K50</f>
        <v>#DIV/0!</v>
      </c>
      <c r="AF50" t="e">
        <f>ABS(AE50)*SQRT((L50/K50)^2+(S50/R50)^2)</f>
        <v>#DIV/0!</v>
      </c>
      <c r="AG50" t="e">
        <f>AF50/AE50</f>
        <v>#DIV/0!</v>
      </c>
    </row>
    <row r="53" spans="27:33" x14ac:dyDescent="0.25">
      <c r="AA53" t="e">
        <f>N53/K53</f>
        <v>#DIV/0!</v>
      </c>
      <c r="AC53" t="e">
        <f>P53/K53</f>
        <v>#DIV/0!</v>
      </c>
      <c r="AE53" t="e">
        <f>R53/K53</f>
        <v>#DIV/0!</v>
      </c>
      <c r="AF53" t="e">
        <f>ABS(AE53)*SQRT((L53/K53)^2+(S53/R53)^2)</f>
        <v>#DIV/0!</v>
      </c>
      <c r="AG53" t="e">
        <f>AF53/AE53</f>
        <v>#DIV/0!</v>
      </c>
    </row>
    <row r="55" spans="27:33" x14ac:dyDescent="0.25">
      <c r="AA55" t="e">
        <f>N55/K55</f>
        <v>#DIV/0!</v>
      </c>
      <c r="AC55" t="e">
        <f>P55/K55</f>
        <v>#DIV/0!</v>
      </c>
      <c r="AE55" t="e">
        <f>R55/K55</f>
        <v>#DIV/0!</v>
      </c>
      <c r="AF55" t="e">
        <f>ABS(AE55)*SQRT((L55/K55)^2+(S55/R55)^2)</f>
        <v>#DIV/0!</v>
      </c>
      <c r="AG55" t="e">
        <f>AF55/AE55</f>
        <v>#DIV/0!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A55F-2A52-4B1C-949D-E3794DE57D42}">
  <dimension ref="A1:BU54"/>
  <sheetViews>
    <sheetView tabSelected="1" workbookViewId="0">
      <pane xSplit="1" ySplit="2" topLeftCell="BF3" activePane="bottomRight" state="frozen"/>
      <selection pane="topRight" activeCell="B1" sqref="B1"/>
      <selection pane="bottomLeft" activeCell="A3" sqref="A3"/>
      <selection pane="bottomRight" activeCell="BL2" sqref="BL2:BM3"/>
    </sheetView>
  </sheetViews>
  <sheetFormatPr defaultRowHeight="15" x14ac:dyDescent="0.25"/>
  <cols>
    <col min="1" max="1" width="14.5703125" customWidth="1"/>
    <col min="12" max="13" width="8.28515625" customWidth="1"/>
    <col min="18" max="18" width="12" bestFit="1" customWidth="1"/>
    <col min="19" max="20" width="12" customWidth="1"/>
    <col min="25" max="25" width="7.7109375" customWidth="1"/>
    <col min="26" max="26" width="5.7109375" customWidth="1"/>
    <col min="42" max="42" width="12" bestFit="1" customWidth="1"/>
    <col min="67" max="67" width="11" bestFit="1" customWidth="1"/>
    <col min="71" max="71" width="11" bestFit="1" customWidth="1"/>
    <col min="72" max="73" width="12" bestFit="1" customWidth="1"/>
  </cols>
  <sheetData>
    <row r="1" spans="1:73" x14ac:dyDescent="0.25">
      <c r="A1" t="s">
        <v>231</v>
      </c>
      <c r="J1" s="2"/>
      <c r="K1" s="2" t="s">
        <v>48</v>
      </c>
      <c r="L1" s="2"/>
      <c r="M1" s="2"/>
      <c r="N1" s="2" t="s">
        <v>49</v>
      </c>
      <c r="O1" s="2"/>
      <c r="P1" s="2"/>
      <c r="Q1" s="2"/>
      <c r="R1" s="2"/>
      <c r="S1" s="2"/>
      <c r="T1" s="2"/>
      <c r="U1" s="2" t="s">
        <v>51</v>
      </c>
      <c r="V1" s="2"/>
      <c r="W1" s="2"/>
      <c r="X1" s="2"/>
      <c r="Y1" s="2"/>
      <c r="Z1" s="2"/>
      <c r="AA1" s="2" t="s">
        <v>50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101</v>
      </c>
      <c r="AM1" s="2"/>
      <c r="AN1" s="2"/>
      <c r="AO1" s="2"/>
      <c r="AP1" s="2"/>
      <c r="AQ1" s="2" t="s">
        <v>97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73" ht="18" x14ac:dyDescent="0.35">
      <c r="A2" t="s">
        <v>25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K2" s="2" t="s">
        <v>15</v>
      </c>
      <c r="L2" s="1" t="s">
        <v>45</v>
      </c>
      <c r="M2" s="1"/>
      <c r="N2" s="2" t="s">
        <v>41</v>
      </c>
      <c r="O2" s="1" t="s">
        <v>43</v>
      </c>
      <c r="P2" s="2" t="s">
        <v>42</v>
      </c>
      <c r="Q2" s="1" t="s">
        <v>44</v>
      </c>
      <c r="R2" s="2" t="s">
        <v>17</v>
      </c>
      <c r="S2" s="1" t="s">
        <v>33</v>
      </c>
      <c r="T2" s="1"/>
      <c r="U2" s="2" t="s">
        <v>37</v>
      </c>
      <c r="V2" t="s">
        <v>36</v>
      </c>
      <c r="W2" s="1" t="s">
        <v>35</v>
      </c>
      <c r="X2" s="2" t="s">
        <v>38</v>
      </c>
      <c r="Y2" s="1" t="s">
        <v>47</v>
      </c>
      <c r="Z2" s="1"/>
      <c r="AA2" s="2" t="s">
        <v>18</v>
      </c>
      <c r="AB2" t="s">
        <v>99</v>
      </c>
      <c r="AC2" s="2" t="s">
        <v>19</v>
      </c>
      <c r="AD2" t="s">
        <v>100</v>
      </c>
      <c r="AE2" s="2" t="s">
        <v>16</v>
      </c>
      <c r="AF2" t="s">
        <v>40</v>
      </c>
      <c r="AG2" s="1" t="s">
        <v>39</v>
      </c>
      <c r="AH2" s="3" t="s">
        <v>224</v>
      </c>
      <c r="AI2" s="1" t="s">
        <v>225</v>
      </c>
      <c r="AL2" s="3" t="s">
        <v>226</v>
      </c>
      <c r="AM2" s="1" t="s">
        <v>227</v>
      </c>
      <c r="AN2" t="s">
        <v>180</v>
      </c>
      <c r="AO2" t="s">
        <v>181</v>
      </c>
      <c r="AQ2" t="s">
        <v>30</v>
      </c>
      <c r="AR2" t="s">
        <v>34</v>
      </c>
      <c r="AU2" t="s">
        <v>108</v>
      </c>
      <c r="AV2" t="s">
        <v>61</v>
      </c>
      <c r="AW2" t="s">
        <v>112</v>
      </c>
      <c r="AX2" s="1" t="s">
        <v>109</v>
      </c>
      <c r="AY2" s="1" t="s">
        <v>110</v>
      </c>
      <c r="AZ2" s="1" t="s">
        <v>111</v>
      </c>
      <c r="BA2" s="1" t="str">
        <f>AE2</f>
        <v>v</v>
      </c>
      <c r="BB2" s="1" t="str">
        <f>AF2</f>
        <v>σv</v>
      </c>
      <c r="BC2" s="1" t="str">
        <f>X12</f>
        <v>collision angle</v>
      </c>
      <c r="BD2" s="1"/>
      <c r="BE2" t="str">
        <f>AH2</f>
        <v>vn</v>
      </c>
      <c r="BF2" t="str">
        <f>AI2</f>
        <v>σvn</v>
      </c>
      <c r="BG2" t="str">
        <f>AN2</f>
        <v>COR</v>
      </c>
      <c r="BH2" t="str">
        <f>AO2</f>
        <v>σCOR</v>
      </c>
      <c r="BJ2" s="1" t="s">
        <v>250</v>
      </c>
      <c r="BK2" s="1" t="s">
        <v>256</v>
      </c>
      <c r="BL2" t="s">
        <v>184</v>
      </c>
      <c r="BM2" s="1" t="s">
        <v>185</v>
      </c>
      <c r="BN2" s="1" t="s">
        <v>251</v>
      </c>
      <c r="BO2" s="1" t="s">
        <v>216</v>
      </c>
      <c r="BQ2" t="s">
        <v>254</v>
      </c>
      <c r="BR2" t="s">
        <v>257</v>
      </c>
      <c r="BS2" t="s">
        <v>259</v>
      </c>
      <c r="BT2" t="s">
        <v>258</v>
      </c>
      <c r="BU2" t="s">
        <v>260</v>
      </c>
    </row>
    <row r="3" spans="1:73" x14ac:dyDescent="0.25">
      <c r="A3" t="s">
        <v>28</v>
      </c>
      <c r="B3">
        <v>647.5</v>
      </c>
      <c r="C3">
        <v>728.5</v>
      </c>
      <c r="D3">
        <v>637.74300000000005</v>
      </c>
      <c r="E3">
        <v>546</v>
      </c>
      <c r="F3">
        <v>830</v>
      </c>
      <c r="G3">
        <v>203</v>
      </c>
      <c r="H3">
        <v>203</v>
      </c>
      <c r="I3">
        <v>165</v>
      </c>
      <c r="K3">
        <f>(I3-I4)/240</f>
        <v>7.9166666666666663E-2</v>
      </c>
      <c r="L3">
        <f>1/240</f>
        <v>4.1666666666666666E-3</v>
      </c>
      <c r="N3">
        <f>B3-B4</f>
        <v>6</v>
      </c>
      <c r="O3">
        <f>ABS(N3)*$AQ$3+$AR$3</f>
        <v>0.92778865274153877</v>
      </c>
      <c r="P3">
        <f>C3-C4</f>
        <v>217</v>
      </c>
      <c r="Q3">
        <f>ABS(P3)*$AQ$3+$AR$3</f>
        <v>5.7930774143650616</v>
      </c>
      <c r="R3">
        <f>SQRT(N3^2+P3^2)</f>
        <v>217.0829334609241</v>
      </c>
      <c r="S3">
        <f>ABS(R3)*$AQ$3+$AR$3</f>
        <v>5.7949897140588842</v>
      </c>
      <c r="T3" s="1"/>
      <c r="U3" s="5">
        <f>IFERROR(DEGREES(ATAN2(N3, P3)), 90)</f>
        <v>88.41618842913806</v>
      </c>
      <c r="V3" s="5">
        <f>N3^2+P3^2</f>
        <v>47125</v>
      </c>
      <c r="W3" s="5">
        <f>DEGREES(SQRT(((P3/V3)^2)*O3^2+((N3/V3)^2)*Q3^2))</f>
        <v>0.24840353213831576</v>
      </c>
      <c r="X3">
        <f>U3-$U$3</f>
        <v>0</v>
      </c>
      <c r="Y3">
        <f>SQRT($W$3^2+W3^2)</f>
        <v>0.35129564409138714</v>
      </c>
      <c r="AA3" s="5">
        <f>N3/K3</f>
        <v>75.789473684210535</v>
      </c>
      <c r="AB3" s="5">
        <f>ABS(AA3)*SQRT((L3/K3)^2+(O3/N3)^2)</f>
        <v>12.379687040279785</v>
      </c>
      <c r="AC3" s="5">
        <f>P3/K3</f>
        <v>2741.0526315789475</v>
      </c>
      <c r="AD3" s="5">
        <f>ABS(AC3)*SQRT((L3/K3)^2+(Q3/P3)^2)</f>
        <v>161.76323191102469</v>
      </c>
      <c r="AE3" s="5">
        <f>R3/K3</f>
        <v>2742.1002121379888</v>
      </c>
      <c r="AF3" s="5">
        <f>ABS(AE3)*SQRT((L3/K3)^2+(S3/R3)^2)</f>
        <v>161.82333093230577</v>
      </c>
      <c r="AG3" s="5">
        <f>AF3/AE3</f>
        <v>5.9014375264620139E-2</v>
      </c>
      <c r="AH3" s="5">
        <f>AE3*COS(RADIANS(X13))</f>
        <v>2741.2347509662968</v>
      </c>
      <c r="AI3" s="5">
        <f>SQRT(COS(RADIANS(X13))^2*AF3^2+(AE3*SIN(RADIANS(X13)))^2*Y13^2)</f>
        <v>163.52222537461009</v>
      </c>
      <c r="AL3">
        <f>AH3</f>
        <v>2741.2347509662968</v>
      </c>
      <c r="AM3">
        <f>AI3</f>
        <v>163.52222537461009</v>
      </c>
      <c r="AN3">
        <f>AL5/AL3</f>
        <v>0.95057644237901906</v>
      </c>
      <c r="AO3">
        <f>ABS(AN3)*SQRT((AM3/AL3)^2+(AM5/AL5)^2)</f>
        <v>0.10175964997976535</v>
      </c>
      <c r="AQ3">
        <f>0.0115291202882074*AS3</f>
        <v>2.3058240576414799E-2</v>
      </c>
      <c r="AR3">
        <f>AS3*0.394719604641525</f>
        <v>0.78943920928305</v>
      </c>
      <c r="AS3">
        <v>2</v>
      </c>
      <c r="AU3">
        <v>2.13</v>
      </c>
      <c r="AV3">
        <v>2</v>
      </c>
      <c r="AX3">
        <v>0.2</v>
      </c>
      <c r="BA3" s="1">
        <f>AE3</f>
        <v>2742.1002121379888</v>
      </c>
      <c r="BB3" s="1">
        <f>AF3</f>
        <v>161.82333093230577</v>
      </c>
      <c r="BC3" s="1">
        <f>X13</f>
        <v>-1.4395646930443178</v>
      </c>
      <c r="BD3" s="1">
        <f>Y13</f>
        <v>0.34634374979996929</v>
      </c>
      <c r="BE3">
        <f>AH3</f>
        <v>2741.2347509662968</v>
      </c>
      <c r="BF3">
        <f>AI3</f>
        <v>163.52222537461009</v>
      </c>
      <c r="BG3">
        <f>AN3</f>
        <v>0.95057644237901906</v>
      </c>
      <c r="BH3">
        <f>AO3</f>
        <v>0.10175964997976535</v>
      </c>
      <c r="BJ3" s="12">
        <f>AE3/1000</f>
        <v>2.7421002121379887</v>
      </c>
      <c r="BK3" s="12">
        <f>AF3/1000</f>
        <v>0.16182333093230578</v>
      </c>
      <c r="BL3">
        <f>18.415</f>
        <v>18.414999999999999</v>
      </c>
      <c r="BM3">
        <v>6.6080758671997253E-2</v>
      </c>
      <c r="BN3" s="12">
        <f>0.5*$BL$3*BJ3^2</f>
        <v>69.232238227146809</v>
      </c>
      <c r="BO3" s="12">
        <f>SQRT(BN3^2*((BM3/BL3)^2+(BK3/BJ3)^2+(BK3/BJ3)^2))</f>
        <v>5.7833869209981925</v>
      </c>
      <c r="BQ3">
        <v>0.01</v>
      </c>
      <c r="BR3">
        <f>BL3*9.8*BQ3</f>
        <v>1.8046700000000002</v>
      </c>
      <c r="BS3">
        <f>SQRT(BR3*(BM3/BL3)^2)</f>
        <v>4.8206122130688466E-3</v>
      </c>
      <c r="BT3">
        <f>BR3*R3/1000</f>
        <v>0.39176305752892593</v>
      </c>
      <c r="BU3">
        <f>SQRT(BT3*((BS3/BR3)^2+(S3/R3)^2))</f>
        <v>1.6791989860750787E-2</v>
      </c>
    </row>
    <row r="4" spans="1:73" x14ac:dyDescent="0.25">
      <c r="A4" t="s">
        <v>1</v>
      </c>
      <c r="B4">
        <v>641.5</v>
      </c>
      <c r="C4">
        <v>511.5</v>
      </c>
      <c r="D4">
        <v>637.74300000000005</v>
      </c>
      <c r="E4">
        <v>540</v>
      </c>
      <c r="F4">
        <v>613</v>
      </c>
      <c r="G4">
        <v>203</v>
      </c>
      <c r="H4">
        <v>203</v>
      </c>
      <c r="I4">
        <v>146</v>
      </c>
      <c r="L4">
        <f t="shared" ref="L4:L8" si="0">1/240</f>
        <v>4.1666666666666666E-3</v>
      </c>
      <c r="AQ4">
        <f>AS3*0.00082859354817286</f>
        <v>1.6571870963457201E-3</v>
      </c>
      <c r="AR4">
        <f>0.108885991854634*AS3</f>
        <v>0.21777198370926801</v>
      </c>
      <c r="BC4" s="1"/>
      <c r="BD4" s="1"/>
      <c r="BJ4" s="12"/>
      <c r="BK4" s="12"/>
      <c r="BN4" s="12"/>
      <c r="BO4" s="12"/>
    </row>
    <row r="5" spans="1:73" x14ac:dyDescent="0.25">
      <c r="A5" t="s">
        <v>4</v>
      </c>
      <c r="B5">
        <v>631.5</v>
      </c>
      <c r="C5">
        <v>754.5</v>
      </c>
      <c r="D5">
        <v>637.74300000000005</v>
      </c>
      <c r="E5">
        <v>530</v>
      </c>
      <c r="F5">
        <v>856</v>
      </c>
      <c r="G5">
        <v>203</v>
      </c>
      <c r="H5">
        <v>203</v>
      </c>
      <c r="I5">
        <v>224</v>
      </c>
      <c r="K5">
        <f>(I5-I6)/240</f>
        <v>0.23749999999999999</v>
      </c>
      <c r="L5">
        <f t="shared" si="0"/>
        <v>4.1666666666666666E-3</v>
      </c>
      <c r="N5">
        <f>B5-B6</f>
        <v>-16</v>
      </c>
      <c r="O5">
        <f>ABS(N5)*$AQ$3+$AR$3</f>
        <v>1.1583710585056868</v>
      </c>
      <c r="P5">
        <f>C5-C6</f>
        <v>14</v>
      </c>
      <c r="Q5">
        <f>ABS(P5)*$AQ$3+$AR$3</f>
        <v>1.1122545773528572</v>
      </c>
      <c r="R5">
        <f>SQRT(N5^2+P5^2)</f>
        <v>21.2602916254693</v>
      </c>
      <c r="S5">
        <f>ABS(R5)*$AQ$3+$AR$3</f>
        <v>1.279664128307858</v>
      </c>
      <c r="T5" s="1" t="s">
        <v>85</v>
      </c>
      <c r="U5" s="5">
        <f>IFERROR(DEGREES(ATAN2(N5, P5)), 90)</f>
        <v>138.81407483429035</v>
      </c>
      <c r="V5" s="5">
        <f>N5^2+P5^2</f>
        <v>452</v>
      </c>
      <c r="W5" s="5">
        <f>DEGREES(SQRT(((P5/V5)^2)*O5^2+((N5/V5)^2)*Q5^2))</f>
        <v>3.0520030282201742</v>
      </c>
      <c r="X5">
        <f>U5-$U$3</f>
        <v>50.397886405152292</v>
      </c>
      <c r="Y5">
        <f>SQRT($W$3^2+W5^2)</f>
        <v>3.0620951649228516</v>
      </c>
      <c r="AA5" s="5">
        <f>N5/K5</f>
        <v>-67.368421052631575</v>
      </c>
      <c r="AB5" s="5">
        <f>ABS(AA5)*SQRT((L5/K5)^2+(O5/N5)^2)</f>
        <v>5.018511079763579</v>
      </c>
      <c r="AC5" s="5">
        <f>P5/K5</f>
        <v>58.947368421052637</v>
      </c>
      <c r="AD5" s="5">
        <f>ABS(AC5)*SQRT((L5/K5)^2+(Q5/P5)^2)</f>
        <v>4.796002950887444</v>
      </c>
      <c r="AE5" s="5">
        <f>R5/K5</f>
        <v>89.517017370397056</v>
      </c>
      <c r="AF5" s="5">
        <f>ABS(AE5)*SQRT((L5/K5)^2+(S5/R5)^2)</f>
        <v>5.6122699143954398</v>
      </c>
      <c r="AG5" s="5">
        <f>AF5/AE5</f>
        <v>6.2695005701244422E-2</v>
      </c>
      <c r="AH5">
        <f>AE5*COS(RADIANS(X14))</f>
        <v>55.312080914320454</v>
      </c>
      <c r="AI5">
        <f>SQRT(COS(RADIANS(X14))^2*AF5^2+(AE5*SIN(RADIANS(X14)))^2*Y14^2)</f>
        <v>215.5098887656988</v>
      </c>
      <c r="AL5">
        <f>AH7-AH5</f>
        <v>2605.7531772992788</v>
      </c>
      <c r="AM5">
        <f>SQRT(AI5^2+AI7^2)</f>
        <v>231.62419579326502</v>
      </c>
      <c r="BJ5" s="12">
        <f>AE5/1000</f>
        <v>8.9517017370397051E-2</v>
      </c>
      <c r="BK5" s="12">
        <f>AF5/1000</f>
        <v>5.61226991439544E-3</v>
      </c>
      <c r="BL5">
        <f>18.415</f>
        <v>18.414999999999999</v>
      </c>
      <c r="BM5">
        <v>6.6080758671997253E-2</v>
      </c>
      <c r="BN5" s="12">
        <f>0.5*$BL$3*BJ5^2</f>
        <v>7.3782426592797795E-2</v>
      </c>
      <c r="BO5" s="12">
        <f>SQRT(BN5^2*((BM5/BL5)^2+(BK5/BJ5)^2+(BK5/BJ5)^2))</f>
        <v>6.5472100153010715E-3</v>
      </c>
      <c r="BQ5">
        <v>0.01</v>
      </c>
      <c r="BR5">
        <f>BL5*9.8*BQ5</f>
        <v>1.8046700000000002</v>
      </c>
      <c r="BS5">
        <f>SQRT(BR5*(BM5/BL5)^2)</f>
        <v>4.8206122130688466E-3</v>
      </c>
      <c r="BT5">
        <f>BR5*R5/1000</f>
        <v>3.8367810487735687E-2</v>
      </c>
      <c r="BU5">
        <f>SQRT(BT5*((BS5/BR5)^2+(S5/R5)^2))</f>
        <v>1.180150886148521E-2</v>
      </c>
    </row>
    <row r="6" spans="1:73" x14ac:dyDescent="0.25">
      <c r="A6" t="s">
        <v>20</v>
      </c>
      <c r="B6">
        <v>647.5</v>
      </c>
      <c r="C6">
        <v>740.5</v>
      </c>
      <c r="D6">
        <v>637.74300000000005</v>
      </c>
      <c r="E6">
        <v>546</v>
      </c>
      <c r="F6">
        <v>842</v>
      </c>
      <c r="G6">
        <v>203</v>
      </c>
      <c r="H6">
        <v>203</v>
      </c>
      <c r="I6">
        <v>167</v>
      </c>
      <c r="L6">
        <f t="shared" si="0"/>
        <v>4.1666666666666666E-3</v>
      </c>
      <c r="BJ6" s="12"/>
      <c r="BK6" s="12"/>
      <c r="BN6" s="12"/>
      <c r="BO6" s="12"/>
    </row>
    <row r="7" spans="1:73" x14ac:dyDescent="0.25">
      <c r="A7" t="s">
        <v>2</v>
      </c>
      <c r="B7">
        <v>692.5</v>
      </c>
      <c r="C7">
        <v>1562.5</v>
      </c>
      <c r="D7">
        <v>631.46</v>
      </c>
      <c r="E7">
        <v>592</v>
      </c>
      <c r="F7">
        <v>1663</v>
      </c>
      <c r="G7">
        <v>201</v>
      </c>
      <c r="H7">
        <v>201</v>
      </c>
      <c r="I7">
        <v>216</v>
      </c>
      <c r="K7">
        <f>(I7-I8)/240</f>
        <v>0.20416666666666666</v>
      </c>
      <c r="L7">
        <f t="shared" si="0"/>
        <v>4.1666666666666666E-3</v>
      </c>
      <c r="N7">
        <f>B7-B8</f>
        <v>29.5</v>
      </c>
      <c r="O7">
        <f>ABS(N7)*$AQ$3+$AR$3</f>
        <v>1.4696573062872864</v>
      </c>
      <c r="P7">
        <f>C7-C8</f>
        <v>542.5</v>
      </c>
      <c r="Q7">
        <f>ABS(P7)*$AQ$3+$AR$3</f>
        <v>13.298534721988078</v>
      </c>
      <c r="R7">
        <f>SQRT(N7^2+P7^2)</f>
        <v>543.30148168397261</v>
      </c>
      <c r="S7">
        <f>ABS(R7)*$AQ$3+$AR$3</f>
        <v>13.317015479474708</v>
      </c>
      <c r="T7" s="1" t="s">
        <v>86</v>
      </c>
      <c r="U7">
        <f>IFERROR(DEGREES(ATAN2(N7, P7)), 90)</f>
        <v>86.887442447558158</v>
      </c>
      <c r="V7">
        <f>N7^2+P7^2</f>
        <v>295176.5</v>
      </c>
      <c r="W7">
        <f>DEGREES(SQRT(((P7/V7)^2)*O7^2+((N7/V7)^2)*Q7^2))</f>
        <v>0.17247947017436477</v>
      </c>
      <c r="X7">
        <f>U7-$U$3</f>
        <v>-1.5287459815799025</v>
      </c>
      <c r="Y7">
        <f>SQRT($W$3^2+W7^2)</f>
        <v>0.30241276826619085</v>
      </c>
      <c r="AA7">
        <f>N7/K7</f>
        <v>144.48979591836735</v>
      </c>
      <c r="AB7">
        <f>ABS(AA7)*SQRT((L7/K7)^2+(O7/N7)^2)</f>
        <v>7.7788871226347958</v>
      </c>
      <c r="AC7">
        <f>P7/K7</f>
        <v>2657.1428571428573</v>
      </c>
      <c r="AD7">
        <f>ABS(AC7)*SQRT((L7/K7)^2+(Q7/P7)^2)</f>
        <v>84.754164052697575</v>
      </c>
      <c r="AE7">
        <f>R7/K7</f>
        <v>2661.0684817174169</v>
      </c>
      <c r="AF7">
        <f>ABS(AE7)*SQRT((L7/K7)^2+(S7/R7)^2)</f>
        <v>84.874988498963162</v>
      </c>
      <c r="AG7">
        <f>AF7/AE7</f>
        <v>3.1895078643066718E-2</v>
      </c>
      <c r="AH7">
        <f>AE7*COS(RADIANS(X15))</f>
        <v>2661.0652582135995</v>
      </c>
      <c r="AI7">
        <f>SQRT(COS(RADIANS(X15))^2*AF7^2+(AE7*SIN(RADIANS(X15)))^2*Y15^2)</f>
        <v>84.883778904292996</v>
      </c>
      <c r="BJ7" s="12">
        <f>AE7/1000</f>
        <v>2.6610684817174168</v>
      </c>
      <c r="BK7" s="12">
        <f>AF7/1000</f>
        <v>8.4874988498963161E-2</v>
      </c>
      <c r="BL7">
        <f>18.415</f>
        <v>18.414999999999999</v>
      </c>
      <c r="BM7">
        <v>6.6080758671997253E-2</v>
      </c>
      <c r="BN7" s="12">
        <f>0.5*$BL$3*BJ7^2</f>
        <v>65.200935913369435</v>
      </c>
      <c r="BO7" s="12">
        <f>SQRT(BN7^2*((BM7/BL7)^2+(BK7/BJ7)^2+(BK7/BJ7)^2))</f>
        <v>2.9502748739729596</v>
      </c>
      <c r="BQ7">
        <v>0.01</v>
      </c>
      <c r="BR7">
        <f>BL7*9.8*BQ7</f>
        <v>1.8046700000000002</v>
      </c>
      <c r="BS7">
        <f>SQRT(BR7*(BM7/BL7)^2)</f>
        <v>4.8206122130688466E-3</v>
      </c>
      <c r="BT7">
        <f>BR7*R7/1000</f>
        <v>0.980479884950615</v>
      </c>
      <c r="BU7">
        <f>SQRT(BT7*((BS7/BR7)^2+(S7/R7)^2))</f>
        <v>2.441456807858244E-2</v>
      </c>
    </row>
    <row r="8" spans="1:73" x14ac:dyDescent="0.25">
      <c r="A8" t="s">
        <v>31</v>
      </c>
      <c r="B8">
        <v>663</v>
      </c>
      <c r="C8">
        <v>1020</v>
      </c>
      <c r="D8">
        <v>640.88499999999999</v>
      </c>
      <c r="E8">
        <v>561</v>
      </c>
      <c r="F8">
        <v>1122</v>
      </c>
      <c r="G8">
        <v>204</v>
      </c>
      <c r="H8">
        <v>204</v>
      </c>
      <c r="I8">
        <v>167</v>
      </c>
      <c r="L8">
        <f t="shared" si="0"/>
        <v>4.1666666666666666E-3</v>
      </c>
      <c r="BM8" s="3" t="s">
        <v>252</v>
      </c>
      <c r="BN8">
        <f>BN7+BN5-BN3</f>
        <v>-3.9575198871845743</v>
      </c>
      <c r="BO8">
        <f>SQRT(BO3^2+BO5^2+BO7^2)</f>
        <v>6.4924362897088255</v>
      </c>
      <c r="BS8" s="3" t="s">
        <v>255</v>
      </c>
      <c r="BT8" s="12">
        <f>BN7+BT7+BN5+BT5-(BN3+BT3)</f>
        <v>-3.3304352492751406</v>
      </c>
      <c r="BU8">
        <f>SQRT(BO3^2+BO5^2+BO7^2+BU3^2+BU5^2+BU7^2)</f>
        <v>6.4925146356090302</v>
      </c>
    </row>
    <row r="9" spans="1:73" x14ac:dyDescent="0.25">
      <c r="BM9" s="3" t="s">
        <v>253</v>
      </c>
      <c r="BN9">
        <f>BN8/BN3*100</f>
        <v>-5.7162963216647569</v>
      </c>
      <c r="BS9" s="3" t="s">
        <v>253</v>
      </c>
      <c r="BT9">
        <f>BT8/BN3*100</f>
        <v>-4.8105266196192913</v>
      </c>
    </row>
    <row r="10" spans="1:73" x14ac:dyDescent="0.25">
      <c r="AE10" t="s">
        <v>102</v>
      </c>
      <c r="AF10" t="s">
        <v>103</v>
      </c>
      <c r="AG10" s="1" t="s">
        <v>105</v>
      </c>
      <c r="AH10" s="1" t="s">
        <v>36</v>
      </c>
      <c r="AI10" t="s">
        <v>106</v>
      </c>
      <c r="AJ10" s="1" t="s">
        <v>104</v>
      </c>
      <c r="AK10" t="s">
        <v>107</v>
      </c>
    </row>
    <row r="11" spans="1:73" x14ac:dyDescent="0.25">
      <c r="U11">
        <f>U7-U5</f>
        <v>-51.926632386732194</v>
      </c>
      <c r="W11">
        <f>SQRT(W5^2+W7^2)</f>
        <v>3.0568728550426729</v>
      </c>
      <c r="AA11">
        <f>SUM(AA3:AA4)-SUM(AA5:AA7)</f>
        <v>-1.3319011815252395</v>
      </c>
      <c r="AB11">
        <f>SQRT(SUMPRODUCT(AB3:AB7,AB3:AB7))</f>
        <v>15.458110801119084</v>
      </c>
      <c r="AC11">
        <f>SUM(AC3:AC4)-SUM(AC5:AC7)</f>
        <v>24.962406015037686</v>
      </c>
      <c r="AD11">
        <f>SQRT(SUMPRODUCT(AD3:AD7,AD3:AD7))</f>
        <v>182.68446339762025</v>
      </c>
      <c r="AE11">
        <f>SQRT(AA11^2+AC11^2)</f>
        <v>24.997913409261539</v>
      </c>
      <c r="AF11">
        <f>SQRT((AA11/AE11)^2*AB11^2+(AC11/AE11)^2*AD11^2)</f>
        <v>182.42683499812674</v>
      </c>
      <c r="AG11">
        <f>IF(DEGREES(ATAN(AC11/AA11))&lt;0, 180+DEGREES(ATAN(AC11/AA11)), DEGREES(ATAN(AC11/AA11)))</f>
        <v>93.054193661031533</v>
      </c>
      <c r="AH11">
        <f>AA11^2+AC11^2</f>
        <v>624.89567481693791</v>
      </c>
      <c r="AI11">
        <f>DEGREES(SQRT(((AC11/AH11)^2)*AB11^2+((AA11/AH11)^2)*AD11^2))</f>
        <v>41.826504583164294</v>
      </c>
      <c r="AJ11">
        <f>AG11-U3</f>
        <v>4.638005231893473</v>
      </c>
      <c r="AK11">
        <f>SQRT(AI11^2+W3^2)</f>
        <v>41.827242198837858</v>
      </c>
    </row>
    <row r="12" spans="1:73" x14ac:dyDescent="0.25">
      <c r="X12" t="s">
        <v>32</v>
      </c>
    </row>
    <row r="13" spans="1:73" x14ac:dyDescent="0.25">
      <c r="A13" t="s">
        <v>29</v>
      </c>
      <c r="B13">
        <v>662.5</v>
      </c>
      <c r="C13">
        <v>1012.5</v>
      </c>
      <c r="D13">
        <v>637.74300000000005</v>
      </c>
      <c r="E13">
        <v>561</v>
      </c>
      <c r="F13">
        <v>1114</v>
      </c>
      <c r="G13">
        <v>203</v>
      </c>
      <c r="H13">
        <v>203</v>
      </c>
      <c r="I13">
        <v>165</v>
      </c>
      <c r="K13">
        <f>(I13-I14)/240</f>
        <v>0</v>
      </c>
      <c r="N13">
        <f>B13-B14</f>
        <v>15</v>
      </c>
      <c r="O13">
        <f>ABS(N13)*$AQ$3+$AR$3</f>
        <v>1.135312817929272</v>
      </c>
      <c r="P13">
        <f>C13-C14</f>
        <v>284</v>
      </c>
      <c r="Q13">
        <f>ABS(P13)*$AQ$3+$AR$3</f>
        <v>7.3379795329848534</v>
      </c>
      <c r="R13">
        <f>SQRT(N13^2+P13^2)</f>
        <v>284.3958508839396</v>
      </c>
      <c r="S13">
        <f>R13*$AQ$3+$AR$3</f>
        <v>7.3471071578991189</v>
      </c>
      <c r="T13" t="s">
        <v>87</v>
      </c>
      <c r="U13">
        <f>IF(DEGREES(ATAN(P13/N13))&lt;0, 180+DEGREES(ATAN(P13/N13)), DEGREES(ATAN(P13/N13)))</f>
        <v>86.976623736093742</v>
      </c>
      <c r="V13">
        <f>N13^2+P13^2</f>
        <v>80881</v>
      </c>
      <c r="W13">
        <f>DEGREES(SQRT(((P13/V13)^2)*O13^2+((N13/V13)^2)*Q13^2))</f>
        <v>0.24134970115314514</v>
      </c>
      <c r="X13">
        <f>U13-$U$3</f>
        <v>-1.4395646930443178</v>
      </c>
      <c r="Y13">
        <f>SQRT($W$3^2+W13^2)</f>
        <v>0.34634374979996929</v>
      </c>
    </row>
    <row r="14" spans="1:73" x14ac:dyDescent="0.25">
      <c r="A14" t="s">
        <v>28</v>
      </c>
      <c r="B14">
        <v>647.5</v>
      </c>
      <c r="C14">
        <v>728.5</v>
      </c>
      <c r="D14">
        <v>637.74300000000005</v>
      </c>
      <c r="E14">
        <v>546</v>
      </c>
      <c r="F14">
        <v>830</v>
      </c>
      <c r="G14">
        <v>203</v>
      </c>
      <c r="H14">
        <v>203</v>
      </c>
      <c r="I14">
        <v>165</v>
      </c>
      <c r="X14">
        <f>U13-U5</f>
        <v>-51.83745109819661</v>
      </c>
      <c r="Y14">
        <f>SQRT($W$5^2+W13^2)</f>
        <v>3.0615310160950231</v>
      </c>
    </row>
    <row r="15" spans="1:73" x14ac:dyDescent="0.25">
      <c r="X15">
        <f>U13-U7</f>
        <v>8.9181288535584713E-2</v>
      </c>
      <c r="Y15">
        <f>SQRT($W$7^2+W13^2)</f>
        <v>0.2966459942057908</v>
      </c>
    </row>
    <row r="18" spans="11:56" x14ac:dyDescent="0.25">
      <c r="K18">
        <f>(I18-I19)/240</f>
        <v>0</v>
      </c>
      <c r="L18">
        <f>1/240</f>
        <v>4.1666666666666666E-3</v>
      </c>
      <c r="N18">
        <f>B18-B19</f>
        <v>0</v>
      </c>
      <c r="O18">
        <f>ABS(N18)*$AQ$18+$AR$18</f>
        <v>0</v>
      </c>
      <c r="P18">
        <f>C18-C19</f>
        <v>0</v>
      </c>
      <c r="Q18">
        <f>ABS(P18)*$AQ$18+$AR$18</f>
        <v>0</v>
      </c>
      <c r="R18">
        <f>SQRT(N18^2+P18^2)</f>
        <v>0</v>
      </c>
      <c r="S18">
        <f>ABS(R18)*$AQ$18+$AR$18</f>
        <v>0</v>
      </c>
      <c r="U18">
        <f>IFERROR(DEGREES(ATAN2(N18, P18)), 90)</f>
        <v>90</v>
      </c>
      <c r="V18">
        <f>N18^2+P18^2</f>
        <v>0</v>
      </c>
      <c r="W18" t="e">
        <f>DEGREES(SQRT(((P18/V18)^2)*O18^2+((N18/V18)^2)*Q18^2))</f>
        <v>#DIV/0!</v>
      </c>
      <c r="X18">
        <f>U18-$U$18</f>
        <v>0</v>
      </c>
      <c r="Y18" t="e">
        <f>SQRT($W$18^2+W18^2)</f>
        <v>#DIV/0!</v>
      </c>
      <c r="AA18" t="e">
        <f>N18/K18</f>
        <v>#DIV/0!</v>
      </c>
      <c r="AB18" t="e">
        <f>ABS(AA18)*SQRT((L18/K18)^2+(O18/N18)^2)</f>
        <v>#DIV/0!</v>
      </c>
      <c r="AC18" t="e">
        <f>P18/K18</f>
        <v>#DIV/0!</v>
      </c>
      <c r="AD18" t="e">
        <f>ABS(AC18)*SQRT((L18/K18)^2+(Q18/P18)^2)</f>
        <v>#DIV/0!</v>
      </c>
      <c r="AE18" t="e">
        <f>R18/K18</f>
        <v>#DIV/0!</v>
      </c>
      <c r="AF18" t="e">
        <f>ABS(AE18)*SQRT((L18/K18)^2+(S18/R18)^2)</f>
        <v>#DIV/0!</v>
      </c>
      <c r="AG18" t="e">
        <f>AF18/AE18</f>
        <v>#DIV/0!</v>
      </c>
      <c r="AH18" t="e">
        <f>AE18*COS(RADIANS(X28))</f>
        <v>#DIV/0!</v>
      </c>
      <c r="AI18" t="e">
        <f>SQRT(COS(RADIANS(X28))^2*AF18^2+(AE18*SIN(RADIANS(X28)))^2*Y28^2)</f>
        <v>#DIV/0!</v>
      </c>
      <c r="AJ18" t="e">
        <f>(AE3-AE18)/AE18</f>
        <v>#DIV/0!</v>
      </c>
      <c r="AL18" t="e">
        <f>AH18</f>
        <v>#DIV/0!</v>
      </c>
      <c r="AM18" t="e">
        <f>AI18</f>
        <v>#DIV/0!</v>
      </c>
      <c r="AN18" t="e">
        <f>AL20/AL18</f>
        <v>#DIV/0!</v>
      </c>
      <c r="AO18" t="e">
        <f>ABS(AN18)*SQRT((AM18/AL18)^2+(AM20/AL20)^2)</f>
        <v>#DIV/0!</v>
      </c>
      <c r="BA18" s="1"/>
      <c r="BB18" s="1"/>
      <c r="BC18" s="1"/>
      <c r="BD18" s="1"/>
    </row>
    <row r="19" spans="11:56" x14ac:dyDescent="0.25">
      <c r="L19">
        <f t="shared" ref="L19:L23" si="1">1/240</f>
        <v>4.1666666666666666E-3</v>
      </c>
      <c r="BC19" s="1"/>
      <c r="BD19" s="1"/>
    </row>
    <row r="20" spans="11:56" x14ac:dyDescent="0.25">
      <c r="K20">
        <f>(I20-I21)/240</f>
        <v>0</v>
      </c>
      <c r="L20">
        <f t="shared" si="1"/>
        <v>4.1666666666666666E-3</v>
      </c>
      <c r="N20">
        <f>B20-B21</f>
        <v>0</v>
      </c>
      <c r="O20">
        <f>ABS(N20)*$AQ$18+$AR$18</f>
        <v>0</v>
      </c>
      <c r="P20">
        <f>C20-C21</f>
        <v>0</v>
      </c>
      <c r="Q20">
        <f>ABS(P20)*$AQ$18+$AR$18</f>
        <v>0</v>
      </c>
      <c r="R20">
        <f>SQRT(N20^2+P20^2)</f>
        <v>0</v>
      </c>
      <c r="S20">
        <f>ABS(R20)*$AQ$18+$AR$18</f>
        <v>0</v>
      </c>
      <c r="T20" s="1" t="s">
        <v>85</v>
      </c>
      <c r="U20">
        <f>IFERROR(DEGREES(ATAN2(N20, P20)), 90)</f>
        <v>90</v>
      </c>
      <c r="V20">
        <f>N20^2+P20^2</f>
        <v>0</v>
      </c>
      <c r="W20" t="e">
        <f>DEGREES(SQRT(((P20/V20)^2)*O20^2+((N20/V20)^2)*Q20^2))</f>
        <v>#DIV/0!</v>
      </c>
      <c r="X20">
        <f>U20-$U$18</f>
        <v>0</v>
      </c>
      <c r="Y20" t="e">
        <f>SQRT($W$18^2+W20^2)</f>
        <v>#DIV/0!</v>
      </c>
      <c r="AA20" t="e">
        <f>N20/K20</f>
        <v>#DIV/0!</v>
      </c>
      <c r="AB20" t="e">
        <f>ABS(AA20)*SQRT((L20/K20)^2+(O20/N20)^2)</f>
        <v>#DIV/0!</v>
      </c>
      <c r="AC20" t="e">
        <f>P20/K20</f>
        <v>#DIV/0!</v>
      </c>
      <c r="AD20" t="e">
        <f>ABS(AC20)*SQRT((L20/K20)^2+(Q20/P20)^2)</f>
        <v>#DIV/0!</v>
      </c>
      <c r="AE20" t="e">
        <f>R20/K20</f>
        <v>#DIV/0!</v>
      </c>
      <c r="AF20" t="e">
        <f>ABS(AE20)*SQRT((L20/K20)^2+(S20/R20)^2)</f>
        <v>#DIV/0!</v>
      </c>
      <c r="AG20" t="e">
        <f>AF20/AE20</f>
        <v>#DIV/0!</v>
      </c>
      <c r="AH20" t="e">
        <f>AE20*COS(RADIANS(X29))</f>
        <v>#DIV/0!</v>
      </c>
      <c r="AI20" t="e">
        <f>SQRT(COS(RADIANS(X29))^2*AF20^2+(AE20*SIN(RADIANS(X29)))^2*Y29^2)</f>
        <v>#DIV/0!</v>
      </c>
      <c r="AJ20" t="e">
        <f>(AE5-AE20)/AE20</f>
        <v>#DIV/0!</v>
      </c>
      <c r="AL20" t="e">
        <f>AH22-AH20</f>
        <v>#DIV/0!</v>
      </c>
      <c r="AM20" t="e">
        <f>SQRT(AI20^2+AI22^2)</f>
        <v>#DIV/0!</v>
      </c>
    </row>
    <row r="21" spans="11:56" x14ac:dyDescent="0.25">
      <c r="L21">
        <f t="shared" si="1"/>
        <v>4.1666666666666666E-3</v>
      </c>
    </row>
    <row r="22" spans="11:56" x14ac:dyDescent="0.25">
      <c r="K22">
        <f>(I22-I23)/240</f>
        <v>0</v>
      </c>
      <c r="L22">
        <f t="shared" si="1"/>
        <v>4.1666666666666666E-3</v>
      </c>
      <c r="N22">
        <f>B22-B23</f>
        <v>0</v>
      </c>
      <c r="O22">
        <f>ABS(N22)*$AQ$18+$AR$18</f>
        <v>0</v>
      </c>
      <c r="P22">
        <f>C22-C23</f>
        <v>0</v>
      </c>
      <c r="Q22">
        <f>ABS(P22)*$AQ$18+$AR$18</f>
        <v>0</v>
      </c>
      <c r="R22">
        <f>SQRT(N22^2+P22^2)</f>
        <v>0</v>
      </c>
      <c r="S22">
        <f>ABS(R22)*$AQ$18+$AR$18</f>
        <v>0</v>
      </c>
      <c r="T22" s="1" t="s">
        <v>86</v>
      </c>
      <c r="U22" s="5">
        <f>IFERROR(DEGREES(ATAN2(N22, P22)), 90)</f>
        <v>90</v>
      </c>
      <c r="V22">
        <f>N22^2+P22^2</f>
        <v>0</v>
      </c>
      <c r="W22" t="e">
        <f>DEGREES(SQRT(((P22/V22)^2)*O22^2+((N22/V22)^2)*Q22^2))</f>
        <v>#DIV/0!</v>
      </c>
      <c r="X22">
        <f>U22-$U$18</f>
        <v>0</v>
      </c>
      <c r="Y22" t="e">
        <f>SQRT($W$18^2+W22^2)</f>
        <v>#DIV/0!</v>
      </c>
      <c r="AA22" t="e">
        <f>N22/K22</f>
        <v>#DIV/0!</v>
      </c>
      <c r="AB22" t="e">
        <f>ABS(AA22)*SQRT((L22/K22)^2+(O22/N22)^2)</f>
        <v>#DIV/0!</v>
      </c>
      <c r="AC22" t="e">
        <f>P22/K22</f>
        <v>#DIV/0!</v>
      </c>
      <c r="AD22" t="e">
        <f>ABS(AC22)*SQRT((L22/K22)^2+(Q22/P22)^2)</f>
        <v>#DIV/0!</v>
      </c>
      <c r="AE22" t="e">
        <f>R22/K22</f>
        <v>#DIV/0!</v>
      </c>
      <c r="AF22" t="e">
        <f>ABS(AE22)*SQRT((L22/K22)^2+(S22/R22)^2)</f>
        <v>#DIV/0!</v>
      </c>
      <c r="AG22" t="e">
        <f>AF22/AE22</f>
        <v>#DIV/0!</v>
      </c>
      <c r="AH22" t="e">
        <f>AE22*COS(RADIANS(X30))</f>
        <v>#DIV/0!</v>
      </c>
      <c r="AI22" t="e">
        <f>SQRT(COS(RADIANS(X30))^2*AF22^2+(AE22*SIN(RADIANS(X30)))^2*Y30^2)</f>
        <v>#DIV/0!</v>
      </c>
      <c r="AJ22" t="e">
        <f>(AE7-AE22)/AE22</f>
        <v>#DIV/0!</v>
      </c>
    </row>
    <row r="23" spans="11:56" x14ac:dyDescent="0.25">
      <c r="L23">
        <f t="shared" si="1"/>
        <v>4.1666666666666666E-3</v>
      </c>
    </row>
    <row r="24" spans="11:56" x14ac:dyDescent="0.25">
      <c r="X24">
        <f>U24-$U$18</f>
        <v>-90</v>
      </c>
      <c r="Y24" t="e">
        <f>SQRT($W$18^2+W24^2)</f>
        <v>#DIV/0!</v>
      </c>
    </row>
    <row r="25" spans="11:56" x14ac:dyDescent="0.25">
      <c r="AE25" t="s">
        <v>102</v>
      </c>
      <c r="AF25" t="s">
        <v>103</v>
      </c>
      <c r="AG25" s="1" t="s">
        <v>105</v>
      </c>
      <c r="AH25" s="1" t="s">
        <v>36</v>
      </c>
      <c r="AI25" t="s">
        <v>106</v>
      </c>
      <c r="AJ25" s="1" t="s">
        <v>104</v>
      </c>
      <c r="AK25" t="s">
        <v>107</v>
      </c>
    </row>
    <row r="26" spans="11:56" x14ac:dyDescent="0.25">
      <c r="U26">
        <f>U22-U20</f>
        <v>0</v>
      </c>
      <c r="W26" t="e">
        <f>SQRT(W20^2+W22^2)</f>
        <v>#DIV/0!</v>
      </c>
      <c r="AA26" t="e">
        <f>SUM(AA18:AA19)-SUM(AA20:AA22)</f>
        <v>#DIV/0!</v>
      </c>
      <c r="AB26" t="e">
        <f>SQRT(SUMPRODUCT(AB18:AB22,AB18:AB22))</f>
        <v>#DIV/0!</v>
      </c>
      <c r="AC26" t="e">
        <f>SUM(AC18:AC19)-SUM(AC20:AC22)</f>
        <v>#DIV/0!</v>
      </c>
      <c r="AD26" t="e">
        <f>SQRT(SUMPRODUCT(AD18:AD22,AD18:AD22))</f>
        <v>#DIV/0!</v>
      </c>
      <c r="AE26" t="e">
        <f>SQRT(AA26^2+AC26^2)</f>
        <v>#DIV/0!</v>
      </c>
      <c r="AF26" t="e">
        <f>SQRT((AA26/AE26)^2*AB26^2+(AC26/AE26)^2*AD26^2)</f>
        <v>#DIV/0!</v>
      </c>
      <c r="AG26" t="e">
        <f>IF(DEGREES(ATAN(AC26/AA26))&lt;0, 180+DEGREES(ATAN(AC26/AA26)), DEGREES(ATAN(AC26/AA26)))</f>
        <v>#DIV/0!</v>
      </c>
      <c r="AH26" t="e">
        <f>AA26^2+AC26^2</f>
        <v>#DIV/0!</v>
      </c>
      <c r="AI26" t="e">
        <f>DEGREES(SQRT(((AC26/AH26)^2)*AB26^2+((AA26/AH26)^2)*AD26^2))</f>
        <v>#DIV/0!</v>
      </c>
      <c r="AJ26" t="e">
        <f>AG26-U18</f>
        <v>#DIV/0!</v>
      </c>
      <c r="AK26" t="e">
        <f>SQRT(AI26^2+W18^2)</f>
        <v>#DIV/0!</v>
      </c>
    </row>
    <row r="27" spans="11:56" x14ac:dyDescent="0.25">
      <c r="X27" t="s">
        <v>32</v>
      </c>
    </row>
    <row r="28" spans="11:56" x14ac:dyDescent="0.25">
      <c r="K28">
        <f>(I28-I29)/240</f>
        <v>0</v>
      </c>
      <c r="N28">
        <f>B28-B29</f>
        <v>0</v>
      </c>
      <c r="O28">
        <f>ABS(N28)*$AQ$18+$AR$18</f>
        <v>0</v>
      </c>
      <c r="P28">
        <f>C28-C29</f>
        <v>0</v>
      </c>
      <c r="Q28">
        <f>ABS(P28)*$AQ$18+$AR$18</f>
        <v>0</v>
      </c>
      <c r="R28">
        <f>SQRT(N28^2+P28^2)</f>
        <v>0</v>
      </c>
      <c r="S28">
        <f>ABS(R28)*$AQ$18+$AR$18</f>
        <v>0</v>
      </c>
      <c r="T28" t="s">
        <v>87</v>
      </c>
      <c r="U28" t="e">
        <f>IF(DEGREES(ATAN(P28/N28))&lt;0, 180+DEGREES(ATAN(P28/N28)), DEGREES(ATAN(P28/N28)))</f>
        <v>#DIV/0!</v>
      </c>
      <c r="V28">
        <f>N28^2+P28^2</f>
        <v>0</v>
      </c>
      <c r="W28" t="e">
        <f>DEGREES(SQRT(((P28/V28)^2)*O28^2+((N28/V28)^2)*Q28^2))</f>
        <v>#DIV/0!</v>
      </c>
      <c r="X28" t="e">
        <f>U28-$U$18</f>
        <v>#DIV/0!</v>
      </c>
      <c r="Y28" t="e">
        <f>SQRT($W$18^2+W28^2)</f>
        <v>#DIV/0!</v>
      </c>
    </row>
    <row r="29" spans="11:56" x14ac:dyDescent="0.25">
      <c r="X29" t="e">
        <f>U28-U20</f>
        <v>#DIV/0!</v>
      </c>
      <c r="Y29" t="e">
        <f>SQRT($W$20^2+W28^2)</f>
        <v>#DIV/0!</v>
      </c>
    </row>
    <row r="30" spans="11:56" x14ac:dyDescent="0.25">
      <c r="U30" s="1" t="s">
        <v>90</v>
      </c>
      <c r="V30" t="e">
        <f>X28-90</f>
        <v>#DIV/0!</v>
      </c>
      <c r="W30" t="e">
        <f>Y28</f>
        <v>#DIV/0!</v>
      </c>
      <c r="X30" t="e">
        <f>U28-U22</f>
        <v>#DIV/0!</v>
      </c>
      <c r="Y30" t="e">
        <f>SQRT($W$22^2+W28^2)</f>
        <v>#DIV/0!</v>
      </c>
    </row>
    <row r="31" spans="11:56" x14ac:dyDescent="0.25">
      <c r="U31" t="s">
        <v>92</v>
      </c>
      <c r="V31" t="e">
        <f>[1]Exp5!#REF!</f>
        <v>#REF!</v>
      </c>
      <c r="W31" t="e">
        <f>[1]Exp5!#REF!</f>
        <v>#REF!</v>
      </c>
      <c r="X31" t="s">
        <v>32</v>
      </c>
    </row>
    <row r="32" spans="11:56" x14ac:dyDescent="0.25">
      <c r="U32" s="1" t="s">
        <v>93</v>
      </c>
      <c r="V32" t="e">
        <f>X28-X22</f>
        <v>#DIV/0!</v>
      </c>
      <c r="W32" t="e">
        <f>SQRT(Y28^2+Y22^2)</f>
        <v>#DIV/0!</v>
      </c>
      <c r="X32" t="e">
        <f>U32-$U$18</f>
        <v>#VALUE!</v>
      </c>
      <c r="Y32" t="e">
        <f>SQRT($W$18^2+W32^2)</f>
        <v>#DIV/0!</v>
      </c>
    </row>
    <row r="33" spans="11:33" x14ac:dyDescent="0.25">
      <c r="U33" s="1" t="s">
        <v>94</v>
      </c>
      <c r="V33" t="e">
        <f>V30-X20</f>
        <v>#DIV/0!</v>
      </c>
      <c r="W33" t="e">
        <f>SQRT(W30^2+Y20^2)</f>
        <v>#DIV/0!</v>
      </c>
    </row>
    <row r="34" spans="11:33" x14ac:dyDescent="0.25">
      <c r="U34" s="1" t="s">
        <v>95</v>
      </c>
      <c r="V34" t="e">
        <f>ATAN(RADIANS(V32))</f>
        <v>#DIV/0!</v>
      </c>
    </row>
    <row r="35" spans="11:33" x14ac:dyDescent="0.25">
      <c r="U35" s="1" t="s">
        <v>96</v>
      </c>
      <c r="V35" t="e">
        <f>DEGREES(ATAN((1/2*(1-V31))/(_xlfn.COT(RADIANS(V30))-V34*1/2*(1+V31))))</f>
        <v>#REF!</v>
      </c>
    </row>
    <row r="37" spans="11:33" x14ac:dyDescent="0.25">
      <c r="K37">
        <f>(I37-I38)/240</f>
        <v>0</v>
      </c>
      <c r="L37">
        <f t="shared" ref="L37" si="2">1/240</f>
        <v>4.1666666666666666E-3</v>
      </c>
      <c r="N37">
        <f>B37-B38</f>
        <v>0</v>
      </c>
      <c r="O37">
        <f>N37*$AQ$3+$AR$3</f>
        <v>0.78943920928305</v>
      </c>
      <c r="P37">
        <f>C37-C38</f>
        <v>0</v>
      </c>
      <c r="Q37">
        <f>P37*$AQ$3+$AR$3</f>
        <v>0.78943920928305</v>
      </c>
      <c r="R37">
        <f>SQRT(N37^2+P37^2)</f>
        <v>0</v>
      </c>
      <c r="S37">
        <f>R37*$AQ$3+$AR$3</f>
        <v>0.78943920928305</v>
      </c>
      <c r="U37" t="e">
        <f>IF(DEGREES(ATAN(P37/N37))&lt;0, 180+DEGREES(ATAN(P37/N37)), DEGREES(ATAN(P37/N37)))</f>
        <v>#DIV/0!</v>
      </c>
      <c r="V37">
        <f>N37^2+P37^2</f>
        <v>0</v>
      </c>
      <c r="W37" t="e">
        <f>DEGREES(SQRT(((P37/V37)^2)*O37^2+((N37/V37)^2)*Q37^2))</f>
        <v>#DIV/0!</v>
      </c>
      <c r="AA37" t="e">
        <f>N37/K37</f>
        <v>#DIV/0!</v>
      </c>
      <c r="AC37" t="e">
        <f>P37/K37</f>
        <v>#DIV/0!</v>
      </c>
      <c r="AE37" t="e">
        <f>R37/K37</f>
        <v>#DIV/0!</v>
      </c>
      <c r="AF37" t="e">
        <f>ABS(AE37)*SQRT((L37/K37)^2+(S37/R37)^2)</f>
        <v>#DIV/0!</v>
      </c>
      <c r="AG37" t="e">
        <f>AF37/AE37</f>
        <v>#DIV/0!</v>
      </c>
    </row>
    <row r="40" spans="11:33" x14ac:dyDescent="0.25">
      <c r="K40">
        <f>(I40-I41)/240</f>
        <v>0</v>
      </c>
      <c r="L40">
        <f t="shared" ref="L40" si="3">1/240</f>
        <v>4.1666666666666666E-3</v>
      </c>
      <c r="N40">
        <f>B40-B41</f>
        <v>0</v>
      </c>
      <c r="O40">
        <f>N40*$AQ$3+$AR$3</f>
        <v>0.78943920928305</v>
      </c>
      <c r="P40">
        <f>C40-C41</f>
        <v>0</v>
      </c>
      <c r="Q40">
        <f>P40*$AQ$3+$AR$3</f>
        <v>0.78943920928305</v>
      </c>
      <c r="R40">
        <f>SQRT(N40^2+P40^2)</f>
        <v>0</v>
      </c>
      <c r="S40">
        <f>R40*$AQ$3+$AR$3</f>
        <v>0.78943920928305</v>
      </c>
      <c r="U40" t="e">
        <f>IF(DEGREES(ATAN(P40/N40))&lt;0, 180+DEGREES(ATAN(P40/N40)), DEGREES(ATAN(P40/N40)))</f>
        <v>#DIV/0!</v>
      </c>
      <c r="V40">
        <f>N40^2+P40^2</f>
        <v>0</v>
      </c>
      <c r="W40" t="e">
        <f>DEGREES(SQRT(((P40/V40)^2)*O40^2+((N40/V40)^2)*Q40^2))</f>
        <v>#DIV/0!</v>
      </c>
      <c r="AA40" t="e">
        <f>N40/K40</f>
        <v>#DIV/0!</v>
      </c>
      <c r="AC40" t="e">
        <f>P40/K40</f>
        <v>#DIV/0!</v>
      </c>
      <c r="AE40" t="e">
        <f>R40/K40</f>
        <v>#DIV/0!</v>
      </c>
      <c r="AF40" t="e">
        <f>ABS(AE40)*SQRT((L40/K40)^2+(S40/R40)^2)</f>
        <v>#DIV/0!</v>
      </c>
      <c r="AG40" t="e">
        <f>AF40/AE40</f>
        <v>#DIV/0!</v>
      </c>
    </row>
    <row r="43" spans="11:33" x14ac:dyDescent="0.25">
      <c r="K43">
        <f>(I43-I44)/240</f>
        <v>0</v>
      </c>
      <c r="L43">
        <f t="shared" ref="L43" si="4">1/240</f>
        <v>4.1666666666666666E-3</v>
      </c>
      <c r="N43">
        <f>B43-B44</f>
        <v>0</v>
      </c>
      <c r="O43">
        <f>N43*$AQ$3+$AR$3</f>
        <v>0.78943920928305</v>
      </c>
      <c r="P43">
        <f>C43-C44</f>
        <v>0</v>
      </c>
      <c r="Q43">
        <f>P43*$AQ$3+$AR$3</f>
        <v>0.78943920928305</v>
      </c>
      <c r="R43">
        <f>SQRT(N43^2+P43^2)</f>
        <v>0</v>
      </c>
      <c r="S43">
        <f>R43*$AQ$3+$AR$3</f>
        <v>0.78943920928305</v>
      </c>
      <c r="U43" t="e">
        <f>IF(DEGREES(ATAN(P43/N43))&lt;0, 180+DEGREES(ATAN(P43/N43)), DEGREES(ATAN(P43/N43)))</f>
        <v>#DIV/0!</v>
      </c>
      <c r="V43">
        <f>N43^2+P43^2</f>
        <v>0</v>
      </c>
      <c r="W43" t="e">
        <f>DEGREES(SQRT(((P43/V43)^2)*O43^2+((N43/V43)^2)*Q43^2))</f>
        <v>#DIV/0!</v>
      </c>
      <c r="AA43" t="e">
        <f>N43/K43</f>
        <v>#DIV/0!</v>
      </c>
      <c r="AC43" t="e">
        <f>P43/K43</f>
        <v>#DIV/0!</v>
      </c>
      <c r="AE43" t="e">
        <f>R43/K43</f>
        <v>#DIV/0!</v>
      </c>
      <c r="AF43" t="e">
        <f>ABS(AE43)*SQRT((L43/K43)^2+(S43/R43)^2)</f>
        <v>#DIV/0!</v>
      </c>
      <c r="AG43" t="e">
        <f>AF43/AE43</f>
        <v>#DIV/0!</v>
      </c>
    </row>
    <row r="46" spans="11:33" x14ac:dyDescent="0.25">
      <c r="K46">
        <f>(I46-I47)/240</f>
        <v>0</v>
      </c>
      <c r="L46">
        <f t="shared" ref="L46" si="5">1/240</f>
        <v>4.1666666666666666E-3</v>
      </c>
      <c r="N46">
        <f>B46-B47</f>
        <v>0</v>
      </c>
      <c r="O46">
        <f>N46*$AQ$3+$AR$3</f>
        <v>0.78943920928305</v>
      </c>
      <c r="P46">
        <f>C46-C47</f>
        <v>0</v>
      </c>
      <c r="Q46">
        <f>P46*$AQ$3+$AR$3</f>
        <v>0.78943920928305</v>
      </c>
      <c r="R46">
        <f>SQRT(N46^2+P46^2)</f>
        <v>0</v>
      </c>
      <c r="S46">
        <f>R46*$AQ$3+$AR$3</f>
        <v>0.78943920928305</v>
      </c>
      <c r="U46" t="e">
        <f>IF(DEGREES(ATAN(P46/N46))&lt;0, 180+DEGREES(ATAN(P46/N46)), DEGREES(ATAN(P46/N46)))</f>
        <v>#DIV/0!</v>
      </c>
      <c r="V46">
        <f>N46^2+P46^2</f>
        <v>0</v>
      </c>
      <c r="W46" t="e">
        <f>DEGREES(SQRT(((P46/V46)^2)*O46^2+((N46/V46)^2)*Q46^2))</f>
        <v>#DIV/0!</v>
      </c>
      <c r="AA46" t="e">
        <f>N46/K46</f>
        <v>#DIV/0!</v>
      </c>
      <c r="AC46" t="e">
        <f>P46/K46</f>
        <v>#DIV/0!</v>
      </c>
      <c r="AE46" t="e">
        <f>R46/K46</f>
        <v>#DIV/0!</v>
      </c>
      <c r="AF46" t="e">
        <f>ABS(AE46)*SQRT((L46/K46)^2+(S46/R46)^2)</f>
        <v>#DIV/0!</v>
      </c>
      <c r="AG46" t="e">
        <f>AF46/AE46</f>
        <v>#DIV/0!</v>
      </c>
    </row>
    <row r="49" spans="11:33" x14ac:dyDescent="0.25">
      <c r="K49">
        <f>(I49-I50)/240</f>
        <v>0</v>
      </c>
      <c r="L49">
        <f t="shared" ref="L49" si="6">1/240</f>
        <v>4.1666666666666666E-3</v>
      </c>
      <c r="N49">
        <f>B49-B50</f>
        <v>0</v>
      </c>
      <c r="O49">
        <f>N49*$AQ$3+$AR$3</f>
        <v>0.78943920928305</v>
      </c>
      <c r="P49">
        <f>C49-C50</f>
        <v>0</v>
      </c>
      <c r="Q49">
        <f>P49*$AQ$3+$AR$3</f>
        <v>0.78943920928305</v>
      </c>
      <c r="R49">
        <f>SQRT(N49^2+P49^2)</f>
        <v>0</v>
      </c>
      <c r="S49">
        <f>R49*$AQ$3+$AR$3</f>
        <v>0.78943920928305</v>
      </c>
      <c r="U49" t="e">
        <f>IF(DEGREES(ATAN(P49/N49))&lt;0, 180+DEGREES(ATAN(P49/N49)), DEGREES(ATAN(P49/N49)))</f>
        <v>#DIV/0!</v>
      </c>
      <c r="V49">
        <f>N49^2+P49^2</f>
        <v>0</v>
      </c>
      <c r="W49" t="e">
        <f>DEGREES(SQRT(((P49/V49)^2)*O49^2+((N49/V49)^2)*Q49^2))</f>
        <v>#DIV/0!</v>
      </c>
      <c r="AA49" t="e">
        <f>N49/K49</f>
        <v>#DIV/0!</v>
      </c>
      <c r="AC49" t="e">
        <f>P49/K49</f>
        <v>#DIV/0!</v>
      </c>
      <c r="AE49" t="e">
        <f>R49/K49</f>
        <v>#DIV/0!</v>
      </c>
      <c r="AF49" t="e">
        <f>ABS(AE49)*SQRT((L49/K49)^2+(S49/R49)^2)</f>
        <v>#DIV/0!</v>
      </c>
      <c r="AG49" t="e">
        <f>AF49/AE49</f>
        <v>#DIV/0!</v>
      </c>
    </row>
    <row r="52" spans="11:33" x14ac:dyDescent="0.25">
      <c r="K52">
        <f>(I52-I54)/240</f>
        <v>0</v>
      </c>
      <c r="L52">
        <f t="shared" ref="L52" si="7">1/240</f>
        <v>4.1666666666666666E-3</v>
      </c>
      <c r="N52">
        <f>B52-B54</f>
        <v>0</v>
      </c>
      <c r="O52">
        <f>N52*$AQ$3+$AR$3</f>
        <v>0.78943920928305</v>
      </c>
      <c r="P52">
        <f>C52-C54</f>
        <v>0</v>
      </c>
      <c r="Q52">
        <f>P52*$AQ$3+$AR$3</f>
        <v>0.78943920928305</v>
      </c>
      <c r="R52">
        <f>SQRT(N52^2+P52^2)</f>
        <v>0</v>
      </c>
      <c r="S52">
        <f>R52*$AQ$3+$AR$3</f>
        <v>0.78943920928305</v>
      </c>
      <c r="U52" t="e">
        <f>IF(DEGREES(ATAN(P52/N52))&lt;0, 180+DEGREES(ATAN(P52/N52)), DEGREES(ATAN(P52/N52)))</f>
        <v>#DIV/0!</v>
      </c>
      <c r="V52">
        <f>N52^2+P52^2</f>
        <v>0</v>
      </c>
      <c r="W52" t="e">
        <f>DEGREES(SQRT(((P52/V52)^2)*O52^2+((N52/V52)^2)*Q52^2))</f>
        <v>#DIV/0!</v>
      </c>
      <c r="AA52" t="e">
        <f>N52/K52</f>
        <v>#DIV/0!</v>
      </c>
      <c r="AC52" t="e">
        <f>P52/K52</f>
        <v>#DIV/0!</v>
      </c>
      <c r="AE52" t="e">
        <f>R52/K52</f>
        <v>#DIV/0!</v>
      </c>
      <c r="AF52" t="e">
        <f>ABS(AE52)*SQRT((L52/K52)^2+(S52/R52)^2)</f>
        <v>#DIV/0!</v>
      </c>
      <c r="AG52" t="e">
        <f>AF52/AE52</f>
        <v>#DIV/0!</v>
      </c>
    </row>
    <row r="54" spans="11:33" x14ac:dyDescent="0.25">
      <c r="K54">
        <f>(I54-I55)/240</f>
        <v>0</v>
      </c>
      <c r="L54">
        <f t="shared" ref="L54" si="8">1/240</f>
        <v>4.1666666666666666E-3</v>
      </c>
      <c r="N54">
        <f>B54-B55</f>
        <v>0</v>
      </c>
      <c r="O54">
        <f>N54*$AQ$3+$AR$3</f>
        <v>0.78943920928305</v>
      </c>
      <c r="P54">
        <f>C54-C55</f>
        <v>0</v>
      </c>
      <c r="Q54">
        <f>P54*$AQ$3+$AR$3</f>
        <v>0.78943920928305</v>
      </c>
      <c r="R54">
        <f>SQRT(N54^2+P54^2)</f>
        <v>0</v>
      </c>
      <c r="S54">
        <f>R54*$AQ$3+$AR$3</f>
        <v>0.78943920928305</v>
      </c>
      <c r="U54" t="e">
        <f>IF(DEGREES(ATAN(P54/N54))&lt;0, 180+DEGREES(ATAN(P54/N54)), DEGREES(ATAN(P54/N54)))</f>
        <v>#DIV/0!</v>
      </c>
      <c r="V54">
        <f>N54^2+P54^2</f>
        <v>0</v>
      </c>
      <c r="W54" t="e">
        <f>DEGREES(SQRT(((P54/V54)^2)*O54^2+((N54/V54)^2)*Q54^2))</f>
        <v>#DIV/0!</v>
      </c>
      <c r="AA54" t="e">
        <f>N54/K54</f>
        <v>#DIV/0!</v>
      </c>
      <c r="AC54" t="e">
        <f>P54/K54</f>
        <v>#DIV/0!</v>
      </c>
      <c r="AE54" t="e">
        <f>R54/K54</f>
        <v>#DIV/0!</v>
      </c>
      <c r="AF54" t="e">
        <f>ABS(AE54)*SQRT((L54/K54)^2+(S54/R54)^2)</f>
        <v>#DIV/0!</v>
      </c>
      <c r="AG54" t="e">
        <f>AF54/AE54</f>
        <v>#DIV/0!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FE5B-160F-4E5E-97A0-52DE78A72DE7}">
  <dimension ref="A1:BN53"/>
  <sheetViews>
    <sheetView zoomScale="115" zoomScaleNormal="115" workbookViewId="0">
      <pane xSplit="2" ySplit="2" topLeftCell="I7" activePane="bottomRight" state="frozen"/>
      <selection pane="topRight" activeCell="C1" sqref="C1"/>
      <selection pane="bottomLeft" activeCell="A3" sqref="A3"/>
      <selection pane="bottomRight" activeCell="AM21" sqref="AM21"/>
    </sheetView>
  </sheetViews>
  <sheetFormatPr defaultRowHeight="15" x14ac:dyDescent="0.25"/>
  <cols>
    <col min="24" max="24" width="16.5703125" customWidth="1"/>
    <col min="39" max="39" width="10" bestFit="1" customWidth="1"/>
    <col min="43" max="44" width="12" bestFit="1" customWidth="1"/>
    <col min="45" max="45" width="11" bestFit="1" customWidth="1"/>
  </cols>
  <sheetData>
    <row r="1" spans="1:66" ht="28.9" customHeight="1" x14ac:dyDescent="0.25">
      <c r="X1" s="6" t="s">
        <v>116</v>
      </c>
      <c r="Z1" s="6" t="s">
        <v>126</v>
      </c>
      <c r="AA1" s="6"/>
    </row>
    <row r="2" spans="1:66" x14ac:dyDescent="0.25">
      <c r="A2" t="str">
        <f>'1.1'!AU2</f>
        <v>Exp No.</v>
      </c>
      <c r="B2" t="str">
        <f>'1.1'!AV2</f>
        <v>GP</v>
      </c>
      <c r="C2" t="str">
        <f>'1.1'!AW2</f>
        <v>Hog-Hog (s)</v>
      </c>
      <c r="D2" t="str">
        <f>'1.1'!AX2</f>
        <v>σHog-Hog</v>
      </c>
      <c r="E2" t="str">
        <f>'1.1'!AY2</f>
        <v>contact width</v>
      </c>
      <c r="F2" t="str">
        <f>'1.1'!AZ2</f>
        <v>contact height</v>
      </c>
      <c r="G2" t="str">
        <f>'1.1'!BA2</f>
        <v>v</v>
      </c>
      <c r="H2" t="str">
        <f>'1.1'!BB2</f>
        <v>σv</v>
      </c>
      <c r="I2" t="s">
        <v>32</v>
      </c>
      <c r="J2" t="s">
        <v>186</v>
      </c>
      <c r="K2" t="str">
        <f>'1.1'!BE2</f>
        <v>vn</v>
      </c>
      <c r="L2" t="str">
        <f>'1.1'!BF2</f>
        <v>σvn</v>
      </c>
      <c r="M2" t="str">
        <f>'1.1'!BG2</f>
        <v>COR</v>
      </c>
      <c r="N2" t="str">
        <f>'1.1'!BH2</f>
        <v>σCOR</v>
      </c>
      <c r="P2" t="s">
        <v>139</v>
      </c>
      <c r="Q2" s="2" t="s">
        <v>113</v>
      </c>
      <c r="R2" t="s">
        <v>182</v>
      </c>
      <c r="S2" s="2" t="s">
        <v>114</v>
      </c>
      <c r="T2" t="s">
        <v>115</v>
      </c>
      <c r="U2" s="2" t="s">
        <v>135</v>
      </c>
      <c r="V2" t="s">
        <v>46</v>
      </c>
      <c r="X2" t="s">
        <v>117</v>
      </c>
      <c r="Y2" t="s">
        <v>118</v>
      </c>
      <c r="Z2" s="2" t="s">
        <v>123</v>
      </c>
      <c r="AA2" t="s">
        <v>125</v>
      </c>
      <c r="AB2" s="2" t="s">
        <v>119</v>
      </c>
      <c r="AC2" t="s">
        <v>127</v>
      </c>
      <c r="AD2" t="s">
        <v>128</v>
      </c>
      <c r="AE2" t="s">
        <v>129</v>
      </c>
      <c r="AF2" t="s">
        <v>125</v>
      </c>
      <c r="AH2" t="s">
        <v>120</v>
      </c>
      <c r="AK2" t="s">
        <v>184</v>
      </c>
      <c r="AL2" s="1" t="s">
        <v>185</v>
      </c>
      <c r="AM2" t="s">
        <v>183</v>
      </c>
      <c r="AO2" t="s">
        <v>246</v>
      </c>
      <c r="AQ2" t="s">
        <v>136</v>
      </c>
      <c r="AS2" t="s">
        <v>187</v>
      </c>
      <c r="AV2" s="2" t="s">
        <v>233</v>
      </c>
      <c r="AW2" s="2" t="s">
        <v>232</v>
      </c>
      <c r="AX2" s="2"/>
      <c r="AY2" s="2" t="s">
        <v>234</v>
      </c>
      <c r="AZ2" t="s">
        <v>236</v>
      </c>
      <c r="BA2" s="2" t="s">
        <v>235</v>
      </c>
      <c r="BB2" t="s">
        <v>237</v>
      </c>
      <c r="BC2" s="2" t="s">
        <v>238</v>
      </c>
      <c r="BD2" t="s">
        <v>239</v>
      </c>
      <c r="BE2" s="2" t="s">
        <v>37</v>
      </c>
      <c r="BF2" s="1" t="s">
        <v>35</v>
      </c>
      <c r="BG2" s="2" t="s">
        <v>240</v>
      </c>
      <c r="BH2" t="s">
        <v>241</v>
      </c>
      <c r="BI2" s="2" t="s">
        <v>180</v>
      </c>
      <c r="BJ2" t="s">
        <v>181</v>
      </c>
      <c r="BK2" s="2" t="s">
        <v>242</v>
      </c>
      <c r="BL2" s="1" t="s">
        <v>243</v>
      </c>
      <c r="BM2" s="2" t="s">
        <v>244</v>
      </c>
      <c r="BN2" s="1" t="s">
        <v>245</v>
      </c>
    </row>
    <row r="3" spans="1:66" x14ac:dyDescent="0.25">
      <c r="A3">
        <v>1.1000000000000001</v>
      </c>
      <c r="B3">
        <v>1</v>
      </c>
      <c r="C3">
        <v>10.34</v>
      </c>
      <c r="D3">
        <v>0.2</v>
      </c>
      <c r="E3">
        <v>8.9749999999999996</v>
      </c>
      <c r="F3">
        <v>17.738</v>
      </c>
      <c r="G3">
        <v>1362.828851814799</v>
      </c>
      <c r="H3">
        <v>33.684590765054018</v>
      </c>
      <c r="I3">
        <v>14.664089985499743</v>
      </c>
      <c r="J3">
        <v>0.25521087725779174</v>
      </c>
      <c r="K3">
        <v>1318.4368894010702</v>
      </c>
      <c r="L3">
        <v>93.885306216198217</v>
      </c>
      <c r="M3">
        <v>0.93601206234903145</v>
      </c>
      <c r="N3">
        <v>0.17649437077845292</v>
      </c>
      <c r="P3">
        <v>96.262</v>
      </c>
      <c r="Q3">
        <f t="shared" ref="Q3:Q10" si="0">21.945/C3</f>
        <v>2.1223404255319149</v>
      </c>
      <c r="R3">
        <f t="shared" ref="R3:R10" si="1">Q3*D3/C3</f>
        <v>4.1051072060578626E-2</v>
      </c>
      <c r="S3">
        <f>G3/1000</f>
        <v>1.3628288518147991</v>
      </c>
      <c r="T3">
        <f t="shared" ref="T3:T19" si="2">H3/1000</f>
        <v>3.3684590765054021E-2</v>
      </c>
      <c r="U3">
        <f t="shared" ref="U3:U19" si="3">K3/1000</f>
        <v>1.3184368894010701</v>
      </c>
      <c r="V3">
        <f t="shared" ref="V3:V19" si="4">L3/1000</f>
        <v>9.3885306216198214E-2</v>
      </c>
      <c r="X3">
        <f>6.401</f>
        <v>6.4009999999999998</v>
      </c>
      <c r="Y3">
        <f>X9*X15</f>
        <v>9.8066500000000001E-2</v>
      </c>
      <c r="Z3">
        <f t="shared" ref="Z3:Z10" si="5">Q3-$Y$3*C3/2</f>
        <v>1.6153366205319148</v>
      </c>
      <c r="AA3">
        <f t="shared" ref="AA3:AA10" si="6">SQRT(R3^2+(C3/2)^2*$Y$4^2+$Y$3^2*(D3/2)^2)</f>
        <v>4.2206171368003982E-2</v>
      </c>
      <c r="AB3">
        <f>SQRT(Z3^2-2*$Y$3*$X$3)</f>
        <v>1.1635570740756414</v>
      </c>
      <c r="AC3">
        <f>1/2*(Z3^2-2*$Y$3*$X$3)^(-1/2)*2*Z3</f>
        <v>1.3882745045533571</v>
      </c>
      <c r="AD3">
        <f>1/2*(Z3^2-2*$Y$3*$X$3)^(-1/2)*(-2)*$Y$3</f>
        <v>-8.4281641343555466E-2</v>
      </c>
      <c r="AE3">
        <f>1/2*(Z3^2-2*$Y$3*$X$3)^(-1/2)*(-2)*$X$3</f>
        <v>-5.5012342261638629</v>
      </c>
      <c r="AF3">
        <f>SQRT(AC3^2*AA3^2+AD3^2*$X$4^2+AE3^2*$Y$4^2)</f>
        <v>6.3816402969125621E-2</v>
      </c>
      <c r="AG3">
        <f>(S3-AB3)^2</f>
        <v>3.9709241403324276E-2</v>
      </c>
      <c r="AH3">
        <f>SUM(AG:AG)</f>
        <v>0.18935038478204191</v>
      </c>
      <c r="AJ3">
        <f>2*Y3*X3</f>
        <v>1.255447333</v>
      </c>
      <c r="AK3">
        <f>18.415</f>
        <v>18.414999999999999</v>
      </c>
      <c r="AL3">
        <v>6.6080758671997253E-2</v>
      </c>
      <c r="AM3">
        <f>1/2*AK3*U3^2</f>
        <v>16.00517471700384</v>
      </c>
      <c r="AN3">
        <f>AM3*SQRT(AL3^2/AK3^2+V3^2/U3^2+V3^2/U3^2)</f>
        <v>1.612832382651266</v>
      </c>
      <c r="AO3">
        <f>1-M3^2</f>
        <v>0.12388141913711281</v>
      </c>
      <c r="AP3">
        <f>M3*M3*SQRT(N3^2/M3^2+N3^2/M3^2)</f>
        <v>0.23362929670695859</v>
      </c>
      <c r="AQ3">
        <f>AK3/4*U3*U3*(AO3)</f>
        <v>0.99137187873993682</v>
      </c>
      <c r="AR3">
        <f>AQ3*SQRT(AL3^2/AK3^2+AP3^2/AO3^2+V3^2/U3^2+V3^2/U3*2)</f>
        <v>1.874483157434047</v>
      </c>
      <c r="AS3">
        <f>AQ3/AM3*100</f>
        <v>6.1940709568556409</v>
      </c>
      <c r="AT3">
        <f>AS3*SQRT(AR3^2/AQ3^2+AN3^2/AM3^2)</f>
        <v>11.728352685114324</v>
      </c>
      <c r="AV3">
        <f>A3</f>
        <v>1.1000000000000001</v>
      </c>
      <c r="AW3" s="10">
        <f>C3</f>
        <v>10.34</v>
      </c>
      <c r="AX3">
        <v>0.2</v>
      </c>
      <c r="AY3" s="12">
        <f>Q3</f>
        <v>2.1223404255319149</v>
      </c>
      <c r="AZ3" s="12">
        <f>R3</f>
        <v>4.1051072060578626E-2</v>
      </c>
      <c r="BA3" s="12">
        <f>AB3</f>
        <v>1.1635570740756414</v>
      </c>
      <c r="BB3" s="12">
        <f>AF3</f>
        <v>6.3816402969125621E-2</v>
      </c>
      <c r="BC3" s="12">
        <f>S3</f>
        <v>1.3628288518147991</v>
      </c>
      <c r="BD3" s="12">
        <f>T3</f>
        <v>3.3684590765054021E-2</v>
      </c>
      <c r="BE3" s="10">
        <f>I3</f>
        <v>14.664089985499743</v>
      </c>
      <c r="BF3" s="10">
        <f>J3</f>
        <v>0.25521087725779174</v>
      </c>
      <c r="BG3" s="12">
        <f t="shared" ref="BG3:BH10" si="7">U3</f>
        <v>1.3184368894010701</v>
      </c>
      <c r="BH3" s="12">
        <f t="shared" si="7"/>
        <v>9.3885306216198214E-2</v>
      </c>
      <c r="BI3" s="12">
        <f t="shared" ref="BI3:BJ8" si="8">M3</f>
        <v>0.93601206234903145</v>
      </c>
      <c r="BJ3" s="12">
        <f t="shared" si="8"/>
        <v>0.17649437077845292</v>
      </c>
      <c r="BK3" s="10">
        <f>AQ3</f>
        <v>0.99137187873993682</v>
      </c>
      <c r="BL3" s="10">
        <f t="shared" ref="BK3:BN8" si="9">AR3</f>
        <v>1.874483157434047</v>
      </c>
      <c r="BM3" s="10">
        <f t="shared" si="9"/>
        <v>6.1940709568556409</v>
      </c>
      <c r="BN3" s="10">
        <f t="shared" si="9"/>
        <v>11.728352685114324</v>
      </c>
    </row>
    <row r="4" spans="1:66" x14ac:dyDescent="0.25">
      <c r="A4">
        <v>1.2</v>
      </c>
      <c r="B4">
        <v>1</v>
      </c>
      <c r="C4">
        <v>8.68</v>
      </c>
      <c r="D4">
        <v>0.2</v>
      </c>
      <c r="E4">
        <v>9.7370000000000001</v>
      </c>
      <c r="F4">
        <v>17.314</v>
      </c>
      <c r="G4">
        <v>1892.614266486057</v>
      </c>
      <c r="H4">
        <v>63.783567576699014</v>
      </c>
      <c r="I4">
        <v>5.0810558357553361</v>
      </c>
      <c r="J4">
        <v>0.24855509895090797</v>
      </c>
      <c r="K4">
        <v>1885.1770547675194</v>
      </c>
      <c r="L4">
        <v>75.975045568891744</v>
      </c>
      <c r="M4">
        <v>0.94017403915881093</v>
      </c>
      <c r="N4">
        <v>0.26331685695863849</v>
      </c>
      <c r="P4">
        <v>118.01600000000001</v>
      </c>
      <c r="Q4">
        <f t="shared" si="0"/>
        <v>2.528225806451613</v>
      </c>
      <c r="R4">
        <f t="shared" si="1"/>
        <v>5.825405083989893E-2</v>
      </c>
      <c r="S4">
        <f t="shared" ref="S4:S19" si="10">G4/1000</f>
        <v>1.892614266486057</v>
      </c>
      <c r="T4">
        <f t="shared" si="2"/>
        <v>6.3783567576699007E-2</v>
      </c>
      <c r="U4">
        <f t="shared" si="3"/>
        <v>1.8851770547675193</v>
      </c>
      <c r="V4">
        <f t="shared" si="4"/>
        <v>7.5975045568891744E-2</v>
      </c>
      <c r="X4">
        <v>0.3</v>
      </c>
      <c r="Y4">
        <v>0</v>
      </c>
      <c r="Z4">
        <f t="shared" si="5"/>
        <v>2.1026171964516132</v>
      </c>
      <c r="AA4">
        <f t="shared" si="6"/>
        <v>5.9073723629715684E-2</v>
      </c>
      <c r="AB4">
        <f t="shared" ref="AB4:AB19" si="11">SQRT(Z4^2-2*$Y$3*$X$3)</f>
        <v>1.7791997475871115</v>
      </c>
      <c r="AC4">
        <f t="shared" ref="AC4:AC19" si="12">1/2*(Z4^2-2*$Y$3*$X$3)^(-1/2)*2*Z4</f>
        <v>1.1817769192599701</v>
      </c>
      <c r="AD4">
        <f t="shared" ref="AD4:AD19" si="13">1/2*(Z4^2-2*$Y$3*$X$3)^(-1/2)*(-2)*$Y$3</f>
        <v>-5.511831942028677E-2</v>
      </c>
      <c r="AE4">
        <f t="shared" ref="AE4:AE19" si="14">1/2*(Z4^2-2*$Y$3*$X$3)^(-1/2)*(-2)*$X$3</f>
        <v>-3.597684862917057</v>
      </c>
      <c r="AF4">
        <f t="shared" ref="AF4:AF19" si="15">SQRT(AC4^2*AA4^2+AD4^2*$X$4^2+AE4^2*$Y$4^2)</f>
        <v>7.174352107981781E-2</v>
      </c>
      <c r="AG4">
        <f t="shared" ref="AG4:AG14" si="16">(S4-AB4)^2</f>
        <v>1.2862853097079265E-2</v>
      </c>
      <c r="AK4">
        <f t="shared" ref="AK4:AK21" si="17">18.415</f>
        <v>18.414999999999999</v>
      </c>
      <c r="AL4">
        <v>6.6080758671997253E-2</v>
      </c>
      <c r="AM4">
        <f t="shared" ref="AM4:AM19" si="18">1/2*AK4*U4^2</f>
        <v>32.722465449920499</v>
      </c>
      <c r="AN4">
        <f t="shared" ref="AN4:AN19" si="19">AM4*SQRT(AL4^2/AK4^2+V4^2/U4^2+V4^2/U4^2)</f>
        <v>1.8686971374682719</v>
      </c>
      <c r="AO4">
        <f t="shared" ref="AO4:AO17" si="20">1-M4^2</f>
        <v>0.11607277609180666</v>
      </c>
      <c r="AP4">
        <f t="shared" ref="AP4:AP17" si="21">M4*M4*SQRT(N4^2/M4^2+N4^2/M4^2)</f>
        <v>0.35010790388685897</v>
      </c>
      <c r="AQ4">
        <f t="shared" ref="AQ4:AQ8" si="22">AK4/4*U4*U4*(AO4)</f>
        <v>1.8990937026702508</v>
      </c>
      <c r="AR4">
        <f t="shared" ref="AR4:AR8" si="23">AQ4*SQRT(AL4^2/AK4^2+AP4^2/AO4^2+V4^2/U4^2+V4^2/U4*2)</f>
        <v>5.7306395469731788</v>
      </c>
      <c r="AS4">
        <f t="shared" ref="AS4:AS8" si="24">AQ4/AM4*100</f>
        <v>5.8036388045903333</v>
      </c>
      <c r="AT4">
        <f t="shared" ref="AT4:AT17" si="25">AS4*SQRT(AR4^2/AQ4^2+AN4^2/AM4^2)</f>
        <v>17.515995840102644</v>
      </c>
      <c r="AV4">
        <f t="shared" ref="AV4:AV21" si="26">A4</f>
        <v>1.2</v>
      </c>
      <c r="AW4" s="10">
        <f t="shared" ref="AW4:AW21" si="27">C4</f>
        <v>8.68</v>
      </c>
      <c r="AX4">
        <v>0.2</v>
      </c>
      <c r="AY4" s="12">
        <f>Q4</f>
        <v>2.528225806451613</v>
      </c>
      <c r="AZ4" s="12">
        <f t="shared" ref="AZ4:AZ21" si="28">R4</f>
        <v>5.825405083989893E-2</v>
      </c>
      <c r="BA4" s="12">
        <f t="shared" ref="BA4:BA21" si="29">AB4</f>
        <v>1.7791997475871115</v>
      </c>
      <c r="BB4" s="12">
        <f t="shared" ref="BB4:BB21" si="30">AF4</f>
        <v>7.174352107981781E-2</v>
      </c>
      <c r="BC4" s="12">
        <f t="shared" ref="BC4:BC21" si="31">S4</f>
        <v>1.892614266486057</v>
      </c>
      <c r="BD4" s="12">
        <f t="shared" ref="BD4:BD21" si="32">T4</f>
        <v>6.3783567576699007E-2</v>
      </c>
      <c r="BE4" s="10">
        <f t="shared" ref="BE4:BE21" si="33">I4</f>
        <v>5.0810558357553361</v>
      </c>
      <c r="BF4" s="10">
        <f>J4</f>
        <v>0.24855509895090797</v>
      </c>
      <c r="BG4" s="12">
        <f t="shared" si="7"/>
        <v>1.8851770547675193</v>
      </c>
      <c r="BH4" s="12">
        <f t="shared" si="7"/>
        <v>7.5975045568891744E-2</v>
      </c>
      <c r="BI4" s="12">
        <f t="shared" si="8"/>
        <v>0.94017403915881093</v>
      </c>
      <c r="BJ4" s="12">
        <f t="shared" si="8"/>
        <v>0.26331685695863849</v>
      </c>
      <c r="BK4" s="10">
        <f t="shared" si="9"/>
        <v>1.8990937026702508</v>
      </c>
      <c r="BL4" s="10">
        <f t="shared" si="9"/>
        <v>5.7306395469731788</v>
      </c>
      <c r="BM4" s="10">
        <f t="shared" si="9"/>
        <v>5.8036388045903333</v>
      </c>
      <c r="BN4" s="10">
        <f t="shared" si="9"/>
        <v>17.515995840102644</v>
      </c>
    </row>
    <row r="5" spans="1:66" x14ac:dyDescent="0.25">
      <c r="A5">
        <v>1.3</v>
      </c>
      <c r="B5">
        <v>1</v>
      </c>
      <c r="C5">
        <v>6.44</v>
      </c>
      <c r="D5">
        <v>0.2</v>
      </c>
      <c r="E5">
        <v>12.234</v>
      </c>
      <c r="F5">
        <v>20.954999999999998</v>
      </c>
      <c r="G5">
        <v>2934.2147160697018</v>
      </c>
      <c r="H5">
        <v>149.47762463342724</v>
      </c>
      <c r="I5">
        <v>1.0400505449357524</v>
      </c>
      <c r="J5">
        <v>0.25338163276236125</v>
      </c>
      <c r="K5">
        <v>2933.7313083328513</v>
      </c>
      <c r="L5">
        <v>150.0610392958105</v>
      </c>
      <c r="M5">
        <v>0.92785761449376447</v>
      </c>
      <c r="N5">
        <v>0.24590326205313073</v>
      </c>
      <c r="P5">
        <v>167.56800000000001</v>
      </c>
      <c r="Q5">
        <f t="shared" si="0"/>
        <v>3.4076086956521738</v>
      </c>
      <c r="R5">
        <f t="shared" si="1"/>
        <v>0.10582635700783148</v>
      </c>
      <c r="S5">
        <f t="shared" si="10"/>
        <v>2.9342147160697016</v>
      </c>
      <c r="T5">
        <f t="shared" si="2"/>
        <v>0.14947762463342723</v>
      </c>
      <c r="U5">
        <f t="shared" si="3"/>
        <v>2.9337313083328511</v>
      </c>
      <c r="V5">
        <f>L5/1000</f>
        <v>0.15006103929581049</v>
      </c>
      <c r="X5" t="s">
        <v>30</v>
      </c>
      <c r="Y5" s="1" t="s">
        <v>121</v>
      </c>
      <c r="Z5">
        <f t="shared" si="5"/>
        <v>3.091834565652174</v>
      </c>
      <c r="AA5">
        <f t="shared" si="6"/>
        <v>0.10627976393355183</v>
      </c>
      <c r="AB5">
        <f t="shared" si="11"/>
        <v>2.8816650826148358</v>
      </c>
      <c r="AC5">
        <f t="shared" si="12"/>
        <v>1.072933348259413</v>
      </c>
      <c r="AD5">
        <f t="shared" si="13"/>
        <v>-3.4031192796011543E-2</v>
      </c>
      <c r="AE5">
        <f t="shared" si="14"/>
        <v>-2.2212852002189316</v>
      </c>
      <c r="AF5">
        <f t="shared" si="15"/>
        <v>0.11448721951339845</v>
      </c>
      <c r="AG5">
        <f t="shared" si="16"/>
        <v>2.7614639762407562E-3</v>
      </c>
      <c r="AH5" t="e" cm="1">
        <f t="array" ref="AH5">LINEST(S3:S19,AB3:AB19,TRUE, TRUE)</f>
        <v>#VALUE!</v>
      </c>
      <c r="AK5">
        <f t="shared" si="17"/>
        <v>18.414999999999999</v>
      </c>
      <c r="AL5">
        <v>6.6080758671997253E-2</v>
      </c>
      <c r="AM5">
        <f t="shared" si="18"/>
        <v>79.246921228751106</v>
      </c>
      <c r="AN5">
        <f t="shared" si="19"/>
        <v>5.739561538415102</v>
      </c>
      <c r="AO5">
        <f t="shared" si="20"/>
        <v>0.1390802472259407</v>
      </c>
      <c r="AP5">
        <f t="shared" si="21"/>
        <v>0.32267151185000353</v>
      </c>
      <c r="AQ5">
        <f t="shared" si="22"/>
        <v>5.5108406981946763</v>
      </c>
      <c r="AR5">
        <f t="shared" si="23"/>
        <v>12.806698929426307</v>
      </c>
      <c r="AS5">
        <f t="shared" si="24"/>
        <v>6.9540123612970355</v>
      </c>
      <c r="AT5">
        <f t="shared" si="25"/>
        <v>16.168346735236053</v>
      </c>
      <c r="AV5">
        <f t="shared" si="26"/>
        <v>1.3</v>
      </c>
      <c r="AW5" s="10">
        <f t="shared" si="27"/>
        <v>6.44</v>
      </c>
      <c r="AX5">
        <v>0.2</v>
      </c>
      <c r="AY5" s="12">
        <f t="shared" ref="AY5:AY21" si="34">Q5</f>
        <v>3.4076086956521738</v>
      </c>
      <c r="AZ5" s="12">
        <f t="shared" si="28"/>
        <v>0.10582635700783148</v>
      </c>
      <c r="BA5" s="12">
        <f t="shared" si="29"/>
        <v>2.8816650826148358</v>
      </c>
      <c r="BB5" s="12">
        <f t="shared" si="30"/>
        <v>0.11448721951339845</v>
      </c>
      <c r="BC5" s="12">
        <f t="shared" si="31"/>
        <v>2.9342147160697016</v>
      </c>
      <c r="BD5" s="18">
        <f t="shared" si="32"/>
        <v>0.14947762463342723</v>
      </c>
      <c r="BE5" s="10">
        <f t="shared" si="33"/>
        <v>1.0400505449357524</v>
      </c>
      <c r="BF5" s="10">
        <f t="shared" ref="BF5:BF21" si="35">J5</f>
        <v>0.25338163276236125</v>
      </c>
      <c r="BG5" s="12">
        <f t="shared" si="7"/>
        <v>2.9337313083328511</v>
      </c>
      <c r="BH5" s="8">
        <f t="shared" si="7"/>
        <v>0.15006103929581049</v>
      </c>
      <c r="BI5" s="12">
        <f t="shared" si="8"/>
        <v>0.92785761449376447</v>
      </c>
      <c r="BJ5" s="12">
        <f t="shared" si="8"/>
        <v>0.24590326205313073</v>
      </c>
      <c r="BK5" s="10">
        <f t="shared" si="9"/>
        <v>5.5108406981946763</v>
      </c>
      <c r="BL5" s="10">
        <f t="shared" si="9"/>
        <v>12.806698929426307</v>
      </c>
      <c r="BM5" s="10">
        <f t="shared" si="9"/>
        <v>6.9540123612970355</v>
      </c>
      <c r="BN5" s="10">
        <f t="shared" si="9"/>
        <v>16.168346735236053</v>
      </c>
    </row>
    <row r="6" spans="1:66" x14ac:dyDescent="0.25">
      <c r="A6">
        <v>1.4</v>
      </c>
      <c r="B6">
        <v>1</v>
      </c>
      <c r="C6">
        <v>8.07</v>
      </c>
      <c r="D6">
        <v>0.2</v>
      </c>
      <c r="E6">
        <v>10.964</v>
      </c>
      <c r="F6">
        <v>19.600000000000001</v>
      </c>
      <c r="G6" s="1">
        <v>2176.7177125203898</v>
      </c>
      <c r="H6" s="1">
        <v>93.269141401449644</v>
      </c>
      <c r="I6" s="1">
        <v>-9.1174522117230481</v>
      </c>
      <c r="J6" s="1">
        <v>0.34999566329102694</v>
      </c>
      <c r="K6">
        <v>2149.2161602721599</v>
      </c>
      <c r="L6">
        <v>151.83594975950123</v>
      </c>
      <c r="M6">
        <v>0.93949651301241732</v>
      </c>
      <c r="N6">
        <v>0.14209063040723996</v>
      </c>
      <c r="P6">
        <v>128.49100000000001</v>
      </c>
      <c r="Q6">
        <f t="shared" si="0"/>
        <v>2.7193308550185873</v>
      </c>
      <c r="R6">
        <f t="shared" si="1"/>
        <v>6.7393577571712202E-2</v>
      </c>
      <c r="S6">
        <f t="shared" si="10"/>
        <v>2.1767177125203898</v>
      </c>
      <c r="T6">
        <f t="shared" si="2"/>
        <v>9.3269141401449651E-2</v>
      </c>
      <c r="U6">
        <f t="shared" si="3"/>
        <v>2.14921616027216</v>
      </c>
      <c r="V6">
        <f t="shared" si="4"/>
        <v>0.15183594975950124</v>
      </c>
      <c r="X6">
        <v>18.414999999999999</v>
      </c>
      <c r="Y6">
        <v>6.6080758671997253E-2</v>
      </c>
      <c r="Z6">
        <f t="shared" si="5"/>
        <v>2.3236325275185874</v>
      </c>
      <c r="AA6">
        <f t="shared" si="6"/>
        <v>6.8103338259859841E-2</v>
      </c>
      <c r="AB6">
        <f t="shared" si="11"/>
        <v>2.0356376863141481</v>
      </c>
      <c r="AC6">
        <f t="shared" si="12"/>
        <v>1.1414764735103233</v>
      </c>
      <c r="AD6">
        <f t="shared" si="13"/>
        <v>-4.8174830255557556E-2</v>
      </c>
      <c r="AE6">
        <f t="shared" si="14"/>
        <v>-3.1444691965739975</v>
      </c>
      <c r="AF6">
        <f t="shared" si="15"/>
        <v>7.9070384150223022E-2</v>
      </c>
      <c r="AG6">
        <f t="shared" si="16"/>
        <v>1.9903573794353851E-2</v>
      </c>
      <c r="AK6">
        <f t="shared" si="17"/>
        <v>18.414999999999999</v>
      </c>
      <c r="AL6">
        <v>6.6080758671997253E-2</v>
      </c>
      <c r="AM6">
        <f t="shared" si="18"/>
        <v>42.530640428666871</v>
      </c>
      <c r="AN6">
        <f t="shared" si="19"/>
        <v>4.25198154837424</v>
      </c>
      <c r="AO6">
        <f t="shared" si="20"/>
        <v>0.11734630203750873</v>
      </c>
      <c r="AP6">
        <f t="shared" si="21"/>
        <v>0.18878853286533548</v>
      </c>
      <c r="AQ6">
        <f t="shared" si="22"/>
        <v>2.4954066887955118</v>
      </c>
      <c r="AR6">
        <f t="shared" si="23"/>
        <v>4.0351152826140675</v>
      </c>
      <c r="AS6">
        <f t="shared" si="24"/>
        <v>5.8673151018754384</v>
      </c>
      <c r="AT6">
        <f t="shared" si="25"/>
        <v>9.5056647131109155</v>
      </c>
      <c r="AV6">
        <f t="shared" si="26"/>
        <v>1.4</v>
      </c>
      <c r="AW6" s="10">
        <f t="shared" si="27"/>
        <v>8.07</v>
      </c>
      <c r="AX6">
        <v>0.2</v>
      </c>
      <c r="AY6" s="12">
        <f t="shared" si="34"/>
        <v>2.7193308550185873</v>
      </c>
      <c r="AZ6" s="12">
        <f t="shared" si="28"/>
        <v>6.7393577571712202E-2</v>
      </c>
      <c r="BA6" s="12">
        <f t="shared" si="29"/>
        <v>2.0356376863141481</v>
      </c>
      <c r="BB6" s="12">
        <f t="shared" si="30"/>
        <v>7.9070384150223022E-2</v>
      </c>
      <c r="BC6" s="12">
        <f t="shared" si="31"/>
        <v>2.1767177125203898</v>
      </c>
      <c r="BD6" s="12">
        <f t="shared" si="32"/>
        <v>9.3269141401449651E-2</v>
      </c>
      <c r="BE6" s="10">
        <f t="shared" si="33"/>
        <v>-9.1174522117230481</v>
      </c>
      <c r="BF6" s="10">
        <f t="shared" si="35"/>
        <v>0.34999566329102694</v>
      </c>
      <c r="BG6" s="13">
        <f t="shared" si="7"/>
        <v>2.14921616027216</v>
      </c>
      <c r="BH6" s="17">
        <f t="shared" si="7"/>
        <v>0.15183594975950124</v>
      </c>
      <c r="BI6" s="12">
        <f t="shared" si="8"/>
        <v>0.93949651301241732</v>
      </c>
      <c r="BJ6" s="12">
        <f t="shared" si="8"/>
        <v>0.14209063040723996</v>
      </c>
      <c r="BK6" s="12">
        <f t="shared" si="9"/>
        <v>2.4954066887955118</v>
      </c>
      <c r="BL6" s="10">
        <f t="shared" si="9"/>
        <v>4.0351152826140675</v>
      </c>
      <c r="BM6" s="10">
        <f t="shared" si="9"/>
        <v>5.8673151018754384</v>
      </c>
      <c r="BN6" s="10">
        <f t="shared" si="9"/>
        <v>9.5056647131109155</v>
      </c>
    </row>
    <row r="7" spans="1:66" x14ac:dyDescent="0.25">
      <c r="A7">
        <v>1.5</v>
      </c>
      <c r="B7">
        <v>1</v>
      </c>
      <c r="C7">
        <v>10.5</v>
      </c>
      <c r="D7">
        <v>0.2</v>
      </c>
      <c r="E7">
        <v>7.7469999999999999</v>
      </c>
      <c r="F7">
        <v>18.669</v>
      </c>
      <c r="G7">
        <v>1278.4961947881015</v>
      </c>
      <c r="H7">
        <v>36.942036753648992</v>
      </c>
      <c r="I7">
        <v>0.5630046025521267</v>
      </c>
      <c r="J7">
        <v>0.32778775265820947</v>
      </c>
      <c r="K7">
        <v>1278.4344721364744</v>
      </c>
      <c r="L7">
        <v>37.169063893982603</v>
      </c>
      <c r="M7">
        <v>0.93572447594228969</v>
      </c>
      <c r="N7">
        <v>6.5245619616933245E-2</v>
      </c>
      <c r="P7">
        <v>83.028999999999996</v>
      </c>
      <c r="Q7">
        <f t="shared" si="0"/>
        <v>2.09</v>
      </c>
      <c r="R7">
        <f t="shared" si="1"/>
        <v>3.9809523809523809E-2</v>
      </c>
      <c r="S7">
        <f t="shared" si="10"/>
        <v>1.2784961947881015</v>
      </c>
      <c r="T7">
        <f t="shared" si="2"/>
        <v>3.6942036753648995E-2</v>
      </c>
      <c r="U7">
        <f t="shared" si="3"/>
        <v>1.2784344721364744</v>
      </c>
      <c r="V7">
        <f t="shared" si="4"/>
        <v>3.7169063893982605E-2</v>
      </c>
      <c r="Z7">
        <f t="shared" si="5"/>
        <v>1.5751508749999998</v>
      </c>
      <c r="AA7">
        <f t="shared" si="6"/>
        <v>4.0999616707519879E-2</v>
      </c>
      <c r="AB7">
        <f t="shared" si="11"/>
        <v>1.1070921127048394</v>
      </c>
      <c r="AC7">
        <f t="shared" si="12"/>
        <v>1.4227821307041946</v>
      </c>
      <c r="AD7">
        <f t="shared" si="13"/>
        <v>-8.858025350790788E-2</v>
      </c>
      <c r="AE7">
        <f t="shared" si="14"/>
        <v>-5.7818133889158716</v>
      </c>
      <c r="AF7">
        <f t="shared" si="15"/>
        <v>6.4101336249458504E-2</v>
      </c>
      <c r="AG7">
        <f t="shared" si="16"/>
        <v>2.9379359354805644E-2</v>
      </c>
      <c r="AK7">
        <f t="shared" si="17"/>
        <v>18.414999999999999</v>
      </c>
      <c r="AL7">
        <v>6.6080758671997253E-2</v>
      </c>
      <c r="AM7">
        <f t="shared" si="18"/>
        <v>15.048689196077769</v>
      </c>
      <c r="AN7">
        <f t="shared" si="19"/>
        <v>0.62110426698255083</v>
      </c>
      <c r="AO7">
        <f t="shared" si="20"/>
        <v>0.12441970512252731</v>
      </c>
      <c r="AP7">
        <f t="shared" si="21"/>
        <v>8.6340457831754591E-2</v>
      </c>
      <c r="AQ7">
        <f t="shared" si="22"/>
        <v>0.93617673612827934</v>
      </c>
      <c r="AR7">
        <f t="shared" si="23"/>
        <v>0.65168890206388641</v>
      </c>
      <c r="AS7">
        <f t="shared" si="24"/>
        <v>6.2209852561263652</v>
      </c>
      <c r="AT7">
        <f t="shared" si="25"/>
        <v>4.3381409574439038</v>
      </c>
      <c r="AV7">
        <f t="shared" si="26"/>
        <v>1.5</v>
      </c>
      <c r="AW7" s="10">
        <f t="shared" si="27"/>
        <v>10.5</v>
      </c>
      <c r="AX7">
        <v>0.2</v>
      </c>
      <c r="AY7" s="12">
        <f t="shared" si="34"/>
        <v>2.09</v>
      </c>
      <c r="AZ7" s="12">
        <f t="shared" si="28"/>
        <v>3.9809523809523809E-2</v>
      </c>
      <c r="BA7" s="12">
        <f t="shared" si="29"/>
        <v>1.1070921127048394</v>
      </c>
      <c r="BB7" s="12">
        <f t="shared" si="30"/>
        <v>6.4101336249458504E-2</v>
      </c>
      <c r="BC7" s="12">
        <f t="shared" si="31"/>
        <v>1.2784961947881015</v>
      </c>
      <c r="BD7" s="12">
        <f t="shared" si="32"/>
        <v>3.6942036753648995E-2</v>
      </c>
      <c r="BE7" s="10">
        <f t="shared" si="33"/>
        <v>0.5630046025521267</v>
      </c>
      <c r="BF7" s="10">
        <f t="shared" si="35"/>
        <v>0.32778775265820947</v>
      </c>
      <c r="BG7" s="12">
        <f t="shared" si="7"/>
        <v>1.2784344721364744</v>
      </c>
      <c r="BH7" s="12">
        <f t="shared" si="7"/>
        <v>3.7169063893982605E-2</v>
      </c>
      <c r="BI7" s="12">
        <f t="shared" si="8"/>
        <v>0.93572447594228969</v>
      </c>
      <c r="BJ7" s="12">
        <f t="shared" si="8"/>
        <v>6.5245619616933245E-2</v>
      </c>
      <c r="BK7" s="10">
        <f t="shared" si="9"/>
        <v>0.93617673612827934</v>
      </c>
      <c r="BL7" s="10">
        <f t="shared" si="9"/>
        <v>0.65168890206388641</v>
      </c>
      <c r="BM7" s="10">
        <f t="shared" si="9"/>
        <v>6.2209852561263652</v>
      </c>
      <c r="BN7" s="10">
        <f t="shared" si="9"/>
        <v>4.3381409574439038</v>
      </c>
    </row>
    <row r="8" spans="1:66" x14ac:dyDescent="0.25">
      <c r="A8">
        <v>1.6</v>
      </c>
      <c r="B8">
        <v>1</v>
      </c>
      <c r="C8">
        <v>12</v>
      </c>
      <c r="D8">
        <v>0.2</v>
      </c>
      <c r="E8">
        <v>7.07</v>
      </c>
      <c r="F8">
        <v>16.425000000000001</v>
      </c>
      <c r="G8">
        <v>536.69909480764625</v>
      </c>
      <c r="H8">
        <v>7.0798579734745513</v>
      </c>
      <c r="I8">
        <v>12.89830378477879</v>
      </c>
      <c r="J8">
        <v>0.33317067543628631</v>
      </c>
      <c r="K8">
        <v>523.15699750762258</v>
      </c>
      <c r="L8">
        <v>40.506942516606067</v>
      </c>
      <c r="M8">
        <v>0.78271539347020358</v>
      </c>
      <c r="N8">
        <v>0.8856138574130491</v>
      </c>
      <c r="P8">
        <v>52.533999999999999</v>
      </c>
      <c r="Q8">
        <f t="shared" si="0"/>
        <v>1.8287500000000001</v>
      </c>
      <c r="R8">
        <f t="shared" si="1"/>
        <v>3.0479166666666668E-2</v>
      </c>
      <c r="S8">
        <f t="shared" si="10"/>
        <v>0.53669909480764622</v>
      </c>
      <c r="T8">
        <f t="shared" si="2"/>
        <v>7.0798579734745511E-3</v>
      </c>
      <c r="U8">
        <f t="shared" si="3"/>
        <v>0.52315699750762257</v>
      </c>
      <c r="V8">
        <f t="shared" si="4"/>
        <v>4.0506942516606068E-2</v>
      </c>
      <c r="X8" s="1" t="s">
        <v>122</v>
      </c>
      <c r="Z8">
        <f t="shared" si="5"/>
        <v>1.240351</v>
      </c>
      <c r="AA8">
        <f t="shared" si="6"/>
        <v>3.2017963472353216E-2</v>
      </c>
      <c r="AB8">
        <f t="shared" si="11"/>
        <v>0.53199931409824208</v>
      </c>
      <c r="AC8">
        <f t="shared" si="12"/>
        <v>2.3314898480695212</v>
      </c>
      <c r="AD8">
        <f t="shared" si="13"/>
        <v>-0.18433576397786572</v>
      </c>
      <c r="AE8">
        <f t="shared" si="14"/>
        <v>-12.031970399905354</v>
      </c>
      <c r="AF8">
        <f t="shared" si="15"/>
        <v>9.290170600428943E-2</v>
      </c>
      <c r="AK8">
        <f t="shared" si="17"/>
        <v>18.414999999999999</v>
      </c>
      <c r="AL8">
        <v>6.6080758671997253E-2</v>
      </c>
      <c r="AM8">
        <f t="shared" si="18"/>
        <v>2.5200305445092623</v>
      </c>
      <c r="AN8">
        <f t="shared" si="19"/>
        <v>0.27609040037623273</v>
      </c>
      <c r="AO8">
        <f t="shared" si="20"/>
        <v>0.3873566128247844</v>
      </c>
      <c r="AP8">
        <f t="shared" si="21"/>
        <v>0.98030964673332022</v>
      </c>
      <c r="AQ8">
        <f t="shared" si="22"/>
        <v>0.48807524796805246</v>
      </c>
      <c r="AR8">
        <f t="shared" si="23"/>
        <v>1.2363887652180527</v>
      </c>
      <c r="AS8">
        <f t="shared" si="24"/>
        <v>19.36783064123922</v>
      </c>
      <c r="AT8">
        <f t="shared" si="25"/>
        <v>49.10831543921261</v>
      </c>
      <c r="AV8">
        <f t="shared" si="26"/>
        <v>1.6</v>
      </c>
      <c r="AW8" s="10">
        <f t="shared" si="27"/>
        <v>12</v>
      </c>
      <c r="AX8">
        <v>0.2</v>
      </c>
      <c r="AY8" s="12">
        <f t="shared" si="34"/>
        <v>1.8287500000000001</v>
      </c>
      <c r="AZ8" s="12">
        <f t="shared" si="28"/>
        <v>3.0479166666666668E-2</v>
      </c>
      <c r="BA8" s="12">
        <f t="shared" si="29"/>
        <v>0.53199931409824208</v>
      </c>
      <c r="BB8" s="12">
        <f t="shared" si="30"/>
        <v>9.290170600428943E-2</v>
      </c>
      <c r="BC8" s="13">
        <f t="shared" si="31"/>
        <v>0.53669909480764622</v>
      </c>
      <c r="BD8" s="13">
        <f t="shared" si="32"/>
        <v>7.0798579734745511E-3</v>
      </c>
      <c r="BE8" s="10">
        <f t="shared" si="33"/>
        <v>12.89830378477879</v>
      </c>
      <c r="BF8" s="10">
        <f t="shared" si="35"/>
        <v>0.33317067543628631</v>
      </c>
      <c r="BG8" s="12">
        <f t="shared" si="7"/>
        <v>0.52315699750762257</v>
      </c>
      <c r="BH8" s="12">
        <f t="shared" si="7"/>
        <v>4.0506942516606068E-2</v>
      </c>
      <c r="BI8" s="12">
        <f t="shared" si="8"/>
        <v>0.78271539347020358</v>
      </c>
      <c r="BJ8" s="12">
        <f t="shared" si="8"/>
        <v>0.8856138574130491</v>
      </c>
      <c r="BK8" s="12">
        <f t="shared" si="9"/>
        <v>0.48807524796805246</v>
      </c>
      <c r="BL8" s="10">
        <f t="shared" si="9"/>
        <v>1.2363887652180527</v>
      </c>
      <c r="BM8" s="10">
        <f t="shared" si="9"/>
        <v>19.36783064123922</v>
      </c>
      <c r="BN8" s="10">
        <f t="shared" si="9"/>
        <v>49.10831543921261</v>
      </c>
    </row>
    <row r="9" spans="1:66" x14ac:dyDescent="0.25">
      <c r="A9">
        <v>1.7</v>
      </c>
      <c r="B9">
        <v>1</v>
      </c>
      <c r="C9">
        <v>6.56</v>
      </c>
      <c r="D9">
        <v>0.2</v>
      </c>
      <c r="E9">
        <v>11.726000000000001</v>
      </c>
      <c r="F9">
        <v>21.123999999999999</v>
      </c>
      <c r="G9">
        <v>2791.7736297916422</v>
      </c>
      <c r="H9">
        <v>142.27412365682022</v>
      </c>
      <c r="I9">
        <v>-1.3916171969597571</v>
      </c>
      <c r="J9">
        <v>0.28120011332193179</v>
      </c>
      <c r="K9">
        <v>2790.9502064686017</v>
      </c>
      <c r="L9">
        <v>143.50429961869398</v>
      </c>
      <c r="P9">
        <v>161.029</v>
      </c>
      <c r="Q9">
        <f t="shared" si="0"/>
        <v>3.3452743902439028</v>
      </c>
      <c r="R9">
        <f t="shared" si="1"/>
        <v>0.10199007287328973</v>
      </c>
      <c r="S9">
        <f t="shared" si="10"/>
        <v>2.791773629791642</v>
      </c>
      <c r="T9">
        <f t="shared" si="2"/>
        <v>0.14227412365682021</v>
      </c>
      <c r="U9">
        <f t="shared" si="3"/>
        <v>2.7909502064686018</v>
      </c>
      <c r="V9">
        <f t="shared" si="4"/>
        <v>0.14350429961869399</v>
      </c>
      <c r="X9">
        <v>0.01</v>
      </c>
      <c r="Y9">
        <v>5.0000000000000001E-3</v>
      </c>
      <c r="Z9">
        <f t="shared" si="5"/>
        <v>3.0236162702439029</v>
      </c>
      <c r="AA9">
        <f t="shared" si="6"/>
        <v>0.10246045748932342</v>
      </c>
      <c r="AB9">
        <f t="shared" si="11"/>
        <v>2.80834613548324</v>
      </c>
      <c r="AC9">
        <f t="shared" si="12"/>
        <v>1.0766537044849069</v>
      </c>
      <c r="AD9">
        <f t="shared" si="13"/>
        <v>-3.4919662772667955E-2</v>
      </c>
      <c r="AE9">
        <f t="shared" si="14"/>
        <v>-2.2792774434475334</v>
      </c>
      <c r="AF9">
        <f t="shared" si="15"/>
        <v>0.11081073129198461</v>
      </c>
      <c r="AG9">
        <f t="shared" si="16"/>
        <v>2.7464794489804678E-4</v>
      </c>
      <c r="AK9">
        <f t="shared" si="17"/>
        <v>18.414999999999999</v>
      </c>
      <c r="AL9">
        <v>6.6080758671997253E-2</v>
      </c>
      <c r="AM9">
        <f t="shared" si="18"/>
        <v>71.720928628794013</v>
      </c>
      <c r="AN9">
        <f t="shared" si="19"/>
        <v>5.2215795766478603</v>
      </c>
      <c r="AV9">
        <f t="shared" si="26"/>
        <v>1.7</v>
      </c>
      <c r="AW9" s="10">
        <f t="shared" si="27"/>
        <v>6.56</v>
      </c>
      <c r="AX9">
        <v>0.2</v>
      </c>
      <c r="AY9" s="13">
        <f t="shared" si="34"/>
        <v>3.3452743902439028</v>
      </c>
      <c r="AZ9" s="12">
        <f t="shared" si="28"/>
        <v>0.10199007287328973</v>
      </c>
      <c r="BA9" s="12">
        <f t="shared" si="29"/>
        <v>2.80834613548324</v>
      </c>
      <c r="BB9" s="12">
        <f t="shared" si="30"/>
        <v>0.11081073129198461</v>
      </c>
      <c r="BC9" s="12">
        <f t="shared" si="31"/>
        <v>2.791773629791642</v>
      </c>
      <c r="BD9" s="12">
        <f t="shared" si="32"/>
        <v>0.14227412365682021</v>
      </c>
      <c r="BE9" s="10">
        <f t="shared" si="33"/>
        <v>-1.3916171969597571</v>
      </c>
      <c r="BF9" s="10">
        <f t="shared" si="35"/>
        <v>0.28120011332193179</v>
      </c>
      <c r="BG9" s="12">
        <f t="shared" si="7"/>
        <v>2.7909502064686018</v>
      </c>
      <c r="BH9" s="12">
        <f t="shared" si="7"/>
        <v>0.14350429961869399</v>
      </c>
      <c r="BI9" s="12"/>
      <c r="BJ9" s="12"/>
      <c r="BK9" s="10"/>
      <c r="BL9" s="10"/>
      <c r="BM9" s="10"/>
      <c r="BN9" s="10"/>
    </row>
    <row r="10" spans="1:66" x14ac:dyDescent="0.25">
      <c r="A10">
        <v>1.8</v>
      </c>
      <c r="B10">
        <v>1</v>
      </c>
      <c r="C10">
        <v>6.72</v>
      </c>
      <c r="D10">
        <v>0.2</v>
      </c>
      <c r="E10">
        <v>11.515000000000001</v>
      </c>
      <c r="F10">
        <v>19.939</v>
      </c>
      <c r="G10">
        <v>2783.2181219205318</v>
      </c>
      <c r="H10">
        <v>166.17123889535563</v>
      </c>
      <c r="I10">
        <v>3.9341439273363648</v>
      </c>
      <c r="J10">
        <v>0.2585711441103305</v>
      </c>
      <c r="K10">
        <v>2776.6596625338225</v>
      </c>
      <c r="L10">
        <v>172.97647751321892</v>
      </c>
      <c r="P10">
        <v>164.678</v>
      </c>
      <c r="Q10">
        <f t="shared" si="0"/>
        <v>3.265625</v>
      </c>
      <c r="R10">
        <f t="shared" si="1"/>
        <v>9.7191220238095247E-2</v>
      </c>
      <c r="S10">
        <f t="shared" si="10"/>
        <v>2.7832181219205316</v>
      </c>
      <c r="T10">
        <f t="shared" si="2"/>
        <v>0.16617123889535562</v>
      </c>
      <c r="U10">
        <f t="shared" si="3"/>
        <v>2.7766596625338225</v>
      </c>
      <c r="V10">
        <f t="shared" si="4"/>
        <v>0.17297647751321893</v>
      </c>
      <c r="Z10">
        <f t="shared" si="5"/>
        <v>2.9361215600000001</v>
      </c>
      <c r="AA10">
        <f t="shared" si="6"/>
        <v>9.7684715670326008E-2</v>
      </c>
      <c r="AB10">
        <f t="shared" si="11"/>
        <v>2.713920131856653</v>
      </c>
      <c r="AC10">
        <f t="shared" si="12"/>
        <v>1.0818747116155307</v>
      </c>
      <c r="AD10">
        <f t="shared" si="13"/>
        <v>-3.6134630068465033E-2</v>
      </c>
      <c r="AE10">
        <f t="shared" si="14"/>
        <v>-2.3585808310508138</v>
      </c>
      <c r="AF10">
        <f t="shared" si="15"/>
        <v>0.10623714493554408</v>
      </c>
      <c r="AG10">
        <f t="shared" si="16"/>
        <v>4.8022114268934171E-3</v>
      </c>
      <c r="AK10">
        <f t="shared" si="17"/>
        <v>18.414999999999999</v>
      </c>
      <c r="AL10">
        <v>6.6080758671997253E-2</v>
      </c>
      <c r="AM10">
        <f t="shared" si="18"/>
        <v>70.988341501802026</v>
      </c>
      <c r="AN10">
        <f t="shared" si="19"/>
        <v>6.2593087654449349</v>
      </c>
      <c r="AV10">
        <f t="shared" si="26"/>
        <v>1.8</v>
      </c>
      <c r="AW10" s="10">
        <f t="shared" si="27"/>
        <v>6.72</v>
      </c>
      <c r="AX10">
        <v>0.2</v>
      </c>
      <c r="AY10" s="12">
        <f t="shared" si="34"/>
        <v>3.265625</v>
      </c>
      <c r="AZ10" s="12">
        <f t="shared" si="28"/>
        <v>9.7191220238095247E-2</v>
      </c>
      <c r="BA10" s="12">
        <f t="shared" si="29"/>
        <v>2.713920131856653</v>
      </c>
      <c r="BB10" s="12">
        <f t="shared" si="30"/>
        <v>0.10623714493554408</v>
      </c>
      <c r="BC10" s="12">
        <f t="shared" si="31"/>
        <v>2.7832181219205316</v>
      </c>
      <c r="BD10" s="12">
        <f t="shared" si="32"/>
        <v>0.16617123889535562</v>
      </c>
      <c r="BE10" s="10">
        <f t="shared" si="33"/>
        <v>3.9341439273363648</v>
      </c>
      <c r="BF10" s="10">
        <f t="shared" si="35"/>
        <v>0.2585711441103305</v>
      </c>
      <c r="BG10" s="12">
        <f t="shared" si="7"/>
        <v>2.7766596625338225</v>
      </c>
      <c r="BH10" s="12">
        <f t="shared" si="7"/>
        <v>0.17297647751321893</v>
      </c>
      <c r="BI10" s="12"/>
      <c r="BJ10" s="12"/>
      <c r="BK10" s="10"/>
      <c r="BL10" s="10"/>
      <c r="BM10" s="10"/>
      <c r="BN10" s="10"/>
    </row>
    <row r="11" spans="1:66" x14ac:dyDescent="0.25">
      <c r="A11">
        <v>0.4</v>
      </c>
      <c r="B11" t="s">
        <v>137</v>
      </c>
      <c r="E11">
        <v>2.3279999999999998</v>
      </c>
      <c r="F11">
        <v>7.8319999999999999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P11">
        <v>5.9820000000000002</v>
      </c>
      <c r="S11">
        <f>G11/1000</f>
        <v>0</v>
      </c>
      <c r="T11">
        <f>H11/1000</f>
        <v>0</v>
      </c>
      <c r="U11">
        <f t="shared" si="3"/>
        <v>0</v>
      </c>
      <c r="V11">
        <f t="shared" si="4"/>
        <v>0</v>
      </c>
      <c r="AW11" s="10"/>
      <c r="AY11" s="12"/>
      <c r="AZ11" s="12"/>
      <c r="BA11" s="12"/>
      <c r="BB11" s="12"/>
      <c r="BC11" s="12"/>
      <c r="BD11" s="12"/>
      <c r="BE11" s="10"/>
      <c r="BF11" s="10"/>
      <c r="BG11" s="12"/>
      <c r="BH11" s="12"/>
      <c r="BI11" s="12"/>
      <c r="BJ11" s="12"/>
      <c r="BK11" s="10"/>
      <c r="BL11" s="10"/>
      <c r="BM11" s="10"/>
      <c r="BN11" s="10"/>
    </row>
    <row r="12" spans="1:66" x14ac:dyDescent="0.25">
      <c r="A12">
        <v>1.1000000000000001</v>
      </c>
      <c r="B12">
        <v>2</v>
      </c>
      <c r="C12">
        <v>10.34</v>
      </c>
      <c r="D12">
        <v>0.2</v>
      </c>
      <c r="E12">
        <v>8.9749999999999996</v>
      </c>
      <c r="F12">
        <v>17.738</v>
      </c>
      <c r="G12">
        <v>1343.9578545034219</v>
      </c>
      <c r="H12">
        <v>44.95848737766196</v>
      </c>
      <c r="I12">
        <v>15.562666662220309</v>
      </c>
      <c r="J12">
        <v>0.49236739700720866</v>
      </c>
      <c r="K12">
        <v>1294.6851175231825</v>
      </c>
      <c r="L12">
        <v>182.74107109035731</v>
      </c>
      <c r="M12">
        <v>0.91090754929586415</v>
      </c>
      <c r="N12">
        <v>0.25267713905561495</v>
      </c>
      <c r="P12">
        <v>96.262</v>
      </c>
      <c r="Q12">
        <f t="shared" ref="Q12:Q19" si="36">21.945/C12</f>
        <v>2.1223404255319149</v>
      </c>
      <c r="R12">
        <f t="shared" ref="R12:R19" si="37">Q12*D12/C12</f>
        <v>4.1051072060578626E-2</v>
      </c>
      <c r="S12">
        <f t="shared" si="10"/>
        <v>1.3439578545034219</v>
      </c>
      <c r="T12">
        <f t="shared" si="2"/>
        <v>4.4958487377661963E-2</v>
      </c>
      <c r="U12">
        <f t="shared" si="3"/>
        <v>1.2946851175231826</v>
      </c>
      <c r="V12">
        <f t="shared" si="4"/>
        <v>0.18274107109035731</v>
      </c>
      <c r="X12" t="str">
        <f>"Distance-corrected (μ = " &amp; ROUND(X9, 4) &amp;")"</f>
        <v>Distance-corrected (μ = 0.01)</v>
      </c>
      <c r="Z12">
        <f t="shared" ref="Z12:Z19" si="38">Q12-$Y$3*C12/2</f>
        <v>1.6153366205319148</v>
      </c>
      <c r="AA12">
        <f t="shared" ref="AA12:AA19" si="39">SQRT(R12^2+(C12/2)^2*$Y$4^2+$Y$3^2*(D12/2)^2)</f>
        <v>4.2206171368003982E-2</v>
      </c>
      <c r="AB12">
        <f t="shared" si="11"/>
        <v>1.1635570740756414</v>
      </c>
      <c r="AC12">
        <f t="shared" si="12"/>
        <v>1.3882745045533571</v>
      </c>
      <c r="AD12">
        <f t="shared" si="13"/>
        <v>-8.4281641343555466E-2</v>
      </c>
      <c r="AE12">
        <f t="shared" si="14"/>
        <v>-5.5012342261638629</v>
      </c>
      <c r="AF12">
        <f t="shared" si="15"/>
        <v>6.3816402969125621E-2</v>
      </c>
      <c r="AG12">
        <f t="shared" ref="AG12" si="40">(S12-AB12)^2</f>
        <v>3.2544441578952275E-2</v>
      </c>
      <c r="AH12" t="s">
        <v>124</v>
      </c>
      <c r="AK12">
        <f t="shared" si="17"/>
        <v>18.414999999999999</v>
      </c>
      <c r="AL12">
        <v>6.6080758671997253E-2</v>
      </c>
      <c r="AM12">
        <f t="shared" si="18"/>
        <v>15.433699464182876</v>
      </c>
      <c r="AN12">
        <f t="shared" si="19"/>
        <v>3.0812519511151057</v>
      </c>
      <c r="AO12">
        <f t="shared" si="20"/>
        <v>0.17024743663580277</v>
      </c>
      <c r="AP12">
        <f t="shared" si="21"/>
        <v>0.32550319078260781</v>
      </c>
      <c r="AQ12">
        <f t="shared" ref="AQ12:AQ16" si="41">AK12/4*U12*U12*(AO12)</f>
        <v>1.3137738857922487</v>
      </c>
      <c r="AR12">
        <f>AQ12*SQRT(AL12^2/AK12^2+AP12^2/AO12^2+V12^2/U12^2+V12^2/U12*2)</f>
        <v>2.5363130781677348</v>
      </c>
      <c r="AS12">
        <f>AQ12/AM12*100</f>
        <v>8.5123718317901389</v>
      </c>
      <c r="AT12">
        <f t="shared" si="25"/>
        <v>16.521242924717018</v>
      </c>
      <c r="AV12">
        <f t="shared" si="26"/>
        <v>1.1000000000000001</v>
      </c>
      <c r="AW12" s="10">
        <f t="shared" si="27"/>
        <v>10.34</v>
      </c>
      <c r="AX12">
        <v>0.2</v>
      </c>
      <c r="AY12" s="12">
        <f t="shared" si="34"/>
        <v>2.1223404255319149</v>
      </c>
      <c r="AZ12" s="12">
        <f t="shared" si="28"/>
        <v>4.1051072060578626E-2</v>
      </c>
      <c r="BA12" s="12">
        <f t="shared" si="29"/>
        <v>1.1635570740756414</v>
      </c>
      <c r="BB12" s="12">
        <f t="shared" si="30"/>
        <v>6.3816402969125621E-2</v>
      </c>
      <c r="BC12" s="12">
        <f t="shared" si="31"/>
        <v>1.3439578545034219</v>
      </c>
      <c r="BD12" s="12">
        <f t="shared" si="32"/>
        <v>4.4958487377661963E-2</v>
      </c>
      <c r="BE12" s="10">
        <f t="shared" si="33"/>
        <v>15.562666662220309</v>
      </c>
      <c r="BF12" s="10">
        <f t="shared" si="35"/>
        <v>0.49236739700720866</v>
      </c>
      <c r="BG12" s="12">
        <f t="shared" ref="BG12:BH19" si="42">U12</f>
        <v>1.2946851175231826</v>
      </c>
      <c r="BH12" s="12">
        <f t="shared" si="42"/>
        <v>0.18274107109035731</v>
      </c>
      <c r="BI12" s="12">
        <f t="shared" ref="BI12:BJ17" si="43">M12</f>
        <v>0.91090754929586415</v>
      </c>
      <c r="BJ12" s="12">
        <f t="shared" si="43"/>
        <v>0.25267713905561495</v>
      </c>
      <c r="BK12" s="10">
        <f>AQ12</f>
        <v>1.3137738857922487</v>
      </c>
      <c r="BL12" s="10">
        <f t="shared" ref="BK12:BN17" si="44">AR12</f>
        <v>2.5363130781677348</v>
      </c>
      <c r="BM12" s="10">
        <f t="shared" si="44"/>
        <v>8.5123718317901389</v>
      </c>
      <c r="BN12" s="10">
        <f t="shared" si="44"/>
        <v>16.521242924717018</v>
      </c>
    </row>
    <row r="13" spans="1:66" x14ac:dyDescent="0.25">
      <c r="A13">
        <v>1.2</v>
      </c>
      <c r="B13">
        <v>2</v>
      </c>
      <c r="C13">
        <v>8.68</v>
      </c>
      <c r="D13">
        <v>0.2</v>
      </c>
      <c r="E13">
        <v>9.7370000000000001</v>
      </c>
      <c r="F13">
        <v>17.314</v>
      </c>
      <c r="G13">
        <v>1856.0799982759363</v>
      </c>
      <c r="H13">
        <v>83.832182069901236</v>
      </c>
      <c r="I13">
        <v>5.5224908863096118</v>
      </c>
      <c r="J13">
        <v>0.45304640867678475</v>
      </c>
      <c r="K13">
        <v>1847.4649999674978</v>
      </c>
      <c r="L13">
        <v>116.23895065798642</v>
      </c>
      <c r="M13">
        <v>0.96210657804555044</v>
      </c>
      <c r="N13">
        <v>0.32390935325011189</v>
      </c>
      <c r="P13">
        <v>118.01600000000001</v>
      </c>
      <c r="Q13">
        <f t="shared" si="36"/>
        <v>2.528225806451613</v>
      </c>
      <c r="R13">
        <f t="shared" si="37"/>
        <v>5.825405083989893E-2</v>
      </c>
      <c r="S13">
        <f t="shared" si="10"/>
        <v>1.8560799982759364</v>
      </c>
      <c r="T13">
        <f t="shared" si="2"/>
        <v>8.3832182069901243E-2</v>
      </c>
      <c r="U13">
        <f t="shared" si="3"/>
        <v>1.8474649999674977</v>
      </c>
      <c r="V13">
        <f t="shared" si="4"/>
        <v>0.11623895065798642</v>
      </c>
      <c r="Z13">
        <f t="shared" si="38"/>
        <v>2.1026171964516132</v>
      </c>
      <c r="AA13">
        <f t="shared" si="39"/>
        <v>5.9073723629715684E-2</v>
      </c>
      <c r="AB13">
        <f t="shared" si="11"/>
        <v>1.7791997475871115</v>
      </c>
      <c r="AC13">
        <f t="shared" si="12"/>
        <v>1.1817769192599701</v>
      </c>
      <c r="AD13">
        <f t="shared" si="13"/>
        <v>-5.511831942028677E-2</v>
      </c>
      <c r="AE13">
        <f t="shared" si="14"/>
        <v>-3.597684862917057</v>
      </c>
      <c r="AF13">
        <f t="shared" si="15"/>
        <v>7.174352107981781E-2</v>
      </c>
      <c r="AG13">
        <f t="shared" ref="AG13" si="45">(S13-AB13)^2</f>
        <v>5.9105729459765569E-3</v>
      </c>
      <c r="AH13">
        <v>0</v>
      </c>
      <c r="AK13">
        <f t="shared" si="17"/>
        <v>18.414999999999999</v>
      </c>
      <c r="AL13">
        <v>6.6080758671997253E-2</v>
      </c>
      <c r="AM13">
        <f t="shared" si="18"/>
        <v>31.426366172110921</v>
      </c>
      <c r="AN13">
        <f t="shared" si="19"/>
        <v>2.798578578841306</v>
      </c>
      <c r="AO13">
        <f t="shared" si="20"/>
        <v>7.4350932481481169E-2</v>
      </c>
      <c r="AP13">
        <f t="shared" si="21"/>
        <v>0.44071889528407376</v>
      </c>
      <c r="AQ13">
        <f t="shared" si="41"/>
        <v>1.1682898147004617</v>
      </c>
      <c r="AR13">
        <f t="shared" ref="AR13:AR16" si="46">AQ13*SQRT(AL13^2/AK13^2+AP13^2/AO13^2+V13^2/U13^2+V13^2/U13*2)</f>
        <v>6.9269292954418118</v>
      </c>
      <c r="AS13">
        <f t="shared" ref="AS13:AS17" si="47">AQ13/AM13*100</f>
        <v>3.7175466240740591</v>
      </c>
      <c r="AT13">
        <f t="shared" si="25"/>
        <v>22.044262171951384</v>
      </c>
      <c r="AV13">
        <f t="shared" si="26"/>
        <v>1.2</v>
      </c>
      <c r="AW13" s="10">
        <f t="shared" si="27"/>
        <v>8.68</v>
      </c>
      <c r="AX13">
        <v>0.2</v>
      </c>
      <c r="AY13" s="12">
        <f t="shared" si="34"/>
        <v>2.528225806451613</v>
      </c>
      <c r="AZ13" s="12">
        <f t="shared" si="28"/>
        <v>5.825405083989893E-2</v>
      </c>
      <c r="BA13" s="12">
        <f t="shared" si="29"/>
        <v>1.7791997475871115</v>
      </c>
      <c r="BB13" s="12">
        <f t="shared" si="30"/>
        <v>7.174352107981781E-2</v>
      </c>
      <c r="BC13" s="12">
        <f t="shared" si="31"/>
        <v>1.8560799982759364</v>
      </c>
      <c r="BD13" s="12">
        <f t="shared" si="32"/>
        <v>8.3832182069901243E-2</v>
      </c>
      <c r="BE13" s="10">
        <f t="shared" si="33"/>
        <v>5.5224908863096118</v>
      </c>
      <c r="BF13" s="10">
        <f t="shared" si="35"/>
        <v>0.45304640867678475</v>
      </c>
      <c r="BG13" s="12">
        <f t="shared" si="42"/>
        <v>1.8474649999674977</v>
      </c>
      <c r="BH13" s="12">
        <f t="shared" si="42"/>
        <v>0.11623895065798642</v>
      </c>
      <c r="BI13" s="12">
        <f t="shared" si="43"/>
        <v>0.96210657804555044</v>
      </c>
      <c r="BJ13" s="12">
        <f t="shared" si="43"/>
        <v>0.32390935325011189</v>
      </c>
      <c r="BK13" s="10">
        <f t="shared" si="44"/>
        <v>1.1682898147004617</v>
      </c>
      <c r="BL13" s="10">
        <f t="shared" si="44"/>
        <v>6.9269292954418118</v>
      </c>
      <c r="BM13" s="10">
        <f t="shared" si="44"/>
        <v>3.7175466240740591</v>
      </c>
      <c r="BN13" s="10">
        <f t="shared" si="44"/>
        <v>22.044262171951384</v>
      </c>
    </row>
    <row r="14" spans="1:66" x14ac:dyDescent="0.25">
      <c r="A14">
        <v>1.3</v>
      </c>
      <c r="B14">
        <v>2</v>
      </c>
      <c r="C14">
        <v>6.44</v>
      </c>
      <c r="D14">
        <v>0.2</v>
      </c>
      <c r="E14">
        <v>12.234</v>
      </c>
      <c r="F14">
        <v>20.954999999999998</v>
      </c>
      <c r="G14">
        <v>2923.1917487568276</v>
      </c>
      <c r="H14">
        <v>192.68847360370745</v>
      </c>
      <c r="I14">
        <v>2.3062160990078553</v>
      </c>
      <c r="J14">
        <v>0.46033104523117779</v>
      </c>
      <c r="K14">
        <v>2920.8240665701769</v>
      </c>
      <c r="L14">
        <v>200.00200687968416</v>
      </c>
      <c r="M14">
        <v>0.95195291497566881</v>
      </c>
      <c r="N14">
        <v>7.9873959367481609E-2</v>
      </c>
      <c r="P14">
        <v>167.56800000000001</v>
      </c>
      <c r="Q14">
        <f t="shared" si="36"/>
        <v>3.4076086956521738</v>
      </c>
      <c r="R14">
        <f t="shared" si="37"/>
        <v>0.10582635700783148</v>
      </c>
      <c r="S14">
        <f t="shared" si="10"/>
        <v>2.9231917487568277</v>
      </c>
      <c r="T14">
        <f t="shared" si="2"/>
        <v>0.19268847360370744</v>
      </c>
      <c r="U14">
        <f t="shared" si="3"/>
        <v>2.920824066570177</v>
      </c>
      <c r="V14">
        <f t="shared" si="4"/>
        <v>0.20000200687968417</v>
      </c>
      <c r="X14" t="s">
        <v>92</v>
      </c>
      <c r="Y14" s="1" t="s">
        <v>130</v>
      </c>
      <c r="Z14">
        <f t="shared" si="38"/>
        <v>3.091834565652174</v>
      </c>
      <c r="AA14">
        <f t="shared" si="39"/>
        <v>0.10627976393355183</v>
      </c>
      <c r="AB14">
        <f t="shared" si="11"/>
        <v>2.8816650826148358</v>
      </c>
      <c r="AC14">
        <f>1/2*(Z14^2-2*$Y$3*$X$3)^(-1/2)*2*Z14</f>
        <v>1.072933348259413</v>
      </c>
      <c r="AD14">
        <f t="shared" si="13"/>
        <v>-3.4031192796011543E-2</v>
      </c>
      <c r="AE14">
        <f t="shared" si="14"/>
        <v>-2.2212852002189316</v>
      </c>
      <c r="AF14">
        <f t="shared" si="15"/>
        <v>0.11448721951339845</v>
      </c>
      <c r="AG14">
        <f t="shared" si="16"/>
        <v>1.7244640008684618E-3</v>
      </c>
      <c r="AH14">
        <v>3.5</v>
      </c>
      <c r="AK14">
        <f t="shared" si="17"/>
        <v>18.414999999999999</v>
      </c>
      <c r="AL14">
        <v>6.6080758671997253E-2</v>
      </c>
      <c r="AM14">
        <f t="shared" si="18"/>
        <v>78.551145795479925</v>
      </c>
      <c r="AN14">
        <f t="shared" si="19"/>
        <v>7.6119240958263443</v>
      </c>
      <c r="AO14">
        <f t="shared" si="20"/>
        <v>9.3785647669327066E-2</v>
      </c>
      <c r="AP14">
        <f t="shared" si="21"/>
        <v>0.10753149379069879</v>
      </c>
      <c r="AQ14">
        <f t="shared" si="41"/>
        <v>3.683485041798412</v>
      </c>
      <c r="AR14">
        <f t="shared" si="46"/>
        <v>4.2745994813473738</v>
      </c>
      <c r="AS14">
        <f t="shared" si="47"/>
        <v>4.6892823834663542</v>
      </c>
      <c r="AT14">
        <f t="shared" si="25"/>
        <v>5.460743616318557</v>
      </c>
      <c r="AV14">
        <f t="shared" si="26"/>
        <v>1.3</v>
      </c>
      <c r="AW14" s="10">
        <f t="shared" si="27"/>
        <v>6.44</v>
      </c>
      <c r="AX14">
        <v>0.2</v>
      </c>
      <c r="AY14" s="12">
        <f t="shared" si="34"/>
        <v>3.4076086956521738</v>
      </c>
      <c r="AZ14" s="12">
        <f t="shared" si="28"/>
        <v>0.10582635700783148</v>
      </c>
      <c r="BA14" s="12">
        <f t="shared" si="29"/>
        <v>2.8816650826148358</v>
      </c>
      <c r="BB14" s="12">
        <f t="shared" si="30"/>
        <v>0.11448721951339845</v>
      </c>
      <c r="BC14" s="12">
        <f t="shared" si="31"/>
        <v>2.9231917487568277</v>
      </c>
      <c r="BD14" s="12">
        <f t="shared" si="32"/>
        <v>0.19268847360370744</v>
      </c>
      <c r="BE14" s="10">
        <f t="shared" si="33"/>
        <v>2.3062160990078553</v>
      </c>
      <c r="BF14" s="10">
        <f t="shared" si="35"/>
        <v>0.46033104523117779</v>
      </c>
      <c r="BG14" s="12">
        <f t="shared" si="42"/>
        <v>2.920824066570177</v>
      </c>
      <c r="BH14" s="12">
        <f t="shared" si="42"/>
        <v>0.20000200687968417</v>
      </c>
      <c r="BI14" s="12">
        <f t="shared" si="43"/>
        <v>0.95195291497566881</v>
      </c>
      <c r="BJ14" s="12">
        <f t="shared" si="43"/>
        <v>7.9873959367481609E-2</v>
      </c>
      <c r="BK14" s="10">
        <f t="shared" si="44"/>
        <v>3.683485041798412</v>
      </c>
      <c r="BL14" s="10">
        <f t="shared" si="44"/>
        <v>4.2745994813473738</v>
      </c>
      <c r="BM14" s="10">
        <f t="shared" si="44"/>
        <v>4.6892823834663542</v>
      </c>
      <c r="BN14" s="10">
        <f t="shared" si="44"/>
        <v>5.460743616318557</v>
      </c>
    </row>
    <row r="15" spans="1:66" x14ac:dyDescent="0.25">
      <c r="A15">
        <v>1.4</v>
      </c>
      <c r="B15">
        <v>2</v>
      </c>
      <c r="C15">
        <v>8.07</v>
      </c>
      <c r="D15">
        <v>0.2</v>
      </c>
      <c r="E15">
        <v>10.964</v>
      </c>
      <c r="F15">
        <v>19.600000000000001</v>
      </c>
      <c r="G15" s="1">
        <v>2155.2622939112434</v>
      </c>
      <c r="H15" s="1">
        <v>128.52263718213464</v>
      </c>
      <c r="I15" s="1">
        <v>-8.6316600642043113</v>
      </c>
      <c r="J15" s="1">
        <v>0.67142052997672141</v>
      </c>
      <c r="K15">
        <v>2130.8509332245344</v>
      </c>
      <c r="L15">
        <v>251.62218566475019</v>
      </c>
      <c r="M15">
        <v>0.95475801272695426</v>
      </c>
      <c r="N15">
        <v>0.18299017880277124</v>
      </c>
      <c r="P15">
        <v>128.49100000000001</v>
      </c>
      <c r="Q15">
        <f t="shared" si="36"/>
        <v>2.7193308550185873</v>
      </c>
      <c r="R15">
        <f t="shared" si="37"/>
        <v>6.7393577571712202E-2</v>
      </c>
      <c r="S15">
        <f t="shared" si="10"/>
        <v>2.1552622939112434</v>
      </c>
      <c r="T15">
        <f t="shared" si="2"/>
        <v>0.12852263718213464</v>
      </c>
      <c r="U15">
        <f t="shared" si="3"/>
        <v>2.1308509332245342</v>
      </c>
      <c r="V15">
        <f t="shared" si="4"/>
        <v>0.2516221856647502</v>
      </c>
      <c r="X15">
        <v>9.8066499999999994</v>
      </c>
      <c r="Z15">
        <f t="shared" si="38"/>
        <v>2.3236325275185874</v>
      </c>
      <c r="AA15">
        <f t="shared" si="39"/>
        <v>6.8103338259859841E-2</v>
      </c>
      <c r="AB15">
        <f t="shared" si="11"/>
        <v>2.0356376863141481</v>
      </c>
      <c r="AC15">
        <f t="shared" si="12"/>
        <v>1.1414764735103233</v>
      </c>
      <c r="AD15">
        <f t="shared" si="13"/>
        <v>-4.8174830255557556E-2</v>
      </c>
      <c r="AE15">
        <f t="shared" si="14"/>
        <v>-3.1444691965739975</v>
      </c>
      <c r="AF15">
        <f t="shared" si="15"/>
        <v>7.9070384150223022E-2</v>
      </c>
      <c r="AG15">
        <f t="shared" ref="AG15:AG19" si="48">(S15-AB15)^2</f>
        <v>1.4310046742759021E-2</v>
      </c>
      <c r="AK15">
        <f t="shared" si="17"/>
        <v>18.414999999999999</v>
      </c>
      <c r="AL15">
        <v>6.6080758671997253E-2</v>
      </c>
      <c r="AM15">
        <f t="shared" si="18"/>
        <v>41.80689037928677</v>
      </c>
      <c r="AN15">
        <f t="shared" si="19"/>
        <v>6.9832720989114971</v>
      </c>
      <c r="AO15">
        <f t="shared" si="20"/>
        <v>8.8437137133677068E-2</v>
      </c>
      <c r="AP15">
        <f t="shared" si="21"/>
        <v>0.24707914576793158</v>
      </c>
      <c r="AQ15">
        <f>AK15/4*U15*U15*(AO15)</f>
        <v>1.8486408488027943</v>
      </c>
      <c r="AR15">
        <f>AQ15*SQRT(AL15^2/AK15^2+AP15^2/AO15^2+V15^2/U15^2+V15^2/U15*2)</f>
        <v>5.1890267199496556</v>
      </c>
      <c r="AS15">
        <f t="shared" si="47"/>
        <v>4.4218568566838536</v>
      </c>
      <c r="AT15">
        <f t="shared" si="25"/>
        <v>12.433850855651826</v>
      </c>
      <c r="AV15">
        <f t="shared" si="26"/>
        <v>1.4</v>
      </c>
      <c r="AW15" s="10">
        <f t="shared" si="27"/>
        <v>8.07</v>
      </c>
      <c r="AX15">
        <v>0.2</v>
      </c>
      <c r="AY15" s="12">
        <f t="shared" si="34"/>
        <v>2.7193308550185873</v>
      </c>
      <c r="AZ15" s="12">
        <f t="shared" si="28"/>
        <v>6.7393577571712202E-2</v>
      </c>
      <c r="BA15" s="12">
        <f t="shared" si="29"/>
        <v>2.0356376863141481</v>
      </c>
      <c r="BB15" s="12">
        <f t="shared" si="30"/>
        <v>7.9070384150223022E-2</v>
      </c>
      <c r="BC15" s="12">
        <f t="shared" si="31"/>
        <v>2.1552622939112434</v>
      </c>
      <c r="BD15" s="12">
        <f t="shared" si="32"/>
        <v>0.12852263718213464</v>
      </c>
      <c r="BE15" s="10">
        <f t="shared" si="33"/>
        <v>-8.6316600642043113</v>
      </c>
      <c r="BF15" s="10">
        <f t="shared" si="35"/>
        <v>0.67142052997672141</v>
      </c>
      <c r="BG15" s="12">
        <f t="shared" si="42"/>
        <v>2.1308509332245342</v>
      </c>
      <c r="BH15" s="12">
        <f t="shared" si="42"/>
        <v>0.2516221856647502</v>
      </c>
      <c r="BI15" s="12">
        <f t="shared" si="43"/>
        <v>0.95475801272695426</v>
      </c>
      <c r="BJ15" s="12">
        <f t="shared" si="43"/>
        <v>0.18299017880277124</v>
      </c>
      <c r="BK15" s="10">
        <f t="shared" si="44"/>
        <v>1.8486408488027943</v>
      </c>
      <c r="BL15" s="10">
        <f t="shared" si="44"/>
        <v>5.1890267199496556</v>
      </c>
      <c r="BM15" s="10">
        <f t="shared" si="44"/>
        <v>4.4218568566838536</v>
      </c>
      <c r="BN15" s="10">
        <f t="shared" si="44"/>
        <v>12.433850855651826</v>
      </c>
    </row>
    <row r="16" spans="1:66" x14ac:dyDescent="0.25">
      <c r="A16">
        <v>1.5</v>
      </c>
      <c r="B16">
        <v>2</v>
      </c>
      <c r="C16">
        <v>10.5</v>
      </c>
      <c r="D16">
        <v>0.2</v>
      </c>
      <c r="E16">
        <v>7.7469999999999999</v>
      </c>
      <c r="F16">
        <v>18.669</v>
      </c>
      <c r="G16">
        <v>1248.2481551318726</v>
      </c>
      <c r="H16">
        <v>53.969947079822383</v>
      </c>
      <c r="I16">
        <v>0.6618030030553399</v>
      </c>
      <c r="J16">
        <v>0.63267241486711945</v>
      </c>
      <c r="K16">
        <v>1248.1648870978713</v>
      </c>
      <c r="L16">
        <v>54.731820655180691</v>
      </c>
      <c r="M16">
        <v>0.91269312370797528</v>
      </c>
      <c r="N16">
        <v>0.14136444267234621</v>
      </c>
      <c r="P16">
        <v>83.028999999999996</v>
      </c>
      <c r="Q16">
        <f t="shared" si="36"/>
        <v>2.09</v>
      </c>
      <c r="R16">
        <f t="shared" si="37"/>
        <v>3.9809523809523809E-2</v>
      </c>
      <c r="S16">
        <f t="shared" si="10"/>
        <v>1.2482481551318727</v>
      </c>
      <c r="T16">
        <f t="shared" si="2"/>
        <v>5.3969947079822382E-2</v>
      </c>
      <c r="U16">
        <f t="shared" si="3"/>
        <v>1.2481648870978712</v>
      </c>
      <c r="V16">
        <f t="shared" si="4"/>
        <v>5.4731820655180688E-2</v>
      </c>
      <c r="X16" t="s">
        <v>131</v>
      </c>
      <c r="Z16">
        <f t="shared" si="38"/>
        <v>1.5751508749999998</v>
      </c>
      <c r="AA16">
        <f t="shared" si="39"/>
        <v>4.0999616707519879E-2</v>
      </c>
      <c r="AB16">
        <f t="shared" si="11"/>
        <v>1.1070921127048394</v>
      </c>
      <c r="AC16">
        <f t="shared" si="12"/>
        <v>1.4227821307041946</v>
      </c>
      <c r="AD16">
        <f t="shared" si="13"/>
        <v>-8.858025350790788E-2</v>
      </c>
      <c r="AE16">
        <f t="shared" si="14"/>
        <v>-5.7818133889158716</v>
      </c>
      <c r="AF16">
        <f t="shared" si="15"/>
        <v>6.4101336249458504E-2</v>
      </c>
      <c r="AG16">
        <f t="shared" si="48"/>
        <v>1.992502831366242E-2</v>
      </c>
      <c r="AK16">
        <f t="shared" si="17"/>
        <v>18.414999999999999</v>
      </c>
      <c r="AL16">
        <v>6.6080758671997253E-2</v>
      </c>
      <c r="AM16">
        <f t="shared" si="18"/>
        <v>14.344507752423562</v>
      </c>
      <c r="AN16">
        <f t="shared" si="19"/>
        <v>0.89103439461552292</v>
      </c>
      <c r="AO16">
        <f t="shared" si="20"/>
        <v>0.16699126193617853</v>
      </c>
      <c r="AP16">
        <f t="shared" si="21"/>
        <v>0.18246516395636467</v>
      </c>
      <c r="AQ16">
        <f t="shared" si="41"/>
        <v>1.1977037257152532</v>
      </c>
      <c r="AR16">
        <f t="shared" si="46"/>
        <v>1.3123728692367191</v>
      </c>
      <c r="AS16">
        <f t="shared" si="47"/>
        <v>8.3495630968089269</v>
      </c>
      <c r="AT16">
        <f t="shared" si="25"/>
        <v>9.163646256412477</v>
      </c>
      <c r="AV16">
        <f t="shared" si="26"/>
        <v>1.5</v>
      </c>
      <c r="AW16" s="10">
        <f t="shared" si="27"/>
        <v>10.5</v>
      </c>
      <c r="AX16">
        <v>0.2</v>
      </c>
      <c r="AY16" s="12">
        <f t="shared" si="34"/>
        <v>2.09</v>
      </c>
      <c r="AZ16" s="12">
        <f t="shared" si="28"/>
        <v>3.9809523809523809E-2</v>
      </c>
      <c r="BA16" s="12">
        <f t="shared" si="29"/>
        <v>1.1070921127048394</v>
      </c>
      <c r="BB16" s="12">
        <f t="shared" si="30"/>
        <v>6.4101336249458504E-2</v>
      </c>
      <c r="BC16" s="12">
        <f t="shared" si="31"/>
        <v>1.2482481551318727</v>
      </c>
      <c r="BD16" s="12">
        <f t="shared" si="32"/>
        <v>5.3969947079822382E-2</v>
      </c>
      <c r="BE16" s="10">
        <f t="shared" si="33"/>
        <v>0.6618030030553399</v>
      </c>
      <c r="BF16" s="10">
        <f t="shared" si="35"/>
        <v>0.63267241486711945</v>
      </c>
      <c r="BG16" s="12">
        <f t="shared" si="42"/>
        <v>1.2481648870978712</v>
      </c>
      <c r="BH16" s="12">
        <f t="shared" si="42"/>
        <v>5.4731820655180688E-2</v>
      </c>
      <c r="BI16" s="12">
        <f t="shared" si="43"/>
        <v>0.91269312370797528</v>
      </c>
      <c r="BJ16" s="12">
        <f t="shared" si="43"/>
        <v>0.14136444267234621</v>
      </c>
      <c r="BK16" s="10">
        <f t="shared" si="44"/>
        <v>1.1977037257152532</v>
      </c>
      <c r="BL16" s="10">
        <f t="shared" si="44"/>
        <v>1.3123728692367191</v>
      </c>
      <c r="BM16" s="10">
        <f t="shared" si="44"/>
        <v>8.3495630968089269</v>
      </c>
      <c r="BN16" s="10">
        <f t="shared" si="44"/>
        <v>9.163646256412477</v>
      </c>
    </row>
    <row r="17" spans="1:66" x14ac:dyDescent="0.25">
      <c r="A17">
        <v>1.6</v>
      </c>
      <c r="B17">
        <v>2</v>
      </c>
      <c r="C17">
        <v>12</v>
      </c>
      <c r="D17">
        <v>0.2</v>
      </c>
      <c r="E17">
        <v>7.07</v>
      </c>
      <c r="F17">
        <v>16.425000000000001</v>
      </c>
      <c r="G17">
        <v>520.05165032741172</v>
      </c>
      <c r="H17">
        <v>12.429031386016103</v>
      </c>
      <c r="I17">
        <v>13.611943214713165</v>
      </c>
      <c r="J17">
        <v>0.66052553425827876</v>
      </c>
      <c r="K17">
        <v>505.44442109075999</v>
      </c>
      <c r="L17">
        <v>81.740188484188977</v>
      </c>
      <c r="M17">
        <v>0.7286528697922382</v>
      </c>
      <c r="N17">
        <v>1.2669773515833129</v>
      </c>
      <c r="P17">
        <v>52.533999999999999</v>
      </c>
      <c r="Q17">
        <f t="shared" si="36"/>
        <v>1.8287500000000001</v>
      </c>
      <c r="R17">
        <f t="shared" si="37"/>
        <v>3.0479166666666668E-2</v>
      </c>
      <c r="S17">
        <f t="shared" si="10"/>
        <v>0.52005165032741174</v>
      </c>
      <c r="T17">
        <f t="shared" si="2"/>
        <v>1.2429031386016103E-2</v>
      </c>
      <c r="U17">
        <f t="shared" si="3"/>
        <v>0.50544442109076004</v>
      </c>
      <c r="V17">
        <f t="shared" si="4"/>
        <v>8.1740188484188972E-2</v>
      </c>
      <c r="Z17">
        <f t="shared" si="38"/>
        <v>1.240351</v>
      </c>
      <c r="AA17">
        <f t="shared" si="39"/>
        <v>3.2017963472353216E-2</v>
      </c>
      <c r="AB17">
        <f t="shared" si="11"/>
        <v>0.53199931409824208</v>
      </c>
      <c r="AC17">
        <f t="shared" si="12"/>
        <v>2.3314898480695212</v>
      </c>
      <c r="AD17">
        <f t="shared" si="13"/>
        <v>-0.18433576397786572</v>
      </c>
      <c r="AE17">
        <f t="shared" si="14"/>
        <v>-12.031970399905354</v>
      </c>
      <c r="AF17">
        <f t="shared" si="15"/>
        <v>9.290170600428943E-2</v>
      </c>
      <c r="AK17">
        <f t="shared" si="17"/>
        <v>18.414999999999999</v>
      </c>
      <c r="AL17">
        <v>6.6080758671997253E-2</v>
      </c>
      <c r="AM17">
        <f t="shared" si="18"/>
        <v>2.3522774333394048</v>
      </c>
      <c r="AN17">
        <f t="shared" si="19"/>
        <v>0.53804576595338516</v>
      </c>
      <c r="AO17">
        <f t="shared" si="20"/>
        <v>0.46906499534353552</v>
      </c>
      <c r="AP17">
        <f t="shared" si="21"/>
        <v>1.3055831279737047</v>
      </c>
      <c r="AQ17">
        <f>AK17/4*U17*U17*(AO17)</f>
        <v>0.55168550165802577</v>
      </c>
      <c r="AR17">
        <f>AQ17*SQRT(AL17^2/AK17^2+AP17^2/AO17^2+V17^2/U17^2+V17^2/U17*2)</f>
        <v>1.5407512992611956</v>
      </c>
      <c r="AS17">
        <f t="shared" si="47"/>
        <v>23.453249767176775</v>
      </c>
      <c r="AT17">
        <f t="shared" si="25"/>
        <v>65.719721582549226</v>
      </c>
      <c r="AV17">
        <f t="shared" si="26"/>
        <v>1.6</v>
      </c>
      <c r="AW17" s="10">
        <f t="shared" si="27"/>
        <v>12</v>
      </c>
      <c r="AX17">
        <v>0.2</v>
      </c>
      <c r="AY17" s="12">
        <f t="shared" si="34"/>
        <v>1.8287500000000001</v>
      </c>
      <c r="AZ17" s="12">
        <f t="shared" si="28"/>
        <v>3.0479166666666668E-2</v>
      </c>
      <c r="BA17" s="12">
        <f t="shared" si="29"/>
        <v>0.53199931409824208</v>
      </c>
      <c r="BB17" s="12">
        <f t="shared" si="30"/>
        <v>9.290170600428943E-2</v>
      </c>
      <c r="BC17" s="12">
        <f t="shared" si="31"/>
        <v>0.52005165032741174</v>
      </c>
      <c r="BD17" s="12">
        <f t="shared" si="32"/>
        <v>1.2429031386016103E-2</v>
      </c>
      <c r="BE17" s="10">
        <f t="shared" si="33"/>
        <v>13.611943214713165</v>
      </c>
      <c r="BF17" s="10">
        <f t="shared" si="35"/>
        <v>0.66052553425827876</v>
      </c>
      <c r="BG17" s="12">
        <f t="shared" si="42"/>
        <v>0.50544442109076004</v>
      </c>
      <c r="BH17" s="12">
        <f t="shared" si="42"/>
        <v>8.1740188484188972E-2</v>
      </c>
      <c r="BI17" s="12">
        <f t="shared" si="43"/>
        <v>0.7286528697922382</v>
      </c>
      <c r="BJ17" s="12">
        <f t="shared" si="43"/>
        <v>1.2669773515833129</v>
      </c>
      <c r="BK17" s="10">
        <f t="shared" si="44"/>
        <v>0.55168550165802577</v>
      </c>
      <c r="BL17" s="10">
        <f t="shared" si="44"/>
        <v>1.5407512992611956</v>
      </c>
      <c r="BM17" s="10">
        <f t="shared" si="44"/>
        <v>23.453249767176775</v>
      </c>
      <c r="BN17" s="10">
        <f t="shared" si="44"/>
        <v>65.719721582549226</v>
      </c>
    </row>
    <row r="18" spans="1:66" x14ac:dyDescent="0.25">
      <c r="A18">
        <v>1.7</v>
      </c>
      <c r="B18">
        <v>2</v>
      </c>
      <c r="C18">
        <v>6.56</v>
      </c>
      <c r="D18">
        <v>0.2</v>
      </c>
      <c r="E18">
        <v>11.726000000000001</v>
      </c>
      <c r="F18">
        <v>21.123999999999999</v>
      </c>
      <c r="G18">
        <v>2744.7812298979311</v>
      </c>
      <c r="H18">
        <v>192.20290464043049</v>
      </c>
      <c r="I18">
        <v>-1.1917553672215035</v>
      </c>
      <c r="J18">
        <v>0.521778045570091</v>
      </c>
      <c r="K18">
        <v>2744.1874970867948</v>
      </c>
      <c r="L18">
        <v>194.4562709856385</v>
      </c>
      <c r="P18">
        <v>161.029</v>
      </c>
      <c r="Q18">
        <f t="shared" si="36"/>
        <v>3.3452743902439028</v>
      </c>
      <c r="R18">
        <f t="shared" si="37"/>
        <v>0.10199007287328973</v>
      </c>
      <c r="S18">
        <f t="shared" si="10"/>
        <v>2.7447812298979311</v>
      </c>
      <c r="T18">
        <f t="shared" si="2"/>
        <v>0.19220290464043049</v>
      </c>
      <c r="U18">
        <f t="shared" si="3"/>
        <v>2.744187497086795</v>
      </c>
      <c r="V18">
        <f t="shared" si="4"/>
        <v>0.1944562709856385</v>
      </c>
      <c r="Z18">
        <f t="shared" si="38"/>
        <v>3.0236162702439029</v>
      </c>
      <c r="AA18">
        <f t="shared" si="39"/>
        <v>0.10246045748932342</v>
      </c>
      <c r="AB18">
        <f t="shared" si="11"/>
        <v>2.80834613548324</v>
      </c>
      <c r="AC18">
        <f t="shared" si="12"/>
        <v>1.0766537044849069</v>
      </c>
      <c r="AD18">
        <f t="shared" si="13"/>
        <v>-3.4919662772667955E-2</v>
      </c>
      <c r="AE18">
        <f t="shared" si="14"/>
        <v>-2.2792774434475334</v>
      </c>
      <c r="AF18">
        <f t="shared" si="15"/>
        <v>0.11081073129198461</v>
      </c>
      <c r="AG18">
        <f t="shared" si="48"/>
        <v>4.0404972220692368E-3</v>
      </c>
      <c r="AK18">
        <f t="shared" si="17"/>
        <v>18.414999999999999</v>
      </c>
      <c r="AL18">
        <v>6.6080758671997253E-2</v>
      </c>
      <c r="AM18">
        <f t="shared" si="18"/>
        <v>69.33767741398465</v>
      </c>
      <c r="AN18">
        <f t="shared" si="19"/>
        <v>6.952975683895783</v>
      </c>
      <c r="AV18">
        <f t="shared" si="26"/>
        <v>1.7</v>
      </c>
      <c r="AW18" s="10">
        <f t="shared" si="27"/>
        <v>6.56</v>
      </c>
      <c r="AX18">
        <v>0.2</v>
      </c>
      <c r="AY18" s="12">
        <f t="shared" si="34"/>
        <v>3.3452743902439028</v>
      </c>
      <c r="AZ18" s="12">
        <f t="shared" si="28"/>
        <v>0.10199007287328973</v>
      </c>
      <c r="BA18" s="12">
        <f t="shared" si="29"/>
        <v>2.80834613548324</v>
      </c>
      <c r="BB18" s="12">
        <f t="shared" si="30"/>
        <v>0.11081073129198461</v>
      </c>
      <c r="BC18" s="12">
        <f t="shared" si="31"/>
        <v>2.7447812298979311</v>
      </c>
      <c r="BD18" s="12">
        <f t="shared" si="32"/>
        <v>0.19220290464043049</v>
      </c>
      <c r="BE18" s="10">
        <f t="shared" si="33"/>
        <v>-1.1917553672215035</v>
      </c>
      <c r="BF18" s="10">
        <f t="shared" si="35"/>
        <v>0.521778045570091</v>
      </c>
      <c r="BG18" s="12">
        <f t="shared" si="42"/>
        <v>2.744187497086795</v>
      </c>
      <c r="BH18" s="12">
        <f t="shared" si="42"/>
        <v>0.1944562709856385</v>
      </c>
      <c r="BI18" s="12"/>
      <c r="BJ18" s="12"/>
      <c r="BK18" s="10"/>
      <c r="BL18" s="10"/>
      <c r="BM18" s="10"/>
      <c r="BN18" s="10"/>
    </row>
    <row r="19" spans="1:66" x14ac:dyDescent="0.25">
      <c r="A19">
        <v>1.8</v>
      </c>
      <c r="B19">
        <v>2</v>
      </c>
      <c r="C19">
        <v>6.72</v>
      </c>
      <c r="D19">
        <v>0.2</v>
      </c>
      <c r="E19">
        <v>11.515000000000001</v>
      </c>
      <c r="F19">
        <v>19.939</v>
      </c>
      <c r="G19">
        <v>2734.1158258406731</v>
      </c>
      <c r="H19">
        <v>218.79132429670705</v>
      </c>
      <c r="I19">
        <v>3.4904457361603249</v>
      </c>
      <c r="J19">
        <v>0.4657309964625152</v>
      </c>
      <c r="K19">
        <v>2729.0439441785379</v>
      </c>
      <c r="L19">
        <v>231.73763335410189</v>
      </c>
      <c r="P19">
        <v>164.678</v>
      </c>
      <c r="Q19">
        <f t="shared" si="36"/>
        <v>3.265625</v>
      </c>
      <c r="R19">
        <f t="shared" si="37"/>
        <v>9.7191220238095247E-2</v>
      </c>
      <c r="S19">
        <f t="shared" si="10"/>
        <v>2.7341158258406733</v>
      </c>
      <c r="T19">
        <f t="shared" si="2"/>
        <v>0.21879132429670706</v>
      </c>
      <c r="U19">
        <f t="shared" si="3"/>
        <v>2.7290439441785379</v>
      </c>
      <c r="V19">
        <f t="shared" si="4"/>
        <v>0.23173763335410189</v>
      </c>
      <c r="Z19">
        <f t="shared" si="38"/>
        <v>2.9361215600000001</v>
      </c>
      <c r="AA19">
        <f t="shared" si="39"/>
        <v>9.7684715670326008E-2</v>
      </c>
      <c r="AB19">
        <f t="shared" si="11"/>
        <v>2.713920131856653</v>
      </c>
      <c r="AC19">
        <f t="shared" si="12"/>
        <v>1.0818747116155307</v>
      </c>
      <c r="AD19">
        <f t="shared" si="13"/>
        <v>-3.6134630068465033E-2</v>
      </c>
      <c r="AE19">
        <f t="shared" si="14"/>
        <v>-2.3585808310508138</v>
      </c>
      <c r="AF19">
        <f t="shared" si="15"/>
        <v>0.10623714493554408</v>
      </c>
      <c r="AG19">
        <f t="shared" si="48"/>
        <v>4.0786605549619022E-4</v>
      </c>
      <c r="AK19">
        <f t="shared" si="17"/>
        <v>18.414999999999999</v>
      </c>
      <c r="AL19">
        <v>6.6080758671997253E-2</v>
      </c>
      <c r="AM19">
        <f t="shared" si="18"/>
        <v>68.574521419538897</v>
      </c>
      <c r="AN19">
        <f t="shared" si="19"/>
        <v>8.2386798479321186</v>
      </c>
      <c r="AV19">
        <f t="shared" si="26"/>
        <v>1.8</v>
      </c>
      <c r="AW19" s="10">
        <f t="shared" si="27"/>
        <v>6.72</v>
      </c>
      <c r="AX19">
        <v>0.2</v>
      </c>
      <c r="AY19" s="12">
        <f t="shared" si="34"/>
        <v>3.265625</v>
      </c>
      <c r="AZ19" s="12">
        <f t="shared" si="28"/>
        <v>9.7191220238095247E-2</v>
      </c>
      <c r="BA19" s="12">
        <f t="shared" si="29"/>
        <v>2.713920131856653</v>
      </c>
      <c r="BB19" s="12">
        <f t="shared" si="30"/>
        <v>0.10623714493554408</v>
      </c>
      <c r="BC19" s="12">
        <f t="shared" si="31"/>
        <v>2.7341158258406733</v>
      </c>
      <c r="BD19" s="12">
        <f t="shared" si="32"/>
        <v>0.21879132429670706</v>
      </c>
      <c r="BE19" s="10">
        <f t="shared" si="33"/>
        <v>3.4904457361603249</v>
      </c>
      <c r="BF19" s="10">
        <f t="shared" si="35"/>
        <v>0.4657309964625152</v>
      </c>
      <c r="BG19" s="12">
        <f t="shared" si="42"/>
        <v>2.7290439441785379</v>
      </c>
      <c r="BH19" s="12">
        <f t="shared" si="42"/>
        <v>0.23173763335410189</v>
      </c>
      <c r="BI19" s="12"/>
      <c r="BJ19" s="12"/>
      <c r="BK19" s="10"/>
      <c r="BL19" s="10"/>
      <c r="BM19" s="10"/>
      <c r="BN19" s="10"/>
    </row>
    <row r="20" spans="1:66" x14ac:dyDescent="0.25">
      <c r="AW20" s="10"/>
      <c r="AY20" s="12"/>
      <c r="AZ20" s="12"/>
      <c r="BA20" s="12"/>
      <c r="BB20" s="12"/>
      <c r="BC20" s="12"/>
      <c r="BD20" s="12"/>
      <c r="BE20" s="10"/>
      <c r="BF20" s="10"/>
      <c r="BG20" s="12"/>
      <c r="BH20" s="12"/>
      <c r="BI20" s="12"/>
      <c r="BJ20" s="12"/>
      <c r="BK20" s="10"/>
      <c r="BL20" s="10"/>
      <c r="BM20" s="10"/>
      <c r="BN20" s="10"/>
    </row>
    <row r="21" spans="1:66" x14ac:dyDescent="0.25">
      <c r="A21">
        <v>2.13</v>
      </c>
      <c r="B21">
        <v>2</v>
      </c>
      <c r="C21">
        <v>6.72</v>
      </c>
      <c r="D21">
        <v>0.2</v>
      </c>
      <c r="G21" s="1">
        <v>2742.1002121379888</v>
      </c>
      <c r="H21" s="1">
        <v>161.82333093230577</v>
      </c>
      <c r="I21" s="1">
        <v>-1.4395646930443178</v>
      </c>
      <c r="J21" s="1">
        <v>0.34634374979996929</v>
      </c>
      <c r="K21">
        <v>2741.2347509662968</v>
      </c>
      <c r="L21">
        <v>163.52222537461009</v>
      </c>
      <c r="M21">
        <v>0.95057644237901906</v>
      </c>
      <c r="N21">
        <v>0.10175964997976535</v>
      </c>
      <c r="Q21">
        <f>21.945/C21</f>
        <v>3.265625</v>
      </c>
      <c r="R21">
        <f>Q21*D21/C21</f>
        <v>9.7191220238095247E-2</v>
      </c>
      <c r="S21">
        <f t="shared" ref="S21" si="49">G21/1000</f>
        <v>2.7421002121379887</v>
      </c>
      <c r="T21">
        <f t="shared" ref="T21" si="50">H21/1000</f>
        <v>0.16182333093230578</v>
      </c>
      <c r="U21">
        <f t="shared" ref="U21" si="51">K21/1000</f>
        <v>2.7412347509662967</v>
      </c>
      <c r="V21">
        <f t="shared" ref="V21" si="52">L21/1000</f>
        <v>0.16352222537461009</v>
      </c>
      <c r="Z21">
        <f>Q21-$Y$3*C21/2</f>
        <v>2.9361215600000001</v>
      </c>
      <c r="AA21">
        <f>SQRT(R21^2+(C21/2)^2*$Y$4^2+$Y$3^2*(D21/2)^2)</f>
        <v>9.7684715670326008E-2</v>
      </c>
      <c r="AB21">
        <f t="shared" ref="AB21" si="53">SQRT(Z21^2-2*$Y$3*$X$3)</f>
        <v>2.713920131856653</v>
      </c>
      <c r="AC21">
        <f t="shared" ref="AC21" si="54">1/2*(Z21^2-2*$Y$3*$X$3)^(-1/2)*2*Z21</f>
        <v>1.0818747116155307</v>
      </c>
      <c r="AD21">
        <f t="shared" ref="AD21" si="55">1/2*(Z21^2-2*$Y$3*$X$3)^(-1/2)*(-2)*$Y$3</f>
        <v>-3.6134630068465033E-2</v>
      </c>
      <c r="AE21">
        <f t="shared" ref="AE21" si="56">1/2*(Z21^2-2*$Y$3*$X$3)^(-1/2)*(-2)*$X$3</f>
        <v>-2.3585808310508138</v>
      </c>
      <c r="AF21">
        <f t="shared" ref="AF21" si="57">SQRT(AC21^2*AA21^2+AD21^2*$X$4^2+AE21^2*$Y$4^2)</f>
        <v>0.10623714493554408</v>
      </c>
      <c r="AG21">
        <f t="shared" ref="AG21" si="58">(S21-AB21)^2</f>
        <v>7.9411692466252362E-4</v>
      </c>
      <c r="AK21">
        <f t="shared" si="17"/>
        <v>18.414999999999999</v>
      </c>
      <c r="AL21">
        <v>6.6080758671997253E-2</v>
      </c>
      <c r="AM21">
        <f>1/2*AK21*U21^2</f>
        <v>69.188542990827628</v>
      </c>
      <c r="AN21">
        <f>AM21*SQRT(AL21^2/AK21^2+V21^2/U21^2+V21^2/U21^2)</f>
        <v>5.842144261128551</v>
      </c>
      <c r="AO21">
        <f t="shared" ref="AO21" si="59">1-M21^2</f>
        <v>9.6404427194047404E-2</v>
      </c>
      <c r="AP21">
        <f t="shared" ref="AP21" si="60">M21*M21*SQRT(N21^2/M21^2+N21^2/M21^2)</f>
        <v>0.13679733900045904</v>
      </c>
      <c r="AQ21">
        <f>AK21/4*U21*U21*(AO21)</f>
        <v>3.3350409277107302</v>
      </c>
      <c r="AR21" s="19">
        <f>AQ21*SQRT(AL21^2/AK21^2+AP21^2/AO21^2+V21^2/U21^2+V21^2/U21*2)</f>
        <v>4.7594497998068821</v>
      </c>
      <c r="AS21">
        <f>AQ21/AM21*100</f>
        <v>4.8202213597023702</v>
      </c>
      <c r="AT21">
        <f t="shared" ref="AT21" si="61">AS21*SQRT(AR21^2/AQ21^2+AN21^2/AM21^2)</f>
        <v>6.8909868779429386</v>
      </c>
      <c r="AV21">
        <f t="shared" si="26"/>
        <v>2.13</v>
      </c>
      <c r="AW21" s="10">
        <f t="shared" si="27"/>
        <v>6.72</v>
      </c>
      <c r="AX21">
        <v>0.2</v>
      </c>
      <c r="AY21" s="12">
        <f t="shared" si="34"/>
        <v>3.265625</v>
      </c>
      <c r="AZ21" s="12">
        <f t="shared" si="28"/>
        <v>9.7191220238095247E-2</v>
      </c>
      <c r="BA21" s="12">
        <f t="shared" si="29"/>
        <v>2.713920131856653</v>
      </c>
      <c r="BB21" s="12">
        <f t="shared" si="30"/>
        <v>0.10623714493554408</v>
      </c>
      <c r="BC21" s="12">
        <f t="shared" si="31"/>
        <v>2.7421002121379887</v>
      </c>
      <c r="BD21" s="12">
        <f t="shared" si="32"/>
        <v>0.16182333093230578</v>
      </c>
      <c r="BE21" s="10">
        <f t="shared" si="33"/>
        <v>-1.4395646930443178</v>
      </c>
      <c r="BF21" s="10">
        <f t="shared" si="35"/>
        <v>0.34634374979996929</v>
      </c>
      <c r="BG21" s="12">
        <f>U21</f>
        <v>2.7412347509662967</v>
      </c>
      <c r="BH21" s="12">
        <f>V21</f>
        <v>0.16352222537461009</v>
      </c>
      <c r="BI21" s="13">
        <f>M21</f>
        <v>0.95057644237901906</v>
      </c>
      <c r="BJ21" s="12">
        <f>N21</f>
        <v>0.10175964997976535</v>
      </c>
      <c r="BK21" s="10">
        <f>AQ21</f>
        <v>3.3350409277107302</v>
      </c>
      <c r="BL21" s="10">
        <f>AR21</f>
        <v>4.7594497998068821</v>
      </c>
      <c r="BM21" s="10">
        <f>AS21</f>
        <v>4.8202213597023702</v>
      </c>
      <c r="BN21" s="10">
        <f>AT21</f>
        <v>6.8909868779429386</v>
      </c>
    </row>
    <row r="24" spans="1:66" x14ac:dyDescent="0.25">
      <c r="W24">
        <f>21.945/2</f>
        <v>10.9725</v>
      </c>
    </row>
    <row r="53" spans="15:15" x14ac:dyDescent="0.25">
      <c r="O53" t="s">
        <v>138</v>
      </c>
    </row>
  </sheetData>
  <autoFilter ref="A2:N20" xr:uid="{5CD7A041-CB7E-48F2-A7DD-0FBF10A7F9CC}">
    <sortState xmlns:xlrd2="http://schemas.microsoft.com/office/spreadsheetml/2017/richdata2" ref="A3:N20">
      <sortCondition ref="B2:B20"/>
    </sortState>
  </autoFilter>
  <pageMargins left="0.7" right="0.7" top="0.75" bottom="0.75" header="0.3" footer="0.3"/>
  <pageSetup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1A87-ABA8-4D8D-B387-F04788B3D585}">
  <dimension ref="A1:AA80"/>
  <sheetViews>
    <sheetView topLeftCell="A22" workbookViewId="0">
      <selection activeCell="I69" sqref="I69"/>
    </sheetView>
  </sheetViews>
  <sheetFormatPr defaultRowHeight="15" x14ac:dyDescent="0.25"/>
  <cols>
    <col min="2" max="2" width="12" hidden="1" customWidth="1"/>
    <col min="3" max="3" width="10" hidden="1" customWidth="1"/>
    <col min="4" max="4" width="10" bestFit="1" customWidth="1"/>
    <col min="15" max="15" width="0" hidden="1" customWidth="1"/>
    <col min="24" max="24" width="12" bestFit="1" customWidth="1"/>
  </cols>
  <sheetData>
    <row r="1" spans="1:26" hidden="1" x14ac:dyDescent="0.25">
      <c r="A1" t="s">
        <v>249</v>
      </c>
    </row>
    <row r="2" spans="1:26" hidden="1" x14ac:dyDescent="0.25">
      <c r="A2" t="s">
        <v>190</v>
      </c>
      <c r="C2" t="s">
        <v>7</v>
      </c>
      <c r="D2" t="s">
        <v>44</v>
      </c>
    </row>
    <row r="3" spans="1:26" hidden="1" x14ac:dyDescent="0.25">
      <c r="A3">
        <v>1</v>
      </c>
      <c r="B3">
        <v>14.69</v>
      </c>
      <c r="C3">
        <v>7.1669999999999998</v>
      </c>
      <c r="D3">
        <f>1/8</f>
        <v>0.125</v>
      </c>
      <c r="E3">
        <v>16.818999999999999</v>
      </c>
      <c r="F3">
        <v>6.3159999999999998</v>
      </c>
      <c r="G3">
        <v>7.43</v>
      </c>
      <c r="H3">
        <v>16.841999999999999</v>
      </c>
      <c r="I3">
        <v>0.55700000000000005</v>
      </c>
      <c r="J3">
        <v>-178.315</v>
      </c>
      <c r="L3">
        <v>16.818999999999999</v>
      </c>
      <c r="M3">
        <f>K3/40000</f>
        <v>0</v>
      </c>
      <c r="N3">
        <f>1/40000</f>
        <v>2.5000000000000001E-5</v>
      </c>
    </row>
    <row r="4" spans="1:26" hidden="1" x14ac:dyDescent="0.25">
      <c r="A4">
        <v>2</v>
      </c>
      <c r="B4">
        <v>14.69</v>
      </c>
      <c r="C4">
        <v>5.9290000000000003</v>
      </c>
      <c r="D4">
        <f t="shared" ref="D4:D21" si="0">1/8</f>
        <v>0.125</v>
      </c>
      <c r="E4">
        <v>16.818999999999999</v>
      </c>
      <c r="F4">
        <v>6.3159999999999998</v>
      </c>
      <c r="G4">
        <v>6.1920000000000002</v>
      </c>
      <c r="H4">
        <v>16.841999999999999</v>
      </c>
      <c r="I4">
        <v>0.55700000000000005</v>
      </c>
      <c r="J4">
        <v>-178.315</v>
      </c>
      <c r="K4">
        <v>360</v>
      </c>
      <c r="L4">
        <v>16.818999999999999</v>
      </c>
      <c r="M4">
        <f>K4/40000</f>
        <v>8.9999999999999993E-3</v>
      </c>
      <c r="N4">
        <f t="shared" ref="N4:N21" si="1">1/40000</f>
        <v>2.5000000000000001E-5</v>
      </c>
    </row>
    <row r="5" spans="1:26" hidden="1" x14ac:dyDescent="0.25">
      <c r="A5">
        <v>3</v>
      </c>
      <c r="B5">
        <v>14.69</v>
      </c>
      <c r="C5">
        <v>5.2480000000000002</v>
      </c>
      <c r="D5">
        <f t="shared" si="0"/>
        <v>0.125</v>
      </c>
      <c r="E5">
        <v>16.818999999999999</v>
      </c>
      <c r="F5">
        <v>6.3159999999999998</v>
      </c>
      <c r="G5">
        <v>5.5110000000000001</v>
      </c>
      <c r="H5">
        <v>16.841999999999999</v>
      </c>
      <c r="I5">
        <v>0.55700000000000005</v>
      </c>
      <c r="J5">
        <v>-178.315</v>
      </c>
      <c r="K5">
        <v>370</v>
      </c>
      <c r="L5">
        <v>16.818999999999999</v>
      </c>
      <c r="M5">
        <f t="shared" ref="M5:M17" si="2">K5/40000</f>
        <v>9.2499999999999995E-3</v>
      </c>
      <c r="N5">
        <f t="shared" si="1"/>
        <v>2.5000000000000001E-5</v>
      </c>
      <c r="O5">
        <f>C4-C5</f>
        <v>0.68100000000000005</v>
      </c>
      <c r="T5">
        <f>(C4-C5)/(M4-M5)/1000</f>
        <v>-2.7239999999999975</v>
      </c>
      <c r="U5">
        <f>($C$4-C5)/($M$4-M5)/1000</f>
        <v>-2.7239999999999975</v>
      </c>
    </row>
    <row r="6" spans="1:26" hidden="1" x14ac:dyDescent="0.25">
      <c r="A6">
        <v>4</v>
      </c>
      <c r="B6">
        <v>14.69</v>
      </c>
      <c r="C6">
        <v>4.5670000000000002</v>
      </c>
      <c r="D6">
        <f t="shared" si="0"/>
        <v>0.125</v>
      </c>
      <c r="E6">
        <v>16.818999999999999</v>
      </c>
      <c r="F6">
        <v>6.3159999999999998</v>
      </c>
      <c r="G6">
        <v>4.83</v>
      </c>
      <c r="H6">
        <v>16.841999999999999</v>
      </c>
      <c r="I6">
        <v>0.55700000000000005</v>
      </c>
      <c r="J6">
        <v>-178.315</v>
      </c>
      <c r="K6">
        <v>380</v>
      </c>
      <c r="L6">
        <v>16.818999999999999</v>
      </c>
      <c r="M6">
        <f t="shared" si="2"/>
        <v>9.4999999999999998E-3</v>
      </c>
      <c r="N6">
        <f t="shared" si="1"/>
        <v>2.5000000000000001E-5</v>
      </c>
      <c r="O6">
        <f t="shared" ref="O6:O8" si="3">C5-C6</f>
        <v>0.68100000000000005</v>
      </c>
      <c r="T6">
        <f>(C5-C6)/(M5-M6)/1000</f>
        <v>-2.7239999999999975</v>
      </c>
      <c r="U6">
        <f>($C$4-C6)/($M$4-M6)/1000</f>
        <v>-2.7239999999999975</v>
      </c>
    </row>
    <row r="7" spans="1:26" hidden="1" x14ac:dyDescent="0.25">
      <c r="A7">
        <v>5</v>
      </c>
      <c r="B7">
        <v>14.69</v>
      </c>
      <c r="C7">
        <v>3.9470000000000001</v>
      </c>
      <c r="D7">
        <f t="shared" si="0"/>
        <v>0.125</v>
      </c>
      <c r="E7">
        <v>16.818999999999999</v>
      </c>
      <c r="F7">
        <v>6.3159999999999998</v>
      </c>
      <c r="G7">
        <v>4.21</v>
      </c>
      <c r="H7">
        <v>16.841999999999999</v>
      </c>
      <c r="I7">
        <v>0.55700000000000005</v>
      </c>
      <c r="J7">
        <v>-178.315</v>
      </c>
      <c r="K7">
        <v>390</v>
      </c>
      <c r="L7">
        <v>16.818999999999999</v>
      </c>
      <c r="M7">
        <f t="shared" si="2"/>
        <v>9.75E-3</v>
      </c>
      <c r="N7">
        <f t="shared" si="1"/>
        <v>2.5000000000000001E-5</v>
      </c>
      <c r="O7">
        <f t="shared" si="3"/>
        <v>0.62000000000000011</v>
      </c>
      <c r="T7">
        <f>(C6-C7)/(M6-M7)/1000</f>
        <v>-2.4799999999999982</v>
      </c>
      <c r="U7">
        <f>($C$4-C7)/($M$4-M7)/1000</f>
        <v>-2.6426666666666647</v>
      </c>
    </row>
    <row r="8" spans="1:26" hidden="1" x14ac:dyDescent="0.25">
      <c r="A8">
        <v>6</v>
      </c>
      <c r="B8">
        <v>14.69</v>
      </c>
      <c r="C8">
        <v>3.2040000000000002</v>
      </c>
      <c r="D8">
        <f t="shared" si="0"/>
        <v>0.125</v>
      </c>
      <c r="E8">
        <v>16.818999999999999</v>
      </c>
      <c r="F8">
        <v>6.3159999999999998</v>
      </c>
      <c r="G8">
        <v>3.4670000000000001</v>
      </c>
      <c r="H8">
        <v>16.841999999999999</v>
      </c>
      <c r="I8">
        <v>0.55700000000000005</v>
      </c>
      <c r="J8">
        <v>-178.315</v>
      </c>
      <c r="K8">
        <v>400</v>
      </c>
      <c r="L8">
        <v>16.818999999999999</v>
      </c>
      <c r="M8">
        <f t="shared" si="2"/>
        <v>0.01</v>
      </c>
      <c r="N8">
        <f t="shared" si="1"/>
        <v>2.5000000000000001E-5</v>
      </c>
      <c r="O8">
        <f t="shared" si="3"/>
        <v>0.74299999999999988</v>
      </c>
      <c r="P8" t="s">
        <v>7</v>
      </c>
      <c r="R8" t="s">
        <v>191</v>
      </c>
      <c r="T8">
        <f>(C7-C8)/(M7-M8)/1000</f>
        <v>-2.9719999999999969</v>
      </c>
      <c r="U8">
        <f>($C$4-C8)/($M$4-M8)/1000</f>
        <v>-2.7249999999999979</v>
      </c>
    </row>
    <row r="9" spans="1:26" hidden="1" x14ac:dyDescent="0.25">
      <c r="A9">
        <v>7</v>
      </c>
      <c r="B9">
        <v>14.69</v>
      </c>
      <c r="C9">
        <v>0.48</v>
      </c>
      <c r="D9">
        <f t="shared" si="0"/>
        <v>0.125</v>
      </c>
      <c r="E9">
        <v>16.818999999999999</v>
      </c>
      <c r="F9">
        <v>6.3159999999999998</v>
      </c>
      <c r="G9">
        <v>0.74299999999999999</v>
      </c>
      <c r="H9">
        <v>16.841999999999999</v>
      </c>
      <c r="I9">
        <v>0.55700000000000005</v>
      </c>
      <c r="J9">
        <v>-178.315</v>
      </c>
      <c r="K9">
        <v>440</v>
      </c>
      <c r="L9">
        <v>16.818999999999999</v>
      </c>
      <c r="M9">
        <f t="shared" si="2"/>
        <v>1.0999999999999999E-2</v>
      </c>
      <c r="N9">
        <f t="shared" si="1"/>
        <v>2.5000000000000001E-5</v>
      </c>
      <c r="O9">
        <f>(C8-C9)/4</f>
        <v>0.68100000000000005</v>
      </c>
      <c r="P9">
        <f>(C4-C9)/1000</f>
        <v>5.4489999999999999E-3</v>
      </c>
      <c r="Q9">
        <f>D9/1000</f>
        <v>1.25E-4</v>
      </c>
      <c r="R9">
        <f>(M9-M4)</f>
        <v>2E-3</v>
      </c>
      <c r="S9">
        <f>N9</f>
        <v>2.5000000000000001E-5</v>
      </c>
      <c r="T9">
        <f>(C8-C9)/(M8-M9)/1000</f>
        <v>-2.7240000000000029</v>
      </c>
      <c r="U9" s="4">
        <f>P9/R9</f>
        <v>2.7244999999999999</v>
      </c>
      <c r="V9" s="4">
        <f>ABS(U9)*SQRT((Q9/P9)^2+(S9/R9)^2)</f>
        <v>7.1176387686243958E-2</v>
      </c>
    </row>
    <row r="10" spans="1:26" hidden="1" x14ac:dyDescent="0.25">
      <c r="A10" t="s">
        <v>192</v>
      </c>
      <c r="D10">
        <f t="shared" si="0"/>
        <v>0.125</v>
      </c>
      <c r="N10">
        <f t="shared" si="1"/>
        <v>2.5000000000000001E-5</v>
      </c>
      <c r="O10">
        <f>_xlfn.STDEV.S(O5:O9)</f>
        <v>4.3487929359765948E-2</v>
      </c>
      <c r="T10">
        <f>_xlfn.STDEV.S(T5:T9)</f>
        <v>0.17395171743906362</v>
      </c>
    </row>
    <row r="11" spans="1:26" hidden="1" x14ac:dyDescent="0.25">
      <c r="A11">
        <v>8</v>
      </c>
      <c r="B11">
        <v>14.728999999999999</v>
      </c>
      <c r="C11">
        <v>15.074999999999999</v>
      </c>
      <c r="D11">
        <f t="shared" si="0"/>
        <v>0.125</v>
      </c>
      <c r="E11">
        <v>16.837</v>
      </c>
      <c r="F11">
        <v>6.3159999999999998</v>
      </c>
      <c r="G11">
        <v>15.356</v>
      </c>
      <c r="H11">
        <v>16.841999999999999</v>
      </c>
      <c r="I11">
        <v>0.61899999999999999</v>
      </c>
      <c r="J11">
        <v>-177.887</v>
      </c>
      <c r="K11">
        <v>225</v>
      </c>
      <c r="L11">
        <v>16.837</v>
      </c>
      <c r="M11">
        <f t="shared" si="2"/>
        <v>5.6249999999999998E-3</v>
      </c>
      <c r="N11">
        <f t="shared" si="1"/>
        <v>2.5000000000000001E-5</v>
      </c>
    </row>
    <row r="12" spans="1:26" hidden="1" x14ac:dyDescent="0.25">
      <c r="A12">
        <v>9</v>
      </c>
      <c r="B12">
        <v>14.728999999999999</v>
      </c>
      <c r="C12">
        <v>11.545</v>
      </c>
      <c r="D12">
        <f t="shared" si="0"/>
        <v>0.125</v>
      </c>
      <c r="E12">
        <v>16.837</v>
      </c>
      <c r="F12">
        <v>6.3159999999999998</v>
      </c>
      <c r="G12">
        <v>11.827</v>
      </c>
      <c r="H12">
        <v>16.841999999999999</v>
      </c>
      <c r="I12">
        <v>0.61899999999999999</v>
      </c>
      <c r="J12">
        <v>-177.887</v>
      </c>
      <c r="K12">
        <v>275</v>
      </c>
      <c r="L12">
        <v>16.837</v>
      </c>
      <c r="M12">
        <f t="shared" si="2"/>
        <v>6.875E-3</v>
      </c>
      <c r="N12">
        <f t="shared" si="1"/>
        <v>2.5000000000000001E-5</v>
      </c>
      <c r="O12">
        <f>(C11-C12)/5</f>
        <v>0.70599999999999985</v>
      </c>
      <c r="T12">
        <f t="shared" ref="T12:T17" si="4">(C11-C12)/(M11-M12)/1000</f>
        <v>-2.823999999999999</v>
      </c>
      <c r="U12">
        <f>($C$11-C12)/($M$11-M12)/1000</f>
        <v>-2.823999999999999</v>
      </c>
    </row>
    <row r="13" spans="1:26" hidden="1" x14ac:dyDescent="0.25">
      <c r="A13">
        <v>10</v>
      </c>
      <c r="B13">
        <v>14.728999999999999</v>
      </c>
      <c r="C13">
        <v>10.864000000000001</v>
      </c>
      <c r="D13">
        <f t="shared" si="0"/>
        <v>0.125</v>
      </c>
      <c r="E13">
        <v>16.837</v>
      </c>
      <c r="F13">
        <v>6.3159999999999998</v>
      </c>
      <c r="G13">
        <v>11.145</v>
      </c>
      <c r="H13">
        <v>16.841999999999999</v>
      </c>
      <c r="I13">
        <v>0.61899999999999999</v>
      </c>
      <c r="J13">
        <v>-177.887</v>
      </c>
      <c r="K13">
        <v>285</v>
      </c>
      <c r="L13">
        <v>16.837</v>
      </c>
      <c r="M13">
        <f t="shared" si="2"/>
        <v>7.1250000000000003E-3</v>
      </c>
      <c r="N13">
        <f t="shared" si="1"/>
        <v>2.5000000000000001E-5</v>
      </c>
      <c r="O13">
        <f t="shared" ref="O13:O17" si="5">C12-C13</f>
        <v>0.68099999999999916</v>
      </c>
      <c r="T13">
        <f t="shared" si="4"/>
        <v>-2.723999999999994</v>
      </c>
      <c r="U13">
        <f>($C$11-C13)/($M$11-M13)/1000</f>
        <v>-2.8073333333333315</v>
      </c>
    </row>
    <row r="14" spans="1:26" hidden="1" x14ac:dyDescent="0.25">
      <c r="A14">
        <v>11</v>
      </c>
      <c r="B14">
        <v>14.728999999999999</v>
      </c>
      <c r="C14">
        <v>10.183</v>
      </c>
      <c r="D14">
        <f t="shared" si="0"/>
        <v>0.125</v>
      </c>
      <c r="E14">
        <v>16.837</v>
      </c>
      <c r="F14">
        <v>6.3159999999999998</v>
      </c>
      <c r="G14">
        <v>10.464</v>
      </c>
      <c r="H14">
        <v>16.841999999999999</v>
      </c>
      <c r="I14">
        <v>0.61899999999999999</v>
      </c>
      <c r="J14">
        <v>-177.887</v>
      </c>
      <c r="K14">
        <v>295</v>
      </c>
      <c r="L14">
        <v>16.837</v>
      </c>
      <c r="M14">
        <f t="shared" si="2"/>
        <v>7.3749999999999996E-3</v>
      </c>
      <c r="N14">
        <f t="shared" si="1"/>
        <v>2.5000000000000001E-5</v>
      </c>
      <c r="O14">
        <f t="shared" si="5"/>
        <v>0.68100000000000094</v>
      </c>
      <c r="T14">
        <f t="shared" si="4"/>
        <v>-2.7240000000000109</v>
      </c>
      <c r="U14">
        <f>($C$11-C14)/($M$11-M14)/1000</f>
        <v>-2.7954285714285714</v>
      </c>
    </row>
    <row r="15" spans="1:26" hidden="1" x14ac:dyDescent="0.25">
      <c r="A15">
        <v>12</v>
      </c>
      <c r="B15">
        <v>14.728999999999999</v>
      </c>
      <c r="C15">
        <v>9.44</v>
      </c>
      <c r="D15">
        <f t="shared" si="0"/>
        <v>0.125</v>
      </c>
      <c r="E15">
        <v>16.837</v>
      </c>
      <c r="F15">
        <v>6.3159999999999998</v>
      </c>
      <c r="G15">
        <v>9.7210000000000001</v>
      </c>
      <c r="H15">
        <v>16.841999999999999</v>
      </c>
      <c r="I15">
        <v>0.61899999999999999</v>
      </c>
      <c r="J15">
        <v>-177.887</v>
      </c>
      <c r="K15">
        <v>305</v>
      </c>
      <c r="L15">
        <v>16.837</v>
      </c>
      <c r="M15">
        <f t="shared" si="2"/>
        <v>7.6249999999999998E-3</v>
      </c>
      <c r="N15">
        <f t="shared" si="1"/>
        <v>2.5000000000000001E-5</v>
      </c>
      <c r="O15">
        <f t="shared" si="5"/>
        <v>0.74300000000000033</v>
      </c>
      <c r="T15">
        <f t="shared" si="4"/>
        <v>-2.9719999999999986</v>
      </c>
      <c r="U15">
        <f>($C$11-C15)/($M$11-M15)/1000</f>
        <v>-2.8174999999999999</v>
      </c>
    </row>
    <row r="16" spans="1:26" hidden="1" x14ac:dyDescent="0.25">
      <c r="A16">
        <v>13</v>
      </c>
      <c r="B16">
        <v>14.728999999999999</v>
      </c>
      <c r="C16">
        <v>8.7590000000000003</v>
      </c>
      <c r="D16">
        <f t="shared" si="0"/>
        <v>0.125</v>
      </c>
      <c r="E16">
        <v>16.837</v>
      </c>
      <c r="F16">
        <v>6.3159999999999998</v>
      </c>
      <c r="G16">
        <v>9.0399999999999991</v>
      </c>
      <c r="H16">
        <v>16.841999999999999</v>
      </c>
      <c r="I16">
        <v>0.61899999999999999</v>
      </c>
      <c r="J16">
        <v>-177.887</v>
      </c>
      <c r="K16">
        <v>315</v>
      </c>
      <c r="L16">
        <v>16.837</v>
      </c>
      <c r="M16">
        <f t="shared" si="2"/>
        <v>7.8750000000000001E-3</v>
      </c>
      <c r="N16">
        <f t="shared" si="1"/>
        <v>2.5000000000000001E-5</v>
      </c>
      <c r="O16">
        <f t="shared" si="5"/>
        <v>0.68099999999999916</v>
      </c>
      <c r="P16" t="s">
        <v>7</v>
      </c>
      <c r="R16" t="s">
        <v>191</v>
      </c>
      <c r="T16">
        <f t="shared" si="4"/>
        <v>-2.723999999999994</v>
      </c>
      <c r="U16">
        <f>($C$11-C16)/($M$11-M16)/1000</f>
        <v>-2.8071111111111104</v>
      </c>
      <c r="X16" t="s">
        <v>193</v>
      </c>
      <c r="Z16" t="s">
        <v>98</v>
      </c>
    </row>
    <row r="17" spans="1:27" hidden="1" x14ac:dyDescent="0.25">
      <c r="A17">
        <v>14</v>
      </c>
      <c r="B17">
        <v>14.728999999999999</v>
      </c>
      <c r="C17">
        <v>8.016</v>
      </c>
      <c r="D17">
        <f t="shared" si="0"/>
        <v>0.125</v>
      </c>
      <c r="E17">
        <v>16.837</v>
      </c>
      <c r="F17">
        <v>6.3159999999999998</v>
      </c>
      <c r="G17">
        <v>8.2970000000000006</v>
      </c>
      <c r="H17">
        <v>16.841999999999999</v>
      </c>
      <c r="I17">
        <v>0.61899999999999999</v>
      </c>
      <c r="J17">
        <v>-177.887</v>
      </c>
      <c r="K17">
        <v>325</v>
      </c>
      <c r="L17">
        <v>16.837</v>
      </c>
      <c r="M17">
        <f t="shared" si="2"/>
        <v>8.1250000000000003E-3</v>
      </c>
      <c r="N17">
        <f t="shared" si="1"/>
        <v>2.5000000000000001E-5</v>
      </c>
      <c r="O17">
        <f t="shared" si="5"/>
        <v>0.74300000000000033</v>
      </c>
      <c r="P17">
        <f>(C11-C17)/1000</f>
        <v>7.0589999999999993E-3</v>
      </c>
      <c r="Q17">
        <f>D17/1000</f>
        <v>1.25E-4</v>
      </c>
      <c r="R17">
        <f>(M17-M11)</f>
        <v>2.5000000000000005E-3</v>
      </c>
      <c r="S17">
        <f>N17</f>
        <v>2.5000000000000001E-5</v>
      </c>
      <c r="T17">
        <f t="shared" si="4"/>
        <v>-2.9719999999999986</v>
      </c>
      <c r="U17" s="4">
        <f>P17/R17</f>
        <v>2.823599999999999</v>
      </c>
      <c r="V17" s="4">
        <f>ABS(U17)*SQRT((Q17/P17)^2+(S17/R17)^2)</f>
        <v>5.7421874716870734E-2</v>
      </c>
      <c r="W17" t="s">
        <v>194</v>
      </c>
      <c r="X17">
        <f>U9-U21</f>
        <v>2.6631966292134832</v>
      </c>
      <c r="Y17">
        <f>SQRT(V17^2+V21^2)</f>
        <v>5.851100204190518E-2</v>
      </c>
      <c r="Z17">
        <f>X17/U17</f>
        <v>0.9431918930491161</v>
      </c>
      <c r="AA17">
        <f>ABS(Z17)*SQRT((Y17/X17)^2+(V17/U17)^2)</f>
        <v>2.8236899035395439E-2</v>
      </c>
    </row>
    <row r="18" spans="1:27" hidden="1" x14ac:dyDescent="0.25">
      <c r="D18">
        <f t="shared" si="0"/>
        <v>0.125</v>
      </c>
      <c r="N18">
        <f t="shared" si="1"/>
        <v>2.5000000000000001E-5</v>
      </c>
      <c r="O18">
        <f>_xlfn.STDEV.S(O12:O17)</f>
        <v>3.0373782554477532E-2</v>
      </c>
      <c r="T18">
        <f>_xlfn.STDEV.S(T12:T17)</f>
        <v>0.12149513021790855</v>
      </c>
    </row>
    <row r="19" spans="1:27" hidden="1" x14ac:dyDescent="0.25">
      <c r="A19" t="s">
        <v>195</v>
      </c>
      <c r="D19">
        <f t="shared" si="0"/>
        <v>0.125</v>
      </c>
      <c r="N19">
        <f t="shared" si="1"/>
        <v>2.5000000000000001E-5</v>
      </c>
    </row>
    <row r="20" spans="1:27" hidden="1" x14ac:dyDescent="0.25">
      <c r="A20">
        <v>15</v>
      </c>
      <c r="B20">
        <v>14.728999999999999</v>
      </c>
      <c r="C20">
        <v>6.7779999999999996</v>
      </c>
      <c r="D20">
        <f t="shared" si="0"/>
        <v>0.125</v>
      </c>
      <c r="E20">
        <v>16.837</v>
      </c>
      <c r="F20">
        <v>6.3159999999999998</v>
      </c>
      <c r="G20">
        <v>7.0590000000000002</v>
      </c>
      <c r="H20">
        <v>16.841999999999999</v>
      </c>
      <c r="I20">
        <v>0.61899999999999999</v>
      </c>
      <c r="J20">
        <v>-177.887</v>
      </c>
      <c r="K20">
        <v>355</v>
      </c>
      <c r="L20">
        <v>16.837</v>
      </c>
      <c r="M20">
        <f t="shared" ref="M20:M21" si="6">K20/40000</f>
        <v>8.8749999999999992E-3</v>
      </c>
      <c r="N20">
        <f t="shared" si="1"/>
        <v>2.5000000000000001E-5</v>
      </c>
    </row>
    <row r="21" spans="1:27" hidden="1" x14ac:dyDescent="0.25">
      <c r="A21">
        <v>16</v>
      </c>
      <c r="B21">
        <v>14.728999999999999</v>
      </c>
      <c r="C21">
        <v>6.0960000000000001</v>
      </c>
      <c r="D21">
        <f t="shared" si="0"/>
        <v>0.125</v>
      </c>
      <c r="E21">
        <v>16.837</v>
      </c>
      <c r="F21">
        <v>6.3159999999999998</v>
      </c>
      <c r="G21">
        <v>6.3780000000000001</v>
      </c>
      <c r="H21">
        <v>16.841999999999999</v>
      </c>
      <c r="I21">
        <v>0.61899999999999999</v>
      </c>
      <c r="J21">
        <v>-177.887</v>
      </c>
      <c r="K21">
        <v>800</v>
      </c>
      <c r="L21">
        <v>16.837</v>
      </c>
      <c r="M21">
        <f t="shared" si="6"/>
        <v>0.02</v>
      </c>
      <c r="N21">
        <f t="shared" si="1"/>
        <v>2.5000000000000001E-5</v>
      </c>
      <c r="P21">
        <f>(C20-C21)/1000</f>
        <v>6.8199999999999945E-4</v>
      </c>
      <c r="Q21">
        <f>D21/1000</f>
        <v>1.25E-4</v>
      </c>
      <c r="R21">
        <f>(M21-M20)</f>
        <v>1.1125000000000001E-2</v>
      </c>
      <c r="S21">
        <f>N21</f>
        <v>2.5000000000000001E-5</v>
      </c>
      <c r="T21">
        <f>(C20-C21)/(M20-M21)/1000</f>
        <v>-6.1303370786516799E-2</v>
      </c>
      <c r="U21">
        <f>P21/R21</f>
        <v>6.1303370786516799E-2</v>
      </c>
      <c r="V21">
        <f>ABS(U21)*SQRT((Q21/P21)^2+(S21/R21)^2)</f>
        <v>1.1236799542033032E-2</v>
      </c>
      <c r="W21" s="1" t="s">
        <v>196</v>
      </c>
    </row>
    <row r="23" spans="1:27" hidden="1" x14ac:dyDescent="0.25"/>
    <row r="24" spans="1:27" hidden="1" x14ac:dyDescent="0.25"/>
    <row r="25" spans="1:27" hidden="1" x14ac:dyDescent="0.25">
      <c r="A25" t="s">
        <v>149</v>
      </c>
      <c r="B25" t="s">
        <v>150</v>
      </c>
      <c r="D25" t="s">
        <v>151</v>
      </c>
      <c r="E25" t="s">
        <v>152</v>
      </c>
    </row>
    <row r="26" spans="1:27" hidden="1" x14ac:dyDescent="0.25">
      <c r="A26">
        <v>1</v>
      </c>
      <c r="B26">
        <v>8</v>
      </c>
      <c r="D26">
        <v>18.34</v>
      </c>
      <c r="E26">
        <v>87.3</v>
      </c>
    </row>
    <row r="27" spans="1:27" hidden="1" x14ac:dyDescent="0.25">
      <c r="A27">
        <v>1</v>
      </c>
      <c r="B27">
        <v>7</v>
      </c>
      <c r="D27">
        <v>18.48</v>
      </c>
      <c r="E27">
        <v>87.8</v>
      </c>
    </row>
    <row r="28" spans="1:27" hidden="1" x14ac:dyDescent="0.25">
      <c r="A28">
        <v>2</v>
      </c>
      <c r="B28">
        <v>8</v>
      </c>
      <c r="D28">
        <v>18.46</v>
      </c>
      <c r="E28">
        <v>86.8</v>
      </c>
    </row>
    <row r="29" spans="1:27" hidden="1" x14ac:dyDescent="0.25">
      <c r="A29">
        <v>2</v>
      </c>
      <c r="B29">
        <v>7</v>
      </c>
      <c r="D29">
        <v>18.38</v>
      </c>
      <c r="E29">
        <v>88.3</v>
      </c>
    </row>
    <row r="30" spans="1:27" hidden="1" x14ac:dyDescent="0.25"/>
    <row r="31" spans="1:27" hidden="1" x14ac:dyDescent="0.25">
      <c r="B31" t="s">
        <v>153</v>
      </c>
      <c r="D31">
        <f>AVERAGE(D26:D29)</f>
        <v>18.414999999999999</v>
      </c>
      <c r="E31">
        <f>AVERAGE(E26:E29)</f>
        <v>87.55</v>
      </c>
    </row>
    <row r="32" spans="1:27" hidden="1" x14ac:dyDescent="0.25">
      <c r="B32" t="s">
        <v>154</v>
      </c>
      <c r="D32">
        <f>_xlfn.STDEV.S(D26:D29)</f>
        <v>6.6080758671997253E-2</v>
      </c>
      <c r="E32">
        <f>_xlfn.STDEV.S(E26:E29)</f>
        <v>0.6454972243679028</v>
      </c>
    </row>
    <row r="34" spans="1:4" x14ac:dyDescent="0.25">
      <c r="B34" t="s">
        <v>211</v>
      </c>
      <c r="C34" t="s">
        <v>212</v>
      </c>
      <c r="D34" s="4" t="s">
        <v>213</v>
      </c>
    </row>
    <row r="35" spans="1:4" x14ac:dyDescent="0.25">
      <c r="A35" t="s">
        <v>30</v>
      </c>
      <c r="B35">
        <f>$D$31</f>
        <v>18.414999999999999</v>
      </c>
      <c r="C35">
        <f>$D$31</f>
        <v>18.414999999999999</v>
      </c>
      <c r="D35" s="4">
        <f>C35</f>
        <v>18.414999999999999</v>
      </c>
    </row>
    <row r="36" spans="1:4" x14ac:dyDescent="0.25">
      <c r="A36" s="1" t="s">
        <v>121</v>
      </c>
      <c r="B36">
        <f>$D$32</f>
        <v>6.6080758671997253E-2</v>
      </c>
      <c r="C36">
        <f>$D$32</f>
        <v>6.6080758671997253E-2</v>
      </c>
      <c r="D36" s="4">
        <f t="shared" ref="D36:D44" si="7">C36</f>
        <v>6.6080758671997253E-2</v>
      </c>
    </row>
    <row r="37" spans="1:4" x14ac:dyDescent="0.25">
      <c r="A37" t="s">
        <v>197</v>
      </c>
      <c r="B37">
        <f>U17</f>
        <v>2.823599999999999</v>
      </c>
      <c r="C37">
        <f>'2.13'!AH3/1000</f>
        <v>2.7412347509662967</v>
      </c>
      <c r="D37" s="4">
        <f>'1.3'!AH3/1000</f>
        <v>2.9337313083328511</v>
      </c>
    </row>
    <row r="38" spans="1:4" x14ac:dyDescent="0.25">
      <c r="A38" s="1" t="s">
        <v>198</v>
      </c>
      <c r="B38">
        <v>0.2</v>
      </c>
      <c r="C38">
        <f>'2.13'!AI3/1000</f>
        <v>0.16352222537461009</v>
      </c>
      <c r="D38" s="4">
        <f>'1.3'!AI3/1000</f>
        <v>0.15006103929581049</v>
      </c>
    </row>
    <row r="39" spans="1:4" x14ac:dyDescent="0.25">
      <c r="A39" s="1" t="s">
        <v>199</v>
      </c>
      <c r="B39">
        <f>U21</f>
        <v>6.1303370786516799E-2</v>
      </c>
      <c r="C39">
        <f>'2.13'!AH5/1000</f>
        <v>5.5312080914320452E-2</v>
      </c>
      <c r="D39" s="4">
        <f>'1.3'!AH5/1000</f>
        <v>7.6287591982332717E-2</v>
      </c>
    </row>
    <row r="40" spans="1:4" x14ac:dyDescent="0.25">
      <c r="A40" s="1" t="s">
        <v>200</v>
      </c>
      <c r="B40">
        <v>0.2</v>
      </c>
      <c r="C40">
        <f>'2.13'!AI5/1000</f>
        <v>0.21550988876569879</v>
      </c>
      <c r="D40" s="4">
        <f>'1.3'!AI5/1000</f>
        <v>3.1037137809742869E-2</v>
      </c>
    </row>
    <row r="41" spans="1:4" x14ac:dyDescent="0.25">
      <c r="A41" s="1" t="s">
        <v>191</v>
      </c>
      <c r="B41">
        <f>[2]Exp13_annotated!G22</f>
        <v>5.7500000000000086E-4</v>
      </c>
      <c r="C41">
        <f t="shared" ref="C41:C44" si="8">B41</f>
        <v>5.7500000000000086E-4</v>
      </c>
      <c r="D41" s="4">
        <f t="shared" si="7"/>
        <v>5.7500000000000086E-4</v>
      </c>
    </row>
    <row r="42" spans="1:4" x14ac:dyDescent="0.25">
      <c r="A42" s="1" t="s">
        <v>45</v>
      </c>
      <c r="B42">
        <f>1/40000</f>
        <v>2.5000000000000001E-5</v>
      </c>
      <c r="C42">
        <f t="shared" si="8"/>
        <v>2.5000000000000001E-5</v>
      </c>
      <c r="D42" s="4">
        <f t="shared" si="7"/>
        <v>2.5000000000000001E-5</v>
      </c>
    </row>
    <row r="43" spans="1:4" x14ac:dyDescent="0.25">
      <c r="A43" s="1" t="s">
        <v>201</v>
      </c>
      <c r="B43">
        <f>167.568*10^-6</f>
        <v>1.6756799999999999E-4</v>
      </c>
      <c r="C43">
        <f t="shared" si="8"/>
        <v>1.6756799999999999E-4</v>
      </c>
      <c r="D43" s="4">
        <f t="shared" si="7"/>
        <v>1.6756799999999999E-4</v>
      </c>
    </row>
    <row r="44" spans="1:4" x14ac:dyDescent="0.25">
      <c r="A44" s="1" t="s">
        <v>202</v>
      </c>
      <c r="B44">
        <f>0.2*10^-4</f>
        <v>2.0000000000000002E-5</v>
      </c>
      <c r="C44">
        <f t="shared" si="8"/>
        <v>2.0000000000000002E-5</v>
      </c>
      <c r="D44" s="4">
        <f t="shared" si="7"/>
        <v>2.0000000000000002E-5</v>
      </c>
    </row>
    <row r="45" spans="1:4" x14ac:dyDescent="0.25">
      <c r="D45" s="4"/>
    </row>
    <row r="46" spans="1:4" x14ac:dyDescent="0.25">
      <c r="D46" s="4"/>
    </row>
    <row r="47" spans="1:4" x14ac:dyDescent="0.25">
      <c r="A47" s="1" t="s">
        <v>203</v>
      </c>
      <c r="B47">
        <f>B35*B37</f>
        <v>51.99659399999998</v>
      </c>
      <c r="C47">
        <f>C35*C37</f>
        <v>50.479837939044351</v>
      </c>
      <c r="D47" s="4">
        <f>D35*D37</f>
        <v>54.024662042949451</v>
      </c>
    </row>
    <row r="48" spans="1:4" x14ac:dyDescent="0.25">
      <c r="A48" s="1" t="s">
        <v>204</v>
      </c>
      <c r="B48">
        <f>B47*SQRT((B36/B35)^2+(B38/B37)^2)</f>
        <v>3.6877233081390477</v>
      </c>
      <c r="C48">
        <f>C47*SQRT((C36/C35)^2+(C38/C37)^2)</f>
        <v>3.0167051976332031</v>
      </c>
      <c r="D48" s="4">
        <f>D47*SQRT((D36/D35)^2+(D38/D37)^2)</f>
        <v>2.770165882046546</v>
      </c>
    </row>
    <row r="49" spans="1:4" x14ac:dyDescent="0.25">
      <c r="A49" s="1" t="s">
        <v>205</v>
      </c>
      <c r="B49">
        <f>B35*B39</f>
        <v>1.1289015730337069</v>
      </c>
      <c r="C49">
        <f>C35*C39</f>
        <v>1.0185719700372111</v>
      </c>
      <c r="D49" s="4">
        <f>D35*D39</f>
        <v>1.404836006354657</v>
      </c>
    </row>
    <row r="50" spans="1:4" x14ac:dyDescent="0.25">
      <c r="A50" s="1" t="s">
        <v>206</v>
      </c>
      <c r="B50">
        <f>B49*SQRT((B36/B35)^2+(B40/B39)^2)</f>
        <v>3.6830022278549168</v>
      </c>
      <c r="C50">
        <f>C49*SQRT((C36/C35)^2+(C40/C39)^2)</f>
        <v>3.9686162847633706</v>
      </c>
      <c r="D50" s="4">
        <f>D49*SQRT((D36/D35)^2+(D40/D39)^2)</f>
        <v>0.57157112412606181</v>
      </c>
    </row>
    <row r="51" spans="1:4" x14ac:dyDescent="0.25">
      <c r="A51" s="1" t="s">
        <v>207</v>
      </c>
      <c r="B51">
        <f>B47-B49</f>
        <v>50.867692426966272</v>
      </c>
      <c r="C51">
        <f>C47-C49</f>
        <v>49.461265969007144</v>
      </c>
      <c r="D51" s="4">
        <f>D47-D49</f>
        <v>52.619826036594795</v>
      </c>
    </row>
    <row r="52" spans="1:4" x14ac:dyDescent="0.25">
      <c r="A52" s="1" t="s">
        <v>208</v>
      </c>
      <c r="B52">
        <f>SQRT(B48^2+B50^2)</f>
        <v>5.2118910778887431</v>
      </c>
      <c r="C52">
        <f>SQRT(C48^2+C50^2)</f>
        <v>4.9850201067915663</v>
      </c>
      <c r="D52" s="4">
        <f>SQRT(D48^2+D50^2)</f>
        <v>2.8285177326630722</v>
      </c>
    </row>
    <row r="53" spans="1:4" x14ac:dyDescent="0.25">
      <c r="A53" s="1" t="s">
        <v>176</v>
      </c>
      <c r="B53">
        <f>B51/B41</f>
        <v>88465.552046897734</v>
      </c>
      <c r="C53">
        <f>C51/C41</f>
        <v>86019.592989577519</v>
      </c>
      <c r="D53" s="4">
        <f>D51/D41</f>
        <v>91512.740933208202</v>
      </c>
    </row>
    <row r="54" spans="1:4" x14ac:dyDescent="0.25">
      <c r="A54" t="s">
        <v>209</v>
      </c>
      <c r="B54">
        <f>B53*SQRT((B52/B51)^2+(B42/B41)^2)</f>
        <v>9846.4820727356091</v>
      </c>
      <c r="C54">
        <f>C53*SQRT((C52/C51)^2+(C42/C41)^2)</f>
        <v>9441.8978502078007</v>
      </c>
      <c r="D54" s="4">
        <f>D53*SQRT((D52/D51)^2+(D42/D41)^2)</f>
        <v>6326.8566475570124</v>
      </c>
    </row>
    <row r="55" spans="1:4" x14ac:dyDescent="0.25">
      <c r="D55" s="4"/>
    </row>
    <row r="56" spans="1:4" x14ac:dyDescent="0.25">
      <c r="A56" s="1" t="s">
        <v>125</v>
      </c>
      <c r="B56">
        <f>B53/B43</f>
        <v>527938222.37478358</v>
      </c>
      <c r="C56">
        <f>C53/C43</f>
        <v>513341407.60513657</v>
      </c>
      <c r="D56" s="4">
        <f>D53/D43</f>
        <v>546123012.34846878</v>
      </c>
    </row>
    <row r="57" spans="1:4" x14ac:dyDescent="0.25">
      <c r="A57" t="s">
        <v>210</v>
      </c>
      <c r="B57">
        <f>B56*SQRT((B54/B53)^2+(B44/B43)^2)</f>
        <v>86158909.162796825</v>
      </c>
      <c r="C57">
        <f>C56*SQRT((C54/C53)^2+(C44/C43)^2)</f>
        <v>83240094.061949015</v>
      </c>
      <c r="D57" s="4">
        <f>D56*SQRT((D54/D53)^2+(D44/D43)^2)</f>
        <v>75328041.076987177</v>
      </c>
    </row>
    <row r="58" spans="1:4" x14ac:dyDescent="0.25">
      <c r="D58" s="4"/>
    </row>
    <row r="59" spans="1:4" x14ac:dyDescent="0.25">
      <c r="A59" s="1" t="s">
        <v>214</v>
      </c>
      <c r="B59">
        <f>B56/10^6</f>
        <v>527.93822237478355</v>
      </c>
      <c r="C59">
        <f t="shared" ref="C59:D59" si="9">C56/10^6</f>
        <v>513.34140760513662</v>
      </c>
      <c r="D59" s="4">
        <f t="shared" si="9"/>
        <v>546.12301234846882</v>
      </c>
    </row>
    <row r="60" spans="1:4" x14ac:dyDescent="0.25">
      <c r="B60">
        <f>B57/10^6</f>
        <v>86.158909162796832</v>
      </c>
      <c r="C60">
        <f t="shared" ref="C60:D60" si="10">C57/10^6</f>
        <v>83.240094061949009</v>
      </c>
      <c r="D60" s="4">
        <f t="shared" si="10"/>
        <v>75.328041076987176</v>
      </c>
    </row>
    <row r="61" spans="1:4" x14ac:dyDescent="0.25">
      <c r="D61" s="4"/>
    </row>
    <row r="62" spans="1:4" x14ac:dyDescent="0.25">
      <c r="A62" t="s">
        <v>219</v>
      </c>
      <c r="D62" s="4"/>
    </row>
    <row r="63" spans="1:4" x14ac:dyDescent="0.25">
      <c r="A63" t="s">
        <v>215</v>
      </c>
      <c r="B63">
        <v>39073.137284478602</v>
      </c>
      <c r="C63">
        <v>39073.137284478602</v>
      </c>
      <c r="D63" s="4">
        <v>39073.137284478602</v>
      </c>
    </row>
    <row r="64" spans="1:4" x14ac:dyDescent="0.25">
      <c r="A64" t="s">
        <v>216</v>
      </c>
      <c r="B64">
        <v>51.759793680439863</v>
      </c>
      <c r="C64">
        <v>51.759793680439863</v>
      </c>
      <c r="D64" s="4">
        <v>51.759793680439863</v>
      </c>
    </row>
    <row r="65" spans="1:5" x14ac:dyDescent="0.25">
      <c r="D65" s="4"/>
    </row>
    <row r="66" spans="1:5" x14ac:dyDescent="0.25">
      <c r="A66" s="1" t="s">
        <v>217</v>
      </c>
      <c r="B66">
        <f t="shared" ref="B66:C66" si="11">B59/B63</f>
        <v>1.3511539105013242E-2</v>
      </c>
      <c r="C66">
        <f t="shared" si="11"/>
        <v>1.313796237726363E-2</v>
      </c>
      <c r="D66" s="4">
        <f>D59/D63</f>
        <v>1.3976942992120843E-2</v>
      </c>
    </row>
    <row r="67" spans="1:5" x14ac:dyDescent="0.25">
      <c r="A67" t="s">
        <v>218</v>
      </c>
      <c r="B67">
        <f t="shared" ref="B67:C67" si="12">B66*SQRT(B60^2/B59^2+B64^2/B63^2)</f>
        <v>2.2051402432691617E-3</v>
      </c>
      <c r="C67">
        <f t="shared" si="12"/>
        <v>2.1304373658576842E-3</v>
      </c>
      <c r="D67" s="4">
        <f>D66*SQRT(D60^2/D59^2+D64^2/D63^2)</f>
        <v>1.9279617705700537E-3</v>
      </c>
    </row>
    <row r="68" spans="1:5" x14ac:dyDescent="0.25">
      <c r="D68" s="4"/>
    </row>
    <row r="69" spans="1:5" x14ac:dyDescent="0.25">
      <c r="A69" s="1" t="s">
        <v>222</v>
      </c>
      <c r="B69">
        <f>B66*100</f>
        <v>1.3511539105013242</v>
      </c>
      <c r="C69">
        <f t="shared" ref="C69:D69" si="13">C66*100</f>
        <v>1.313796237726363</v>
      </c>
      <c r="D69" s="4">
        <f t="shared" si="13"/>
        <v>1.3976942992120842</v>
      </c>
    </row>
    <row r="70" spans="1:5" x14ac:dyDescent="0.25">
      <c r="A70" t="s">
        <v>223</v>
      </c>
      <c r="B70">
        <f>B67*100</f>
        <v>0.22051402432691616</v>
      </c>
      <c r="C70">
        <f t="shared" ref="C70:D70" si="14">C67*100</f>
        <v>0.21304373658576842</v>
      </c>
      <c r="D70" s="4">
        <f t="shared" si="14"/>
        <v>0.19279617705700536</v>
      </c>
    </row>
    <row r="71" spans="1:5" x14ac:dyDescent="0.25">
      <c r="D71" s="4"/>
    </row>
    <row r="72" spans="1:5" x14ac:dyDescent="0.25">
      <c r="A72" s="1" t="s">
        <v>221</v>
      </c>
      <c r="B72">
        <f>B66/B41</f>
        <v>23.498328878283864</v>
      </c>
      <c r="C72">
        <f t="shared" ref="C72:D72" si="15">C66/C41</f>
        <v>22.848630221328019</v>
      </c>
      <c r="D72" s="4">
        <f t="shared" si="15"/>
        <v>24.307726942818821</v>
      </c>
    </row>
    <row r="73" spans="1:5" x14ac:dyDescent="0.25">
      <c r="A73" t="s">
        <v>220</v>
      </c>
      <c r="B73">
        <f t="shared" ref="B73:C73" si="16">B72*SQRT(B67^2/B66^2+B42^2/B41^2)</f>
        <v>3.9687820190389611</v>
      </c>
      <c r="C73">
        <f t="shared" si="16"/>
        <v>3.8359756831673191</v>
      </c>
      <c r="D73" s="4">
        <f>D72*SQRT(D67^2/D66^2+D42^2/D41^2)</f>
        <v>3.5155942448565964</v>
      </c>
    </row>
    <row r="75" spans="1:5" x14ac:dyDescent="0.25">
      <c r="A75" s="1" t="s">
        <v>161</v>
      </c>
      <c r="D75" s="7">
        <f>contact!O11</f>
        <v>6.1914000000000001E-4</v>
      </c>
      <c r="E75" s="7">
        <f>D75*1000</f>
        <v>0.61914000000000002</v>
      </c>
    </row>
    <row r="76" spans="1:5" x14ac:dyDescent="0.25">
      <c r="A76" s="1" t="s">
        <v>228</v>
      </c>
      <c r="D76" s="7">
        <f>D75/2</f>
        <v>3.0957000000000001E-4</v>
      </c>
    </row>
    <row r="77" spans="1:5" x14ac:dyDescent="0.25">
      <c r="A77" s="1" t="s">
        <v>229</v>
      </c>
      <c r="D77" s="7">
        <f>D76/D66</f>
        <v>2.2148620064810484E-2</v>
      </c>
    </row>
    <row r="78" spans="1:5" x14ac:dyDescent="0.25">
      <c r="A78" s="1" t="s">
        <v>230</v>
      </c>
      <c r="D78" s="7">
        <f>D77*1000</f>
        <v>22.148620064810483</v>
      </c>
    </row>
    <row r="80" spans="1:5" x14ac:dyDescent="0.25">
      <c r="D80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5F6-AC8F-4396-9D31-7F5903EF9294}">
  <dimension ref="A1:AE13"/>
  <sheetViews>
    <sheetView zoomScaleNormal="100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U3" sqref="U3"/>
    </sheetView>
  </sheetViews>
  <sheetFormatPr defaultRowHeight="15" x14ac:dyDescent="0.25"/>
  <cols>
    <col min="1" max="1" width="8.85546875"/>
    <col min="2" max="2" width="8.85546875" style="12"/>
    <col min="3" max="3" width="8.85546875" style="8"/>
    <col min="4" max="4" width="8.85546875"/>
    <col min="8" max="8" width="11.7109375" customWidth="1"/>
    <col min="12" max="12" width="13.7109375" customWidth="1"/>
    <col min="13" max="13" width="12.42578125" customWidth="1"/>
    <col min="14" max="14" width="13.7109375" customWidth="1"/>
    <col min="15" max="15" width="9.28515625" customWidth="1"/>
    <col min="16" max="18" width="12.140625" customWidth="1"/>
    <col min="19" max="19" width="8.140625" customWidth="1"/>
    <col min="20" max="20" width="8" customWidth="1"/>
    <col min="21" max="21" width="5.85546875" customWidth="1"/>
    <col min="22" max="22" width="9.28515625" customWidth="1"/>
    <col min="23" max="23" width="8.140625" customWidth="1"/>
    <col min="26" max="26" width="13.28515625" customWidth="1"/>
  </cols>
  <sheetData>
    <row r="1" spans="1:31" x14ac:dyDescent="0.25">
      <c r="A1" t="s">
        <v>140</v>
      </c>
      <c r="B1" s="12" t="s">
        <v>135</v>
      </c>
      <c r="E1" t="s">
        <v>11</v>
      </c>
      <c r="F1" t="s">
        <v>12</v>
      </c>
      <c r="H1" t="s">
        <v>132</v>
      </c>
      <c r="I1" t="s">
        <v>133</v>
      </c>
      <c r="K1" t="s">
        <v>134</v>
      </c>
      <c r="L1" t="s">
        <v>157</v>
      </c>
      <c r="M1" t="s">
        <v>158</v>
      </c>
      <c r="N1" t="s">
        <v>162</v>
      </c>
      <c r="O1" s="1" t="s">
        <v>161</v>
      </c>
      <c r="P1" t="s">
        <v>159</v>
      </c>
      <c r="Q1" s="1" t="s">
        <v>247</v>
      </c>
      <c r="R1" s="9" t="s">
        <v>248</v>
      </c>
      <c r="S1" t="s">
        <v>177</v>
      </c>
      <c r="T1" t="s">
        <v>178</v>
      </c>
      <c r="U1" t="s">
        <v>98</v>
      </c>
      <c r="V1" s="1" t="s">
        <v>164</v>
      </c>
      <c r="W1" t="s">
        <v>179</v>
      </c>
      <c r="X1" t="s">
        <v>163</v>
      </c>
      <c r="Y1" t="s">
        <v>160</v>
      </c>
      <c r="AA1" t="s">
        <v>165</v>
      </c>
    </row>
    <row r="2" spans="1:31" x14ac:dyDescent="0.25">
      <c r="A2">
        <v>0.4</v>
      </c>
      <c r="B2" s="12">
        <v>0</v>
      </c>
      <c r="D2">
        <v>0</v>
      </c>
      <c r="E2" s="13">
        <v>2.3279999999999998</v>
      </c>
      <c r="F2" s="13">
        <v>7.8319999999999999</v>
      </c>
      <c r="G2" s="13">
        <v>0.5</v>
      </c>
      <c r="H2" s="10">
        <v>5.9820000000000002</v>
      </c>
      <c r="I2" s="10">
        <f t="shared" ref="I2:I11" si="0">E2*F2*PI()/4</f>
        <v>14.320083031816681</v>
      </c>
      <c r="J2" s="11">
        <f t="shared" ref="J2:J11" si="1">I2*SQRT(0.5^2/E2^2+0.5^2/F2^2)</f>
        <v>3.2086136386410149</v>
      </c>
      <c r="K2" s="10">
        <f t="shared" ref="K2:K11" si="2">E2*F2</f>
        <v>18.232896</v>
      </c>
      <c r="L2" s="14">
        <f t="shared" ref="L2:L11" si="3">F2/1000/2</f>
        <v>3.9160000000000002E-3</v>
      </c>
      <c r="M2" s="14">
        <f t="shared" ref="M2:M11" si="4">E2/1000/2</f>
        <v>1.1639999999999999E-3</v>
      </c>
      <c r="N2" s="12">
        <v>0.8821</v>
      </c>
      <c r="O2" s="7">
        <v>2.7107999999999999E-5</v>
      </c>
      <c r="P2" s="7">
        <v>119620000</v>
      </c>
      <c r="Q2" s="7">
        <f t="shared" ref="Q2:Q11" si="5">V2/2</f>
        <v>1.3554E-2</v>
      </c>
      <c r="R2" s="7">
        <f t="shared" ref="R2:R11" si="6">-S2</f>
        <v>-3.9160000000000004</v>
      </c>
      <c r="S2" s="16">
        <f t="shared" ref="S2:S11" si="7">L2*1000</f>
        <v>3.9160000000000004</v>
      </c>
      <c r="T2" s="16">
        <f t="shared" ref="T2:T11" si="8">M2*1000</f>
        <v>1.1639999999999999</v>
      </c>
      <c r="U2" s="12">
        <v>0.95479999999999998</v>
      </c>
      <c r="V2" s="12">
        <f t="shared" ref="V2:V11" si="9">O2*1000</f>
        <v>2.7108E-2</v>
      </c>
      <c r="W2" s="11">
        <f t="shared" ref="W2:W11" si="10">PI()*P2*L2*M2/1000</f>
        <v>1.7129683322659113</v>
      </c>
      <c r="X2" s="11">
        <f t="shared" ref="X2:X11" si="11">MROUND(3/2*P2/10^6,10)</f>
        <v>180</v>
      </c>
      <c r="Y2" s="11">
        <f t="shared" ref="Y2:Y11" si="12">MROUND(P2/10^6,10)</f>
        <v>120</v>
      </c>
      <c r="Z2" s="7"/>
      <c r="AA2">
        <v>0</v>
      </c>
      <c r="AB2">
        <v>232</v>
      </c>
      <c r="AD2">
        <v>0</v>
      </c>
      <c r="AE2">
        <v>333</v>
      </c>
    </row>
    <row r="3" spans="1:31" x14ac:dyDescent="0.25">
      <c r="A3" s="9">
        <v>1.6</v>
      </c>
      <c r="B3" s="12">
        <v>0.52315699750762257</v>
      </c>
      <c r="C3" s="8">
        <v>4.0506942516606068E-2</v>
      </c>
      <c r="D3" s="9" t="s">
        <v>144</v>
      </c>
      <c r="E3" s="13">
        <v>7.07</v>
      </c>
      <c r="F3" s="13">
        <v>16.425000000000001</v>
      </c>
      <c r="G3" s="13">
        <v>0.5</v>
      </c>
      <c r="H3" s="10">
        <v>52.533999999999999</v>
      </c>
      <c r="I3" s="10">
        <f t="shared" si="0"/>
        <v>91.204165374987838</v>
      </c>
      <c r="J3" s="11">
        <f t="shared" si="1"/>
        <v>7.0222405977996178</v>
      </c>
      <c r="K3" s="10">
        <f t="shared" si="2"/>
        <v>116.12475000000001</v>
      </c>
      <c r="L3" s="14">
        <f t="shared" si="3"/>
        <v>8.212500000000001E-3</v>
      </c>
      <c r="M3" s="14">
        <f t="shared" si="4"/>
        <v>3.5349999999999999E-3</v>
      </c>
      <c r="N3" s="12">
        <v>0.49780000000000002</v>
      </c>
      <c r="O3" s="7">
        <v>2.2515E-4</v>
      </c>
      <c r="P3" s="7">
        <v>376310000</v>
      </c>
      <c r="Q3" s="7">
        <f t="shared" si="5"/>
        <v>0.11257499999999999</v>
      </c>
      <c r="R3" s="7">
        <f t="shared" si="6"/>
        <v>-8.2125000000000004</v>
      </c>
      <c r="S3" s="16">
        <f t="shared" si="7"/>
        <v>8.2125000000000004</v>
      </c>
      <c r="T3" s="16">
        <f t="shared" si="8"/>
        <v>3.5350000000000001</v>
      </c>
      <c r="U3" s="12">
        <v>0.90259999999999996</v>
      </c>
      <c r="V3" s="12">
        <f t="shared" si="9"/>
        <v>0.22514999999999999</v>
      </c>
      <c r="W3" s="11">
        <f t="shared" si="10"/>
        <v>34.321039472261674</v>
      </c>
      <c r="X3" s="11">
        <f t="shared" si="11"/>
        <v>560</v>
      </c>
      <c r="Y3" s="11">
        <f t="shared" si="12"/>
        <v>380</v>
      </c>
      <c r="Z3" s="7"/>
      <c r="AA3">
        <v>3.5</v>
      </c>
      <c r="AB3">
        <v>232</v>
      </c>
      <c r="AD3">
        <v>3.5</v>
      </c>
      <c r="AE3">
        <v>333</v>
      </c>
    </row>
    <row r="4" spans="1:31" x14ac:dyDescent="0.25">
      <c r="A4" s="9">
        <v>1.5</v>
      </c>
      <c r="B4" s="12">
        <v>1.2784344721364744</v>
      </c>
      <c r="C4" s="8">
        <v>3.7169063893982605E-2</v>
      </c>
      <c r="D4" s="9" t="s">
        <v>141</v>
      </c>
      <c r="E4" s="13">
        <v>7.7469999999999999</v>
      </c>
      <c r="F4" s="13">
        <v>18.669</v>
      </c>
      <c r="G4" s="13">
        <v>0.5</v>
      </c>
      <c r="H4" s="10">
        <v>83.028999999999996</v>
      </c>
      <c r="I4" s="10">
        <f t="shared" si="0"/>
        <v>113.59114912668157</v>
      </c>
      <c r="J4" s="11">
        <f t="shared" si="1"/>
        <v>7.9374536366031423</v>
      </c>
      <c r="K4" s="10">
        <f t="shared" si="2"/>
        <v>144.62874300000001</v>
      </c>
      <c r="L4" s="14">
        <f t="shared" si="3"/>
        <v>9.3345000000000008E-3</v>
      </c>
      <c r="M4" s="14">
        <f t="shared" si="4"/>
        <v>3.8734999999999998E-3</v>
      </c>
      <c r="N4" s="12">
        <v>0.52659999999999996</v>
      </c>
      <c r="O4" s="7">
        <v>2.7315E-4</v>
      </c>
      <c r="P4" s="7">
        <v>410630000</v>
      </c>
      <c r="Q4" s="7">
        <f t="shared" si="5"/>
        <v>0.136575</v>
      </c>
      <c r="R4" s="7">
        <f t="shared" si="6"/>
        <v>-9.3345000000000002</v>
      </c>
      <c r="S4" s="16">
        <f t="shared" si="7"/>
        <v>9.3345000000000002</v>
      </c>
      <c r="T4" s="16">
        <f t="shared" si="8"/>
        <v>3.8734999999999999</v>
      </c>
      <c r="U4" s="12">
        <v>0.90980000000000005</v>
      </c>
      <c r="V4" s="12">
        <f t="shared" si="9"/>
        <v>0.27315</v>
      </c>
      <c r="W4" s="11">
        <f t="shared" si="10"/>
        <v>46.643933565889242</v>
      </c>
      <c r="X4" s="11">
        <f t="shared" si="11"/>
        <v>620</v>
      </c>
      <c r="Y4" s="11">
        <f t="shared" si="12"/>
        <v>410</v>
      </c>
      <c r="Z4" s="7"/>
      <c r="AA4">
        <v>3.5</v>
      </c>
      <c r="AB4">
        <v>395</v>
      </c>
      <c r="AD4">
        <v>3.5</v>
      </c>
      <c r="AE4">
        <v>518</v>
      </c>
    </row>
    <row r="5" spans="1:31" x14ac:dyDescent="0.25">
      <c r="A5" s="9">
        <v>1.1000000000000001</v>
      </c>
      <c r="B5" s="12">
        <v>1.3184368894010701</v>
      </c>
      <c r="C5" s="8">
        <v>9.3885306216198214E-2</v>
      </c>
      <c r="D5" s="9" t="s">
        <v>148</v>
      </c>
      <c r="E5" s="13">
        <v>8.9749999999999996</v>
      </c>
      <c r="F5" s="13">
        <v>17.738</v>
      </c>
      <c r="G5" s="13">
        <v>0.5</v>
      </c>
      <c r="H5" s="10">
        <v>96.262</v>
      </c>
      <c r="I5" s="10">
        <f t="shared" si="0"/>
        <v>125.03424878553683</v>
      </c>
      <c r="J5" s="11">
        <f t="shared" si="1"/>
        <v>7.8065897738073708</v>
      </c>
      <c r="K5" s="10">
        <f t="shared" si="2"/>
        <v>159.19854999999998</v>
      </c>
      <c r="L5" s="14">
        <f t="shared" si="3"/>
        <v>8.8690000000000001E-3</v>
      </c>
      <c r="M5" s="14">
        <f t="shared" si="4"/>
        <v>4.4875000000000002E-3</v>
      </c>
      <c r="N5" s="12">
        <v>0.38900000000000001</v>
      </c>
      <c r="O5" s="7">
        <v>3.4672000000000001E-4</v>
      </c>
      <c r="P5" s="7">
        <v>487580000</v>
      </c>
      <c r="Q5" s="7">
        <f t="shared" si="5"/>
        <v>0.17336000000000001</v>
      </c>
      <c r="R5" s="7">
        <f t="shared" si="6"/>
        <v>-8.8689999999999998</v>
      </c>
      <c r="S5" s="16">
        <f t="shared" si="7"/>
        <v>8.8689999999999998</v>
      </c>
      <c r="T5" s="16">
        <f t="shared" si="8"/>
        <v>4.4874999999999998</v>
      </c>
      <c r="U5" s="12">
        <v>0.86250000000000004</v>
      </c>
      <c r="V5" s="12">
        <f t="shared" si="9"/>
        <v>0.34672000000000003</v>
      </c>
      <c r="W5" s="11">
        <f t="shared" si="10"/>
        <v>60.964199022852057</v>
      </c>
      <c r="X5" s="11">
        <f t="shared" si="11"/>
        <v>730</v>
      </c>
      <c r="Y5" s="11">
        <f t="shared" si="12"/>
        <v>490</v>
      </c>
      <c r="Z5" s="7"/>
      <c r="AA5">
        <v>0</v>
      </c>
      <c r="AB5">
        <v>395</v>
      </c>
      <c r="AD5">
        <v>0</v>
      </c>
      <c r="AE5">
        <v>518</v>
      </c>
    </row>
    <row r="6" spans="1:31" x14ac:dyDescent="0.25">
      <c r="A6" s="9">
        <v>1.2</v>
      </c>
      <c r="B6" s="12">
        <v>1.8851770547675193</v>
      </c>
      <c r="C6" s="8">
        <v>7.5975045568891744E-2</v>
      </c>
      <c r="D6" s="9" t="s">
        <v>146</v>
      </c>
      <c r="E6" s="13">
        <v>9.7370000000000001</v>
      </c>
      <c r="F6" s="13">
        <v>17.314</v>
      </c>
      <c r="G6" s="13">
        <v>0.5</v>
      </c>
      <c r="H6" s="10">
        <v>118.01600000000001</v>
      </c>
      <c r="I6" s="10">
        <f t="shared" si="0"/>
        <v>132.40746307095452</v>
      </c>
      <c r="J6" s="11">
        <f t="shared" si="1"/>
        <v>7.8006266411367644</v>
      </c>
      <c r="K6" s="10">
        <f t="shared" si="2"/>
        <v>168.58641800000001</v>
      </c>
      <c r="L6" s="14">
        <f t="shared" si="3"/>
        <v>8.6569999999999998E-3</v>
      </c>
      <c r="M6" s="14">
        <f t="shared" si="4"/>
        <v>4.8685000000000004E-3</v>
      </c>
      <c r="N6" s="12">
        <v>0.33139999999999997</v>
      </c>
      <c r="O6" s="7">
        <v>3.9627E-4</v>
      </c>
      <c r="P6" s="7">
        <v>537130000</v>
      </c>
      <c r="Q6" s="7">
        <f t="shared" si="5"/>
        <v>0.19813500000000001</v>
      </c>
      <c r="R6" s="7">
        <f t="shared" si="6"/>
        <v>-8.657</v>
      </c>
      <c r="S6" s="16">
        <f t="shared" si="7"/>
        <v>8.657</v>
      </c>
      <c r="T6" s="16">
        <f t="shared" si="8"/>
        <v>4.8685</v>
      </c>
      <c r="U6" s="12">
        <v>0.82689999999999997</v>
      </c>
      <c r="V6" s="12">
        <f t="shared" si="9"/>
        <v>0.39627000000000001</v>
      </c>
      <c r="W6" s="11">
        <f t="shared" si="10"/>
        <v>71.120020639301799</v>
      </c>
      <c r="X6" s="11">
        <f t="shared" si="11"/>
        <v>810</v>
      </c>
      <c r="Y6" s="11">
        <f t="shared" si="12"/>
        <v>540</v>
      </c>
      <c r="Z6" s="7"/>
      <c r="AA6">
        <v>0</v>
      </c>
      <c r="AB6">
        <v>232</v>
      </c>
      <c r="AD6">
        <v>0</v>
      </c>
      <c r="AE6">
        <v>333</v>
      </c>
    </row>
    <row r="7" spans="1:31" x14ac:dyDescent="0.25">
      <c r="A7" s="9">
        <v>1.4</v>
      </c>
      <c r="B7" s="12">
        <v>2.14921616027216</v>
      </c>
      <c r="C7" s="8">
        <v>0.15183594975950124</v>
      </c>
      <c r="D7" s="9" t="s">
        <v>145</v>
      </c>
      <c r="E7" s="13">
        <v>10.964</v>
      </c>
      <c r="F7" s="13">
        <v>19.600000000000001</v>
      </c>
      <c r="G7" s="13">
        <v>0.5</v>
      </c>
      <c r="H7" s="10">
        <v>128.49100000000001</v>
      </c>
      <c r="I7" s="10">
        <f t="shared" si="0"/>
        <v>168.77766708439663</v>
      </c>
      <c r="J7" s="11">
        <f t="shared" si="1"/>
        <v>8.819301828567502</v>
      </c>
      <c r="K7" s="10">
        <f t="shared" si="2"/>
        <v>214.89440000000002</v>
      </c>
      <c r="L7" s="14">
        <f t="shared" si="3"/>
        <v>9.8000000000000014E-3</v>
      </c>
      <c r="M7" s="14">
        <f t="shared" si="4"/>
        <v>5.4819999999999999E-3</v>
      </c>
      <c r="N7" s="12">
        <v>0.33400000000000002</v>
      </c>
      <c r="O7" s="7">
        <v>5.0317999999999999E-4</v>
      </c>
      <c r="P7" s="7">
        <v>604330000</v>
      </c>
      <c r="Q7" s="7">
        <f t="shared" si="5"/>
        <v>0.25158999999999998</v>
      </c>
      <c r="R7" s="7">
        <f t="shared" si="6"/>
        <v>-9.8000000000000007</v>
      </c>
      <c r="S7" s="16">
        <f t="shared" si="7"/>
        <v>9.8000000000000007</v>
      </c>
      <c r="T7" s="16">
        <f t="shared" si="8"/>
        <v>5.4820000000000002</v>
      </c>
      <c r="U7" s="12">
        <v>0.82889999999999997</v>
      </c>
      <c r="V7" s="12">
        <f t="shared" si="9"/>
        <v>0.50317999999999996</v>
      </c>
      <c r="W7" s="11">
        <f t="shared" si="10"/>
        <v>101.99740754911342</v>
      </c>
      <c r="X7" s="11">
        <f t="shared" si="11"/>
        <v>910</v>
      </c>
      <c r="Y7" s="11">
        <f t="shared" si="12"/>
        <v>600</v>
      </c>
      <c r="Z7" s="7"/>
    </row>
    <row r="8" spans="1:31" x14ac:dyDescent="0.25">
      <c r="A8" s="9" t="s">
        <v>188</v>
      </c>
      <c r="B8" s="15">
        <v>2.7766596625338225</v>
      </c>
      <c r="C8" s="8">
        <v>0.17297647751321893</v>
      </c>
      <c r="D8" s="9" t="s">
        <v>142</v>
      </c>
      <c r="E8" s="13">
        <v>11.515000000000001</v>
      </c>
      <c r="F8" s="13">
        <v>19.939</v>
      </c>
      <c r="G8" s="13">
        <v>0.5</v>
      </c>
      <c r="H8" s="10">
        <v>164.678</v>
      </c>
      <c r="I8" s="10">
        <f t="shared" si="0"/>
        <v>180.32552157948953</v>
      </c>
      <c r="J8" s="11">
        <f t="shared" si="1"/>
        <v>9.0419673145547534</v>
      </c>
      <c r="K8" s="10">
        <f t="shared" si="2"/>
        <v>229.59758500000001</v>
      </c>
      <c r="L8" s="14">
        <f t="shared" si="3"/>
        <v>9.9694999999999992E-3</v>
      </c>
      <c r="M8" s="14">
        <f t="shared" si="4"/>
        <v>5.7575000000000005E-3</v>
      </c>
      <c r="N8" s="12">
        <v>0.31830000000000003</v>
      </c>
      <c r="O8" s="7">
        <v>5.5015000000000001E-4</v>
      </c>
      <c r="P8" s="7">
        <v>637820000</v>
      </c>
      <c r="Q8" s="7">
        <f t="shared" si="5"/>
        <v>0.27507500000000001</v>
      </c>
      <c r="R8" s="7">
        <f t="shared" si="6"/>
        <v>-9.9695</v>
      </c>
      <c r="S8" s="16">
        <f t="shared" si="7"/>
        <v>9.9695</v>
      </c>
      <c r="T8" s="16">
        <f t="shared" si="8"/>
        <v>5.7575000000000003</v>
      </c>
      <c r="U8" s="12">
        <v>0.81640000000000001</v>
      </c>
      <c r="V8" s="12">
        <f t="shared" si="9"/>
        <v>0.55015000000000003</v>
      </c>
      <c r="W8" s="11">
        <f t="shared" si="10"/>
        <v>115.01522417383001</v>
      </c>
      <c r="X8" s="11">
        <f t="shared" si="11"/>
        <v>960</v>
      </c>
      <c r="Y8" s="11">
        <f t="shared" si="12"/>
        <v>640</v>
      </c>
      <c r="Z8" s="7"/>
    </row>
    <row r="9" spans="1:31" x14ac:dyDescent="0.25">
      <c r="A9" s="9" t="s">
        <v>189</v>
      </c>
      <c r="B9" s="15">
        <v>2.7766596625338225</v>
      </c>
      <c r="C9" s="8">
        <v>0.17297647751321893</v>
      </c>
      <c r="D9" s="9" t="s">
        <v>142</v>
      </c>
      <c r="E9" s="13">
        <v>11.345000000000001</v>
      </c>
      <c r="F9" s="13">
        <v>18.922999999999998</v>
      </c>
      <c r="G9" s="13">
        <v>0.5</v>
      </c>
      <c r="H9" s="10">
        <v>145.12200000000001</v>
      </c>
      <c r="I9" s="10">
        <f t="shared" si="0"/>
        <v>168.61040476452865</v>
      </c>
      <c r="J9" s="11">
        <f t="shared" si="1"/>
        <v>8.6642353986806757</v>
      </c>
      <c r="K9" s="10">
        <f t="shared" si="2"/>
        <v>214.68143499999999</v>
      </c>
      <c r="L9" s="14">
        <f t="shared" si="3"/>
        <v>9.4614999999999994E-3</v>
      </c>
      <c r="M9" s="14">
        <f t="shared" si="4"/>
        <v>5.6725000000000005E-3</v>
      </c>
      <c r="N9" s="12">
        <v>0.30080000000000001</v>
      </c>
      <c r="O9" s="7">
        <v>5.2855000000000003E-4</v>
      </c>
      <c r="P9" s="7">
        <v>632160000</v>
      </c>
      <c r="Q9" s="7">
        <f t="shared" si="5"/>
        <v>0.26427500000000004</v>
      </c>
      <c r="R9" s="7">
        <f t="shared" si="6"/>
        <v>-9.4614999999999991</v>
      </c>
      <c r="S9" s="16">
        <f t="shared" si="7"/>
        <v>9.4614999999999991</v>
      </c>
      <c r="T9" s="16">
        <f t="shared" si="8"/>
        <v>5.6725000000000003</v>
      </c>
      <c r="U9" s="12">
        <v>0.80030000000000001</v>
      </c>
      <c r="V9" s="12">
        <f t="shared" si="9"/>
        <v>0.52855000000000008</v>
      </c>
      <c r="W9" s="11">
        <f t="shared" si="10"/>
        <v>106.58875347594446</v>
      </c>
      <c r="X9" s="11">
        <f t="shared" si="11"/>
        <v>950</v>
      </c>
      <c r="Y9" s="11">
        <f t="shared" si="12"/>
        <v>630</v>
      </c>
      <c r="Z9" s="7"/>
    </row>
    <row r="10" spans="1:31" x14ac:dyDescent="0.25">
      <c r="A10" s="9">
        <v>1.7</v>
      </c>
      <c r="B10" s="15">
        <v>2.7909502064686018</v>
      </c>
      <c r="C10" s="8">
        <v>0.14350429961869399</v>
      </c>
      <c r="D10" s="9" t="s">
        <v>143</v>
      </c>
      <c r="E10" s="13">
        <v>11.726000000000001</v>
      </c>
      <c r="F10" s="13">
        <v>21.123999999999999</v>
      </c>
      <c r="G10" s="13">
        <v>0.5</v>
      </c>
      <c r="H10" s="10">
        <v>161.029</v>
      </c>
      <c r="I10" s="10">
        <f t="shared" si="0"/>
        <v>194.54314392310388</v>
      </c>
      <c r="J10" s="11">
        <f t="shared" si="1"/>
        <v>9.4877467699082398</v>
      </c>
      <c r="K10" s="10">
        <f t="shared" si="2"/>
        <v>247.70002400000001</v>
      </c>
      <c r="L10" s="14">
        <f t="shared" si="3"/>
        <v>1.0562E-2</v>
      </c>
      <c r="M10" s="14">
        <f t="shared" si="4"/>
        <v>5.8630000000000002E-3</v>
      </c>
      <c r="N10" s="12">
        <v>0.33389999999999997</v>
      </c>
      <c r="O10" s="7">
        <v>5.7549999999999995E-4</v>
      </c>
      <c r="P10" s="7">
        <v>645580000</v>
      </c>
      <c r="Q10" s="7">
        <f t="shared" si="5"/>
        <v>0.28774999999999995</v>
      </c>
      <c r="R10" s="7">
        <f t="shared" si="6"/>
        <v>-10.561999999999999</v>
      </c>
      <c r="S10" s="16">
        <f t="shared" si="7"/>
        <v>10.561999999999999</v>
      </c>
      <c r="T10" s="16">
        <f t="shared" si="8"/>
        <v>5.8630000000000004</v>
      </c>
      <c r="U10" s="12">
        <v>0.82879999999999998</v>
      </c>
      <c r="V10" s="12">
        <f t="shared" si="9"/>
        <v>0.5754999999999999</v>
      </c>
      <c r="W10" s="11">
        <f t="shared" si="10"/>
        <v>125.59316285387739</v>
      </c>
      <c r="X10" s="11">
        <f t="shared" si="11"/>
        <v>970</v>
      </c>
      <c r="Y10" s="11">
        <f t="shared" si="12"/>
        <v>650</v>
      </c>
      <c r="Z10" s="7"/>
    </row>
    <row r="11" spans="1:31" x14ac:dyDescent="0.25">
      <c r="A11" s="9">
        <v>1.3</v>
      </c>
      <c r="B11" s="12">
        <v>2.9337313083328511</v>
      </c>
      <c r="C11" s="8">
        <v>0.15006103929581049</v>
      </c>
      <c r="D11" s="9" t="s">
        <v>147</v>
      </c>
      <c r="E11" s="13">
        <v>12.234</v>
      </c>
      <c r="F11" s="13">
        <v>20.954999999999998</v>
      </c>
      <c r="G11" s="13">
        <v>0.5</v>
      </c>
      <c r="H11" s="10">
        <v>167.56800000000001</v>
      </c>
      <c r="I11" s="10">
        <f t="shared" si="0"/>
        <v>201.34739850019685</v>
      </c>
      <c r="J11" s="11">
        <f t="shared" si="1"/>
        <v>9.5287829812521441</v>
      </c>
      <c r="K11" s="10">
        <f t="shared" si="2"/>
        <v>256.36347000000001</v>
      </c>
      <c r="L11" s="14">
        <f t="shared" si="3"/>
        <v>1.0477499999999999E-2</v>
      </c>
      <c r="M11" s="14">
        <f t="shared" si="4"/>
        <v>6.117E-3</v>
      </c>
      <c r="N11" s="12">
        <v>0.31309999999999999</v>
      </c>
      <c r="O11" s="7">
        <v>6.1914000000000001E-4</v>
      </c>
      <c r="P11" s="7">
        <v>678810000</v>
      </c>
      <c r="Q11" s="7">
        <f t="shared" si="5"/>
        <v>0.30957000000000001</v>
      </c>
      <c r="R11" s="7">
        <f t="shared" si="6"/>
        <v>-10.477499999999999</v>
      </c>
      <c r="S11" s="16">
        <f t="shared" si="7"/>
        <v>10.477499999999999</v>
      </c>
      <c r="T11" s="16">
        <f t="shared" si="8"/>
        <v>6.117</v>
      </c>
      <c r="U11" s="12">
        <v>0.81189999999999996</v>
      </c>
      <c r="V11" s="12">
        <f t="shared" si="9"/>
        <v>0.61914000000000002</v>
      </c>
      <c r="W11" s="11">
        <f t="shared" si="10"/>
        <v>136.67662757591859</v>
      </c>
      <c r="X11" s="11">
        <f t="shared" si="11"/>
        <v>1020</v>
      </c>
      <c r="Y11" s="11">
        <f t="shared" si="12"/>
        <v>680</v>
      </c>
      <c r="Z11" s="7"/>
    </row>
    <row r="12" spans="1:31" x14ac:dyDescent="0.25">
      <c r="L12" s="14"/>
      <c r="M12" s="14"/>
      <c r="S12" s="14"/>
      <c r="T12" s="14"/>
      <c r="W12" s="11"/>
    </row>
    <row r="13" spans="1:31" x14ac:dyDescent="0.25">
      <c r="O13" s="7"/>
    </row>
  </sheetData>
  <autoFilter ref="A1:Y11" xr:uid="{7340A085-7B8F-4425-8192-A79C421C2D3C}">
    <sortState xmlns:xlrd2="http://schemas.microsoft.com/office/spreadsheetml/2017/richdata2" ref="A2:Y11">
      <sortCondition ref="B1:B11"/>
    </sortState>
  </autoFilter>
  <phoneticPr fontId="5" type="noConversion"/>
  <pageMargins left="0.7" right="0.7" top="0.75" bottom="0.75" header="0.3" footer="0.3"/>
  <pageSetup orientation="portrait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1D97-C3DB-4479-A88B-52246BD69537}">
  <dimension ref="A1:E14"/>
  <sheetViews>
    <sheetView workbookViewId="0">
      <selection activeCell="G8" sqref="G8"/>
    </sheetView>
  </sheetViews>
  <sheetFormatPr defaultRowHeight="15" x14ac:dyDescent="0.25"/>
  <sheetData>
    <row r="1" spans="1:5" x14ac:dyDescent="0.25">
      <c r="A1" t="s">
        <v>149</v>
      </c>
      <c r="B1" t="s">
        <v>150</v>
      </c>
      <c r="D1" t="s">
        <v>151</v>
      </c>
      <c r="E1" t="s">
        <v>152</v>
      </c>
    </row>
    <row r="2" spans="1:5" x14ac:dyDescent="0.25">
      <c r="A2">
        <v>1</v>
      </c>
      <c r="B2">
        <v>8</v>
      </c>
      <c r="D2">
        <v>18.34</v>
      </c>
      <c r="E2">
        <v>87.3</v>
      </c>
    </row>
    <row r="3" spans="1:5" x14ac:dyDescent="0.25">
      <c r="A3">
        <v>1</v>
      </c>
      <c r="B3">
        <v>7</v>
      </c>
      <c r="D3">
        <v>18.48</v>
      </c>
      <c r="E3">
        <v>87.8</v>
      </c>
    </row>
    <row r="4" spans="1:5" x14ac:dyDescent="0.25">
      <c r="A4">
        <v>2</v>
      </c>
      <c r="B4">
        <v>8</v>
      </c>
      <c r="D4">
        <v>18.46</v>
      </c>
      <c r="E4">
        <v>86.8</v>
      </c>
    </row>
    <row r="5" spans="1:5" x14ac:dyDescent="0.25">
      <c r="A5">
        <v>2</v>
      </c>
      <c r="B5">
        <v>7</v>
      </c>
      <c r="D5">
        <v>18.38</v>
      </c>
      <c r="E5">
        <v>88.3</v>
      </c>
    </row>
    <row r="7" spans="1:5" x14ac:dyDescent="0.25">
      <c r="B7" t="s">
        <v>153</v>
      </c>
      <c r="D7">
        <f>AVERAGE(D2:D5)</f>
        <v>18.414999999999999</v>
      </c>
      <c r="E7">
        <f>AVERAGE(E2:E5)</f>
        <v>87.55</v>
      </c>
    </row>
    <row r="8" spans="1:5" x14ac:dyDescent="0.25">
      <c r="B8" t="s">
        <v>154</v>
      </c>
      <c r="D8">
        <f>_xlfn.STDEV.S(D2:D5)</f>
        <v>6.6080758671997253E-2</v>
      </c>
      <c r="E8">
        <f>_xlfn.STDEV.S(E2:E5)</f>
        <v>0.6454972243679028</v>
      </c>
    </row>
    <row r="11" spans="1:5" x14ac:dyDescent="0.25">
      <c r="B11" t="s">
        <v>155</v>
      </c>
      <c r="E11">
        <f>E7/PI()</f>
        <v>27.868030535390872</v>
      </c>
    </row>
    <row r="12" spans="1:5" x14ac:dyDescent="0.25">
      <c r="E12">
        <f>E8/PI()</f>
        <v>0.20546814802049995</v>
      </c>
    </row>
    <row r="13" spans="1:5" x14ac:dyDescent="0.25">
      <c r="B13" t="s">
        <v>156</v>
      </c>
      <c r="E13">
        <f>E11/2</f>
        <v>13.934015267695436</v>
      </c>
    </row>
    <row r="14" spans="1:5" x14ac:dyDescent="0.25">
      <c r="E14">
        <f>E12/2</f>
        <v>0.10273407401024998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55F1-1194-47CB-BDDB-952422E984F5}">
  <dimension ref="A1:X32"/>
  <sheetViews>
    <sheetView topLeftCell="F1" workbookViewId="0">
      <selection activeCell="J22" sqref="J22"/>
    </sheetView>
  </sheetViews>
  <sheetFormatPr defaultRowHeight="15" x14ac:dyDescent="0.25"/>
  <cols>
    <col min="1" max="2" width="4.28515625" customWidth="1"/>
    <col min="15" max="15" width="6.28515625" customWidth="1"/>
  </cols>
  <sheetData>
    <row r="1" spans="1:24" x14ac:dyDescent="0.25">
      <c r="A1" t="s">
        <v>60</v>
      </c>
      <c r="B1" t="s">
        <v>61</v>
      </c>
      <c r="C1" t="s">
        <v>76</v>
      </c>
      <c r="F1" t="b">
        <v>1</v>
      </c>
      <c r="G1">
        <v>278.68</v>
      </c>
      <c r="I1">
        <f>(G1-G2)/G1</f>
        <v>2.1816735844183328E-2</v>
      </c>
      <c r="K1" t="s">
        <v>75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U1" t="b">
        <v>1</v>
      </c>
      <c r="V1">
        <f>640/PI()</f>
        <v>203.71832715762605</v>
      </c>
      <c r="X1">
        <f>(V1-V2)/V1</f>
        <v>1.1683248614479409E-2</v>
      </c>
    </row>
    <row r="2" spans="1:24" x14ac:dyDescent="0.25">
      <c r="A2">
        <v>1</v>
      </c>
      <c r="B2">
        <v>1</v>
      </c>
      <c r="C2">
        <v>273.46846253270229</v>
      </c>
      <c r="D2">
        <v>1.3061093815065226</v>
      </c>
      <c r="F2" t="s">
        <v>66</v>
      </c>
      <c r="G2">
        <f>AVERAGE(C:C)</f>
        <v>272.600112054943</v>
      </c>
      <c r="H2">
        <f>_xlfn.STDEV.S(C:C)</f>
        <v>3.7785800117263175</v>
      </c>
      <c r="I2">
        <f>H2/G2</f>
        <v>1.3861256267439606E-2</v>
      </c>
      <c r="K2" t="s">
        <v>14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U2" t="s">
        <v>66</v>
      </c>
      <c r="V2">
        <f>AVERAGE(L3:S36)</f>
        <v>201.33823529411765</v>
      </c>
      <c r="W2">
        <f>_xlfn.STDEV.S(L3:S32)</f>
        <v>1.8062467254269203</v>
      </c>
      <c r="X2">
        <f>W2/V2</f>
        <v>8.9712057065978075E-3</v>
      </c>
    </row>
    <row r="3" spans="1:24" x14ac:dyDescent="0.25">
      <c r="A3">
        <v>2</v>
      </c>
      <c r="B3">
        <v>1</v>
      </c>
      <c r="C3">
        <v>275.87859648765794</v>
      </c>
      <c r="D3">
        <v>1.3155421604385171</v>
      </c>
      <c r="H3">
        <f>SQRT(SUMPRODUCT(D:D,D:D)/COUNTA(D:D))</f>
        <v>2.195582593412388</v>
      </c>
      <c r="L3">
        <v>201</v>
      </c>
      <c r="M3">
        <v>203</v>
      </c>
      <c r="N3">
        <v>202</v>
      </c>
      <c r="O3">
        <v>203</v>
      </c>
      <c r="P3">
        <v>202</v>
      </c>
      <c r="Q3">
        <v>203</v>
      </c>
      <c r="R3">
        <v>203</v>
      </c>
      <c r="S3">
        <v>203</v>
      </c>
    </row>
    <row r="4" spans="1:24" x14ac:dyDescent="0.25">
      <c r="A4">
        <v>3</v>
      </c>
      <c r="B4">
        <v>1</v>
      </c>
      <c r="C4">
        <v>275.66737202650586</v>
      </c>
      <c r="D4">
        <v>1.3147154704352579</v>
      </c>
      <c r="I4" t="s">
        <v>77</v>
      </c>
      <c r="J4" t="s">
        <v>78</v>
      </c>
      <c r="L4">
        <v>201</v>
      </c>
      <c r="M4">
        <v>203</v>
      </c>
      <c r="N4">
        <v>202</v>
      </c>
      <c r="O4">
        <v>203</v>
      </c>
      <c r="P4">
        <v>202</v>
      </c>
      <c r="Q4">
        <v>203</v>
      </c>
      <c r="R4">
        <v>203</v>
      </c>
      <c r="S4">
        <v>203</v>
      </c>
    </row>
    <row r="5" spans="1:24" x14ac:dyDescent="0.25">
      <c r="A5">
        <v>4</v>
      </c>
      <c r="B5">
        <v>1</v>
      </c>
      <c r="C5">
        <v>273.54158733179861</v>
      </c>
      <c r="D5">
        <v>1.3063955772438607</v>
      </c>
      <c r="G5">
        <f>AVERAGEIF(B:B,"=1",C:C)</f>
        <v>275.10013142116259</v>
      </c>
      <c r="H5">
        <f>_xlfn.STDEV.S(C2:C9)</f>
        <v>1.7865184207073546</v>
      </c>
      <c r="I5">
        <f>MAX(MAX(C2:C9)-G5,G5-MIN(C2:C9))</f>
        <v>3.7690135196142478</v>
      </c>
      <c r="J5">
        <f>SQRT(SUMPRODUCT(D2:D9,D2:D9)/COUNT(D2:D9))</f>
        <v>1.3125117012593515</v>
      </c>
      <c r="L5">
        <v>201</v>
      </c>
      <c r="M5">
        <v>203</v>
      </c>
      <c r="N5">
        <v>202</v>
      </c>
      <c r="O5">
        <v>203</v>
      </c>
      <c r="P5">
        <v>202</v>
      </c>
      <c r="Q5">
        <v>202</v>
      </c>
      <c r="R5">
        <v>205</v>
      </c>
      <c r="S5">
        <v>203</v>
      </c>
      <c r="V5">
        <f>AVERAGE(L3:S16)</f>
        <v>202.59375</v>
      </c>
      <c r="W5">
        <f>_xlfn.STDEV.S(L3:S15)</f>
        <v>0.98752134797097557</v>
      </c>
      <c r="X5">
        <f>MAX(MAX(L3:S16)-V5,V5-MIN(L3:S16))</f>
        <v>2.40625</v>
      </c>
    </row>
    <row r="6" spans="1:24" x14ac:dyDescent="0.25">
      <c r="A6">
        <v>5</v>
      </c>
      <c r="B6">
        <v>1</v>
      </c>
      <c r="C6">
        <v>274.17147918775214</v>
      </c>
      <c r="D6">
        <v>1.3088608471165399</v>
      </c>
      <c r="G6">
        <f>AVERAGEIF(B:B,"=2",C:C)</f>
        <v>270.60009656196735</v>
      </c>
      <c r="H6">
        <f>_xlfn.STDEV.S(C10:C19)</f>
        <v>3.8060975426778332</v>
      </c>
      <c r="I6">
        <f>MAX(MAX(C10:C19)-G6,G6-MIN(C10:C19))</f>
        <v>5.7547477957894557</v>
      </c>
      <c r="J6">
        <f>SQRT(SUMPRODUCT(D10:D19,D10:D19)/COUNT(D10:D19))</f>
        <v>2.7016475882945334</v>
      </c>
      <c r="L6">
        <v>201</v>
      </c>
      <c r="M6">
        <v>203</v>
      </c>
      <c r="N6">
        <v>202</v>
      </c>
      <c r="O6">
        <v>203</v>
      </c>
      <c r="P6">
        <v>202</v>
      </c>
      <c r="Q6">
        <v>202</v>
      </c>
      <c r="R6">
        <v>205</v>
      </c>
      <c r="S6">
        <v>203</v>
      </c>
      <c r="V6">
        <f>AVERAGE(L18:S36)</f>
        <v>200.22222222222223</v>
      </c>
      <c r="W6">
        <f>_xlfn.STDEV.S(L18:S33)</f>
        <v>1.6291553347828229</v>
      </c>
      <c r="X6">
        <f>MAX(MAX(L18:S32)-V6,V6-MIN(L18:S32))</f>
        <v>4.7777777777777715</v>
      </c>
    </row>
    <row r="7" spans="1:24" x14ac:dyDescent="0.25">
      <c r="A7">
        <v>6</v>
      </c>
      <c r="B7">
        <v>1</v>
      </c>
      <c r="C7">
        <v>273.98631352678916</v>
      </c>
      <c r="D7">
        <v>1.3081361460093384</v>
      </c>
      <c r="L7">
        <v>201</v>
      </c>
      <c r="M7">
        <v>203</v>
      </c>
      <c r="N7">
        <v>202</v>
      </c>
      <c r="O7">
        <v>203</v>
      </c>
      <c r="P7">
        <v>202</v>
      </c>
      <c r="Q7">
        <v>202</v>
      </c>
      <c r="R7">
        <v>205</v>
      </c>
      <c r="S7">
        <v>203</v>
      </c>
    </row>
    <row r="8" spans="1:24" x14ac:dyDescent="0.25">
      <c r="A8">
        <v>7</v>
      </c>
      <c r="B8">
        <v>1</v>
      </c>
      <c r="C8">
        <v>275.21809533531768</v>
      </c>
      <c r="D8">
        <v>1.3129570919440698</v>
      </c>
      <c r="L8">
        <v>201</v>
      </c>
      <c r="M8">
        <v>203</v>
      </c>
      <c r="N8">
        <v>202</v>
      </c>
      <c r="O8">
        <v>203</v>
      </c>
      <c r="P8">
        <v>202</v>
      </c>
      <c r="Q8">
        <v>202</v>
      </c>
      <c r="R8">
        <v>205</v>
      </c>
      <c r="S8">
        <v>203</v>
      </c>
    </row>
    <row r="9" spans="1:24" x14ac:dyDescent="0.25">
      <c r="A9">
        <v>8</v>
      </c>
      <c r="B9">
        <v>1</v>
      </c>
      <c r="C9">
        <v>278.86914494077683</v>
      </c>
      <c r="D9">
        <v>1.3272465648288565</v>
      </c>
    </row>
    <row r="10" spans="1:24" x14ac:dyDescent="0.25">
      <c r="A10">
        <v>1</v>
      </c>
      <c r="B10">
        <v>2</v>
      </c>
      <c r="C10">
        <v>266.90822392725181</v>
      </c>
      <c r="D10">
        <v>2.6692705999689448</v>
      </c>
    </row>
    <row r="11" spans="1:24" x14ac:dyDescent="0.25">
      <c r="A11">
        <v>2</v>
      </c>
      <c r="B11">
        <v>2</v>
      </c>
      <c r="C11">
        <v>269.47541631844638</v>
      </c>
      <c r="D11">
        <v>2.6916567773945932</v>
      </c>
    </row>
    <row r="12" spans="1:24" x14ac:dyDescent="0.25">
      <c r="A12">
        <v>3</v>
      </c>
      <c r="B12">
        <v>2</v>
      </c>
      <c r="C12">
        <v>268.8094120375996</v>
      </c>
      <c r="D12">
        <v>2.6858491526725756</v>
      </c>
    </row>
    <row r="13" spans="1:24" x14ac:dyDescent="0.25">
      <c r="A13">
        <v>4</v>
      </c>
      <c r="B13">
        <v>2</v>
      </c>
      <c r="C13">
        <v>267.95242114972575</v>
      </c>
      <c r="D13">
        <v>2.6783761054113295</v>
      </c>
      <c r="L13">
        <v>201</v>
      </c>
      <c r="M13">
        <v>203</v>
      </c>
      <c r="N13">
        <v>203</v>
      </c>
      <c r="O13">
        <v>203</v>
      </c>
      <c r="P13">
        <v>202</v>
      </c>
      <c r="Q13">
        <v>202</v>
      </c>
      <c r="R13">
        <v>205</v>
      </c>
      <c r="S13">
        <v>203</v>
      </c>
    </row>
    <row r="14" spans="1:24" x14ac:dyDescent="0.25">
      <c r="A14">
        <v>5</v>
      </c>
      <c r="B14">
        <v>2</v>
      </c>
      <c r="C14">
        <v>267.57148577529705</v>
      </c>
      <c r="D14">
        <v>2.675054310399426</v>
      </c>
      <c r="L14">
        <v>201</v>
      </c>
      <c r="M14">
        <v>203</v>
      </c>
      <c r="N14">
        <v>202</v>
      </c>
      <c r="O14">
        <v>203</v>
      </c>
      <c r="P14">
        <v>202</v>
      </c>
      <c r="Q14">
        <v>203</v>
      </c>
      <c r="R14">
        <v>203</v>
      </c>
      <c r="S14">
        <v>203</v>
      </c>
    </row>
    <row r="15" spans="1:24" x14ac:dyDescent="0.25">
      <c r="A15">
        <v>6</v>
      </c>
      <c r="B15">
        <v>2</v>
      </c>
      <c r="C15">
        <v>266.90822392725181</v>
      </c>
      <c r="D15">
        <v>2.6692705999689457</v>
      </c>
    </row>
    <row r="16" spans="1:24" x14ac:dyDescent="0.25">
      <c r="A16" t="s">
        <v>62</v>
      </c>
      <c r="B16">
        <v>2</v>
      </c>
      <c r="C16">
        <v>274.80629541551627</v>
      </c>
      <c r="D16">
        <v>2.7381425825531847</v>
      </c>
    </row>
    <row r="17" spans="1:19" x14ac:dyDescent="0.25">
      <c r="A17" t="s">
        <v>63</v>
      </c>
      <c r="B17">
        <v>2</v>
      </c>
      <c r="C17">
        <v>276.3548443577568</v>
      </c>
      <c r="D17">
        <v>2.7516460860273306</v>
      </c>
    </row>
    <row r="18" spans="1:19" x14ac:dyDescent="0.25">
      <c r="A18" t="s">
        <v>64</v>
      </c>
      <c r="B18">
        <v>2</v>
      </c>
      <c r="C18">
        <v>271.00276751354403</v>
      </c>
      <c r="D18">
        <v>2.7049754343686523</v>
      </c>
      <c r="K18" t="s">
        <v>25</v>
      </c>
      <c r="L18">
        <v>198</v>
      </c>
      <c r="M18">
        <v>199</v>
      </c>
      <c r="N18">
        <v>199</v>
      </c>
      <c r="O18">
        <v>199</v>
      </c>
      <c r="P18">
        <v>198</v>
      </c>
      <c r="Q18">
        <v>200</v>
      </c>
      <c r="R18">
        <v>201</v>
      </c>
      <c r="S18">
        <v>201</v>
      </c>
    </row>
    <row r="19" spans="1:19" x14ac:dyDescent="0.25">
      <c r="A19" t="s">
        <v>65</v>
      </c>
      <c r="B19">
        <v>2</v>
      </c>
      <c r="C19">
        <v>276.21187519728403</v>
      </c>
      <c r="D19">
        <v>2.7503993804809457</v>
      </c>
      <c r="L19">
        <v>198</v>
      </c>
      <c r="M19">
        <v>199</v>
      </c>
      <c r="N19">
        <v>199</v>
      </c>
      <c r="O19">
        <v>199</v>
      </c>
      <c r="P19">
        <v>198</v>
      </c>
      <c r="Q19">
        <v>200</v>
      </c>
      <c r="R19">
        <v>201</v>
      </c>
      <c r="S19">
        <v>201</v>
      </c>
    </row>
    <row r="20" spans="1:19" x14ac:dyDescent="0.25">
      <c r="L20">
        <v>199</v>
      </c>
      <c r="M20">
        <v>199</v>
      </c>
      <c r="N20">
        <v>197</v>
      </c>
      <c r="O20">
        <v>199</v>
      </c>
      <c r="P20">
        <v>197</v>
      </c>
      <c r="Q20">
        <v>200</v>
      </c>
      <c r="R20">
        <v>201</v>
      </c>
      <c r="S20">
        <v>201</v>
      </c>
    </row>
    <row r="21" spans="1:19" x14ac:dyDescent="0.25">
      <c r="A21" t="s">
        <v>174</v>
      </c>
      <c r="L21">
        <v>198</v>
      </c>
      <c r="M21">
        <v>199</v>
      </c>
      <c r="N21">
        <v>197</v>
      </c>
      <c r="O21">
        <v>199</v>
      </c>
      <c r="P21">
        <v>197</v>
      </c>
      <c r="Q21">
        <v>200</v>
      </c>
      <c r="R21">
        <v>201</v>
      </c>
      <c r="S21">
        <v>201</v>
      </c>
    </row>
    <row r="22" spans="1:19" x14ac:dyDescent="0.25">
      <c r="A22" t="s">
        <v>175</v>
      </c>
      <c r="L22">
        <v>202</v>
      </c>
      <c r="M22">
        <v>201</v>
      </c>
      <c r="N22">
        <v>200</v>
      </c>
      <c r="O22">
        <v>200</v>
      </c>
      <c r="P22">
        <v>205</v>
      </c>
      <c r="Q22">
        <v>202</v>
      </c>
      <c r="R22">
        <v>202</v>
      </c>
      <c r="S22">
        <v>201</v>
      </c>
    </row>
    <row r="23" spans="1:19" x14ac:dyDescent="0.25">
      <c r="L23">
        <v>202</v>
      </c>
      <c r="M23">
        <v>201</v>
      </c>
      <c r="N23">
        <v>200</v>
      </c>
      <c r="O23">
        <v>200</v>
      </c>
      <c r="P23">
        <v>201</v>
      </c>
      <c r="Q23">
        <v>202</v>
      </c>
      <c r="R23">
        <v>202</v>
      </c>
      <c r="S23">
        <v>201</v>
      </c>
    </row>
    <row r="24" spans="1:19" x14ac:dyDescent="0.25">
      <c r="R24">
        <v>202</v>
      </c>
      <c r="S24">
        <v>202</v>
      </c>
    </row>
    <row r="25" spans="1:19" x14ac:dyDescent="0.25">
      <c r="R25">
        <v>202</v>
      </c>
      <c r="S25">
        <v>202</v>
      </c>
    </row>
    <row r="28" spans="1:19" x14ac:dyDescent="0.25">
      <c r="L28">
        <v>202</v>
      </c>
      <c r="M28">
        <v>201</v>
      </c>
      <c r="N28">
        <v>200</v>
      </c>
      <c r="O28">
        <v>200</v>
      </c>
      <c r="P28">
        <v>203</v>
      </c>
      <c r="Q28">
        <v>202</v>
      </c>
      <c r="R28">
        <v>202</v>
      </c>
      <c r="S28">
        <v>200</v>
      </c>
    </row>
    <row r="29" spans="1:19" x14ac:dyDescent="0.25">
      <c r="L29">
        <v>198</v>
      </c>
      <c r="M29">
        <v>199</v>
      </c>
      <c r="N29">
        <v>199</v>
      </c>
      <c r="O29">
        <v>199</v>
      </c>
      <c r="P29">
        <v>198</v>
      </c>
      <c r="Q29">
        <v>200</v>
      </c>
      <c r="R29">
        <v>201</v>
      </c>
      <c r="S29">
        <v>201</v>
      </c>
    </row>
    <row r="31" spans="1:19" x14ac:dyDescent="0.25">
      <c r="R31">
        <v>202</v>
      </c>
      <c r="S31">
        <v>202</v>
      </c>
    </row>
    <row r="32" spans="1:19" x14ac:dyDescent="0.25">
      <c r="R32">
        <v>202</v>
      </c>
      <c r="S32">
        <v>200</v>
      </c>
    </row>
  </sheetData>
  <sortState xmlns:xlrd2="http://schemas.microsoft.com/office/spreadsheetml/2017/richdata2" ref="A2:D55">
    <sortCondition ref="B2:B55"/>
    <sortCondition ref="A2:A55"/>
  </sortState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1C46-B26E-4B8F-8C64-3080A92013B6}">
  <dimension ref="A1:R52"/>
  <sheetViews>
    <sheetView zoomScale="93" workbookViewId="0">
      <pane ySplit="1" topLeftCell="A8" activePane="bottomLeft" state="frozen"/>
      <selection pane="bottomLeft" activeCell="N39" sqref="N39"/>
    </sheetView>
  </sheetViews>
  <sheetFormatPr defaultRowHeight="15" x14ac:dyDescent="0.25"/>
  <cols>
    <col min="9" max="9" width="19.7109375" customWidth="1"/>
    <col min="11" max="11" width="17.28515625" customWidth="1"/>
  </cols>
  <sheetData>
    <row r="1" spans="1:18" x14ac:dyDescent="0.25">
      <c r="A1" s="2" t="s">
        <v>79</v>
      </c>
      <c r="G1" t="s">
        <v>60</v>
      </c>
      <c r="H1" t="s">
        <v>61</v>
      </c>
      <c r="I1" t="s">
        <v>89</v>
      </c>
      <c r="J1" t="s">
        <v>77</v>
      </c>
      <c r="K1" t="s">
        <v>88</v>
      </c>
      <c r="L1" t="s">
        <v>77</v>
      </c>
      <c r="Q1" t="s">
        <v>90</v>
      </c>
      <c r="R1" t="s">
        <v>91</v>
      </c>
    </row>
    <row r="2" spans="1:18" x14ac:dyDescent="0.25">
      <c r="A2">
        <v>80.117992935904468</v>
      </c>
      <c r="C2">
        <v>0.44836945235530817</v>
      </c>
      <c r="G2">
        <v>1</v>
      </c>
      <c r="H2">
        <v>1</v>
      </c>
      <c r="I2">
        <v>14.664089985499743</v>
      </c>
      <c r="J2">
        <v>0.11704367248175718</v>
      </c>
      <c r="K2">
        <v>80.117992935904468</v>
      </c>
      <c r="L2">
        <v>0.44836945235530817</v>
      </c>
      <c r="Q2">
        <f>90-I2</f>
        <v>75.335910014500257</v>
      </c>
      <c r="R2">
        <f>COS(RADIANS(Q2))</f>
        <v>0.25315166166738656</v>
      </c>
    </row>
    <row r="3" spans="1:18" x14ac:dyDescent="0.25">
      <c r="D3" t="s">
        <v>32</v>
      </c>
      <c r="G3">
        <v>1</v>
      </c>
      <c r="H3">
        <v>2</v>
      </c>
      <c r="I3">
        <v>15.562666662220309</v>
      </c>
      <c r="J3">
        <v>0.12400860641327462</v>
      </c>
      <c r="K3">
        <v>80.360946220128625</v>
      </c>
      <c r="L3">
        <v>0.60298178616248665</v>
      </c>
      <c r="M3">
        <f>AVERAGE(I2:I3)</f>
        <v>15.113378323860026</v>
      </c>
      <c r="N3">
        <f>SQRT(SUMPRODUCT(J2:J3,J2:J3)/COUNT(J2:J3))</f>
        <v>0.12057643993040119</v>
      </c>
      <c r="O3">
        <f>AVERAGE(K2:K3)</f>
        <v>80.239469578016553</v>
      </c>
      <c r="P3">
        <f>SQRT(SUMPRODUCT(L2:L3,L2:L3)/COUNT(L2:L3))</f>
        <v>0.53132955886582378</v>
      </c>
      <c r="Q3">
        <f t="shared" ref="Q3:Q13" si="0">90-I3</f>
        <v>74.437333337779691</v>
      </c>
      <c r="R3">
        <f t="shared" ref="R3:R13" si="1">COS(RADIANS(Q3))</f>
        <v>0.26829217679790029</v>
      </c>
    </row>
    <row r="4" spans="1:18" x14ac:dyDescent="0.25">
      <c r="A4">
        <v>93.354157511479528</v>
      </c>
      <c r="B4">
        <v>74785</v>
      </c>
      <c r="C4">
        <v>3.9594858471028845E-2</v>
      </c>
      <c r="D4">
        <v>14.664089985499743</v>
      </c>
      <c r="E4">
        <v>0.11704367248175718</v>
      </c>
      <c r="G4">
        <v>2</v>
      </c>
      <c r="H4">
        <v>1</v>
      </c>
      <c r="I4">
        <v>5.0810558357553361</v>
      </c>
      <c r="J4">
        <v>0.12427754947545393</v>
      </c>
      <c r="K4">
        <v>60.60394714505675</v>
      </c>
      <c r="L4">
        <v>2.6224386969468267</v>
      </c>
      <c r="Q4">
        <f t="shared" si="0"/>
        <v>84.918944164244664</v>
      </c>
      <c r="R4">
        <f t="shared" si="1"/>
        <v>8.856496294767803E-2</v>
      </c>
    </row>
    <row r="5" spans="1:18" x14ac:dyDescent="0.25">
      <c r="A5">
        <v>80.360946220128625</v>
      </c>
      <c r="C5">
        <v>0.60298178616248665</v>
      </c>
      <c r="G5">
        <v>2</v>
      </c>
      <c r="H5">
        <v>2</v>
      </c>
      <c r="I5">
        <v>5.5224908863096118</v>
      </c>
      <c r="J5">
        <v>0.1487240115295044</v>
      </c>
      <c r="K5">
        <v>71.506586116234104</v>
      </c>
      <c r="L5">
        <v>3.956166906363551</v>
      </c>
      <c r="M5">
        <f>AVERAGE(I4:I5)</f>
        <v>5.301773361032474</v>
      </c>
      <c r="N5">
        <f>SQRT(SUMPRODUCT(J4:J5,J4:J5)/COUNT(J4:J5))</f>
        <v>0.13704696441193445</v>
      </c>
      <c r="O5">
        <f>AVERAGE(K4:K5)</f>
        <v>66.055266630645434</v>
      </c>
      <c r="P5">
        <f>SQRT(SUMPRODUCT(L4:L5,L4:L5)/COUNT(L4:L5))</f>
        <v>3.3562211868595848</v>
      </c>
      <c r="Q5">
        <f t="shared" si="0"/>
        <v>84.477509113690388</v>
      </c>
      <c r="R5">
        <f t="shared" si="1"/>
        <v>9.6236477967285072E-2</v>
      </c>
    </row>
    <row r="6" spans="1:18" x14ac:dyDescent="0.25">
      <c r="D6" t="s">
        <v>32</v>
      </c>
      <c r="G6">
        <v>3</v>
      </c>
      <c r="H6">
        <v>1</v>
      </c>
      <c r="I6">
        <v>1.0400505449357524</v>
      </c>
      <c r="J6">
        <v>0.12669081638118057</v>
      </c>
      <c r="K6">
        <v>1.4441255309358496</v>
      </c>
      <c r="L6">
        <v>2.7212976015104755</v>
      </c>
      <c r="Q6">
        <f t="shared" si="0"/>
        <v>88.959949455064248</v>
      </c>
      <c r="R6">
        <f t="shared" si="1"/>
        <v>1.815130952971376E-2</v>
      </c>
    </row>
    <row r="7" spans="1:18" x14ac:dyDescent="0.25">
      <c r="A7">
        <v>94.727987818842209</v>
      </c>
      <c r="B7">
        <v>71240</v>
      </c>
      <c r="C7">
        <v>5.6979522759377482E-2</v>
      </c>
      <c r="D7">
        <v>15.562666662220309</v>
      </c>
      <c r="E7">
        <v>0.12400860641327462</v>
      </c>
      <c r="G7">
        <v>3</v>
      </c>
      <c r="H7">
        <v>2</v>
      </c>
      <c r="I7">
        <v>2.3062160990078553</v>
      </c>
      <c r="J7">
        <v>0.16423206905182453</v>
      </c>
      <c r="K7">
        <v>5.0277397259013128</v>
      </c>
      <c r="L7">
        <v>4.8950515382949185</v>
      </c>
      <c r="M7">
        <f>AVERAGE(I6:I7)</f>
        <v>1.6731333219718039</v>
      </c>
      <c r="N7">
        <f>SQRT(SUMPRODUCT(J6:J7,J6:J7)/COUNT(J6:J7))</f>
        <v>0.14666754150181505</v>
      </c>
      <c r="O7">
        <f>AVERAGE(K6:K7)</f>
        <v>3.2359326284185812</v>
      </c>
      <c r="P7">
        <f>SQRT(SUMPRODUCT(L6:L7,L6:L7)/COUNT(L6:L7))</f>
        <v>3.9602392729827649</v>
      </c>
      <c r="Q7">
        <f t="shared" si="0"/>
        <v>87.693783900992145</v>
      </c>
      <c r="R7">
        <f t="shared" si="1"/>
        <v>4.0240196289283513E-2</v>
      </c>
    </row>
    <row r="8" spans="1:18" x14ac:dyDescent="0.25">
      <c r="G8">
        <v>4</v>
      </c>
      <c r="H8">
        <v>1</v>
      </c>
      <c r="I8">
        <v>-9.1174522117230481</v>
      </c>
      <c r="J8">
        <v>0.1749978316455133</v>
      </c>
      <c r="K8">
        <v>-80.496872068429795</v>
      </c>
      <c r="L8">
        <v>0.32503838530004564</v>
      </c>
      <c r="Q8">
        <f>90-I8</f>
        <v>99.117452211723048</v>
      </c>
      <c r="R8">
        <f t="shared" si="1"/>
        <v>-0.15845882473288697</v>
      </c>
    </row>
    <row r="9" spans="1:18" x14ac:dyDescent="0.25">
      <c r="G9">
        <v>4</v>
      </c>
      <c r="H9">
        <v>2</v>
      </c>
      <c r="I9">
        <v>-8.6316600642043113</v>
      </c>
      <c r="J9">
        <v>0.28280097934277987</v>
      </c>
      <c r="K9">
        <v>-82.443066913490966</v>
      </c>
      <c r="L9">
        <v>0.45466992716861665</v>
      </c>
      <c r="M9">
        <f>AVERAGE(I8:I9)</f>
        <v>-8.8745561379636797</v>
      </c>
      <c r="N9">
        <f>SQRT(SUMPRODUCT(J8:J9,J8:J9)/COUNT(J8:J9))</f>
        <v>0.23516019539652838</v>
      </c>
      <c r="O9">
        <f>AVERAGE(K8:K9)</f>
        <v>-81.469969490960381</v>
      </c>
      <c r="P9">
        <f>SQRT(SUMPRODUCT(L8:L9,L8:L9)/COUNT(L8:L9))</f>
        <v>0.39520544947531788</v>
      </c>
      <c r="Q9">
        <f t="shared" si="0"/>
        <v>98.631660064204311</v>
      </c>
      <c r="R9">
        <f t="shared" si="1"/>
        <v>-0.15008168003530681</v>
      </c>
    </row>
    <row r="10" spans="1:18" x14ac:dyDescent="0.25">
      <c r="A10" s="2" t="s">
        <v>80</v>
      </c>
      <c r="G10">
        <v>5</v>
      </c>
      <c r="H10">
        <v>1</v>
      </c>
      <c r="I10">
        <v>0.5630046025521267</v>
      </c>
      <c r="J10">
        <v>0.16389387632910463</v>
      </c>
      <c r="K10">
        <v>-13.416183481840889</v>
      </c>
      <c r="L10">
        <v>4.5074314704687328</v>
      </c>
      <c r="Q10">
        <f t="shared" si="0"/>
        <v>89.436995397447873</v>
      </c>
      <c r="R10">
        <f t="shared" si="1"/>
        <v>9.8261258883000704E-3</v>
      </c>
    </row>
    <row r="11" spans="1:18" x14ac:dyDescent="0.25">
      <c r="A11">
        <v>60.60394714505675</v>
      </c>
      <c r="C11">
        <v>2.6224386969468267</v>
      </c>
      <c r="G11">
        <v>5</v>
      </c>
      <c r="H11">
        <v>2</v>
      </c>
      <c r="I11">
        <v>0.6618030030553399</v>
      </c>
      <c r="J11">
        <v>0.31633620743355961</v>
      </c>
      <c r="K11">
        <v>-31.259346925157146</v>
      </c>
      <c r="L11">
        <v>6.1037821646815216</v>
      </c>
      <c r="M11">
        <f>AVERAGE(I10:I11)</f>
        <v>0.6124038028037333</v>
      </c>
      <c r="N11">
        <f>SQRT(SUMPRODUCT(J10:J11,J10:J11)/COUNT(J10:J11))</f>
        <v>0.25192240753020351</v>
      </c>
      <c r="O11">
        <f>AVERAGE(K10:K11)</f>
        <v>-22.337765203499018</v>
      </c>
      <c r="P11">
        <f>SQRT(SUMPRODUCT(L10:L11,L10:L11)/COUNT(L10:L11))</f>
        <v>5.3653096450650528</v>
      </c>
      <c r="Q11">
        <f t="shared" si="0"/>
        <v>89.33819699694466</v>
      </c>
      <c r="R11">
        <f t="shared" si="1"/>
        <v>1.1550384562017795E-2</v>
      </c>
    </row>
    <row r="12" spans="1:18" x14ac:dyDescent="0.25">
      <c r="D12" t="s">
        <v>32</v>
      </c>
      <c r="G12">
        <v>6</v>
      </c>
      <c r="H12">
        <v>1</v>
      </c>
      <c r="I12">
        <v>12.89830378477879</v>
      </c>
      <c r="J12">
        <v>0.16658533771814307</v>
      </c>
      <c r="K12">
        <v>75.555964275507762</v>
      </c>
      <c r="L12">
        <v>4.5115292808017644</v>
      </c>
      <c r="Q12">
        <f t="shared" si="0"/>
        <v>77.10169621522121</v>
      </c>
      <c r="R12">
        <f t="shared" si="1"/>
        <v>0.22322125855593858</v>
      </c>
    </row>
    <row r="13" spans="1:18" x14ac:dyDescent="0.25">
      <c r="A13">
        <v>85.426078740099143</v>
      </c>
      <c r="B13">
        <v>76109</v>
      </c>
      <c r="C13">
        <v>7.0096883930102924E-2</v>
      </c>
      <c r="D13">
        <v>5.0810558357553361</v>
      </c>
      <c r="E13">
        <v>0.12427754947545393</v>
      </c>
      <c r="G13">
        <v>6</v>
      </c>
      <c r="H13">
        <v>2</v>
      </c>
      <c r="I13">
        <v>13.611943214713165</v>
      </c>
      <c r="J13">
        <v>0.33026276712913932</v>
      </c>
      <c r="K13">
        <v>59.2259638987518</v>
      </c>
      <c r="L13">
        <v>6.3919636911858948</v>
      </c>
      <c r="M13">
        <f>AVERAGE(I12:I13)</f>
        <v>13.255123499745977</v>
      </c>
      <c r="N13">
        <f>SQRT(SUMPRODUCT(J12:J13,J12:J13)/COUNT(J12:J13))</f>
        <v>0.26155703975850458</v>
      </c>
      <c r="O13">
        <f>AVERAGE(K12:K13)</f>
        <v>67.390964087129788</v>
      </c>
      <c r="P13">
        <f>SQRT(SUMPRODUCT(L12:L13,L12:L13)/COUNT(L12:L13))</f>
        <v>5.5322281352530327</v>
      </c>
      <c r="Q13">
        <f t="shared" si="0"/>
        <v>76.388056785286835</v>
      </c>
      <c r="R13">
        <f t="shared" si="1"/>
        <v>0.23534471172746196</v>
      </c>
    </row>
    <row r="14" spans="1:18" x14ac:dyDescent="0.25">
      <c r="A14">
        <v>71.506586116234104</v>
      </c>
      <c r="C14">
        <v>3.956166906363551</v>
      </c>
    </row>
    <row r="15" spans="1:18" x14ac:dyDescent="0.25">
      <c r="D15" t="s">
        <v>32</v>
      </c>
    </row>
    <row r="16" spans="1:18" x14ac:dyDescent="0.25">
      <c r="A16">
        <v>86.596082959570282</v>
      </c>
      <c r="B16">
        <v>72617</v>
      </c>
      <c r="C16">
        <v>0.10764522952046962</v>
      </c>
      <c r="D16">
        <v>5.5224908863096118</v>
      </c>
      <c r="E16">
        <v>0.1487240115295044</v>
      </c>
    </row>
    <row r="19" spans="1:5" x14ac:dyDescent="0.25">
      <c r="A19" s="2" t="s">
        <v>81</v>
      </c>
    </row>
    <row r="20" spans="1:5" x14ac:dyDescent="0.25">
      <c r="A20">
        <v>1.4441255309358496</v>
      </c>
      <c r="C20">
        <v>2.7212976015104755</v>
      </c>
    </row>
    <row r="21" spans="1:5" x14ac:dyDescent="0.25">
      <c r="D21" t="s">
        <v>32</v>
      </c>
    </row>
    <row r="22" spans="1:5" x14ac:dyDescent="0.25">
      <c r="A22">
        <v>82.810533982540861</v>
      </c>
      <c r="B22">
        <v>75992.5</v>
      </c>
      <c r="C22">
        <v>8.3678550094669443E-2</v>
      </c>
      <c r="D22">
        <v>1.0400505449357524</v>
      </c>
      <c r="E22">
        <v>0.12669081638118057</v>
      </c>
    </row>
    <row r="23" spans="1:5" x14ac:dyDescent="0.25">
      <c r="A23">
        <v>5.0277397259013128</v>
      </c>
      <c r="C23">
        <v>4.8950515382949185</v>
      </c>
    </row>
    <row r="24" spans="1:5" x14ac:dyDescent="0.25">
      <c r="D24" t="s">
        <v>32</v>
      </c>
    </row>
    <row r="25" spans="1:5" x14ac:dyDescent="0.25">
      <c r="A25">
        <v>84.342429038289083</v>
      </c>
      <c r="B25">
        <v>72258.5</v>
      </c>
      <c r="C25">
        <v>0.13387945807949536</v>
      </c>
      <c r="D25">
        <v>2.3062160990078553</v>
      </c>
      <c r="E25">
        <v>0.16423206905182453</v>
      </c>
    </row>
    <row r="28" spans="1:5" x14ac:dyDescent="0.25">
      <c r="A28" s="2" t="s">
        <v>82</v>
      </c>
    </row>
    <row r="29" spans="1:5" x14ac:dyDescent="0.25">
      <c r="A29">
        <v>-80.496872068429795</v>
      </c>
      <c r="C29">
        <v>0.32503838530004564</v>
      </c>
    </row>
    <row r="30" spans="1:5" x14ac:dyDescent="0.25">
      <c r="D30" t="s">
        <v>32</v>
      </c>
    </row>
    <row r="31" spans="1:5" x14ac:dyDescent="0.25">
      <c r="A31">
        <v>71.896236965493372</v>
      </c>
      <c r="B31">
        <v>74825</v>
      </c>
      <c r="C31">
        <v>0.1395161916436882</v>
      </c>
      <c r="D31">
        <v>-9.1174522117230481</v>
      </c>
      <c r="E31">
        <v>0.1749978316455133</v>
      </c>
    </row>
    <row r="32" spans="1:5" x14ac:dyDescent="0.25">
      <c r="A32">
        <v>-82.443066913490966</v>
      </c>
      <c r="C32">
        <v>0.45466992716861665</v>
      </c>
    </row>
    <row r="33" spans="1:5" x14ac:dyDescent="0.25">
      <c r="D33" t="s">
        <v>32</v>
      </c>
    </row>
    <row r="34" spans="1:5" x14ac:dyDescent="0.25">
      <c r="A34">
        <v>73.188110053298175</v>
      </c>
      <c r="B34">
        <v>71798.5</v>
      </c>
      <c r="C34">
        <v>0.26232979351831598</v>
      </c>
      <c r="D34">
        <v>-8.6316600642043113</v>
      </c>
      <c r="E34">
        <v>0.28280097934277987</v>
      </c>
    </row>
    <row r="37" spans="1:5" x14ac:dyDescent="0.25">
      <c r="A37" s="2" t="s">
        <v>83</v>
      </c>
    </row>
    <row r="38" spans="1:5" x14ac:dyDescent="0.25">
      <c r="A38">
        <v>-13.416183481840889</v>
      </c>
      <c r="C38">
        <v>4.5074314704687328</v>
      </c>
    </row>
    <row r="39" spans="1:5" x14ac:dyDescent="0.25">
      <c r="D39" t="s">
        <v>32</v>
      </c>
    </row>
    <row r="40" spans="1:5" x14ac:dyDescent="0.25">
      <c r="A40">
        <v>78.854003500688123</v>
      </c>
      <c r="B40">
        <v>75170</v>
      </c>
      <c r="C40">
        <v>0.10473371238955488</v>
      </c>
      <c r="D40">
        <v>0.5630046025521267</v>
      </c>
      <c r="E40">
        <v>0.16389387632910463</v>
      </c>
    </row>
    <row r="41" spans="1:5" x14ac:dyDescent="0.25">
      <c r="A41">
        <v>-31.259346925157146</v>
      </c>
      <c r="C41">
        <v>6.1037821646815216</v>
      </c>
    </row>
    <row r="42" spans="1:5" x14ac:dyDescent="0.25">
      <c r="D42" t="s">
        <v>32</v>
      </c>
    </row>
    <row r="43" spans="1:5" x14ac:dyDescent="0.25">
      <c r="A43">
        <v>79.992020198558663</v>
      </c>
      <c r="B43">
        <v>71594.5</v>
      </c>
      <c r="C43">
        <v>0.1856906539360095</v>
      </c>
      <c r="D43">
        <v>0.6618030030553399</v>
      </c>
      <c r="E43">
        <v>0.31633620743355961</v>
      </c>
    </row>
    <row r="46" spans="1:5" x14ac:dyDescent="0.25">
      <c r="A46" s="2" t="s">
        <v>84</v>
      </c>
    </row>
    <row r="47" spans="1:5" x14ac:dyDescent="0.25">
      <c r="A47">
        <v>75.555964275507762</v>
      </c>
      <c r="C47">
        <v>4.5115292808017644</v>
      </c>
    </row>
    <row r="48" spans="1:5" x14ac:dyDescent="0.25">
      <c r="D48" t="s">
        <v>32</v>
      </c>
    </row>
    <row r="49" spans="1:5" x14ac:dyDescent="0.25">
      <c r="A49">
        <v>84.029304329717377</v>
      </c>
      <c r="B49">
        <v>75068.5</v>
      </c>
      <c r="C49">
        <v>7.759963436947645E-2</v>
      </c>
      <c r="D49">
        <v>12.89830378477879</v>
      </c>
      <c r="E49">
        <v>0.16658533771814307</v>
      </c>
    </row>
    <row r="50" spans="1:5" x14ac:dyDescent="0.25">
      <c r="A50">
        <v>59.2259638987518</v>
      </c>
      <c r="C50">
        <v>6.3919636911858948</v>
      </c>
    </row>
    <row r="51" spans="1:5" x14ac:dyDescent="0.25">
      <c r="D51" t="s">
        <v>32</v>
      </c>
    </row>
    <row r="52" spans="1:5" x14ac:dyDescent="0.25">
      <c r="A52">
        <v>85.272012181157791</v>
      </c>
      <c r="B52">
        <v>71240</v>
      </c>
      <c r="C52">
        <v>0.12349536781390086</v>
      </c>
      <c r="D52">
        <v>13.611943214713165</v>
      </c>
      <c r="E52">
        <v>0.33026276712913932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1.1</vt:lpstr>
      <vt:lpstr>1.2</vt:lpstr>
      <vt:lpstr>1.3</vt:lpstr>
      <vt:lpstr>1.4</vt:lpstr>
      <vt:lpstr>1.5</vt:lpstr>
      <vt:lpstr>1.6</vt:lpstr>
      <vt:lpstr>1.7</vt:lpstr>
      <vt:lpstr>1.8</vt:lpstr>
      <vt:lpstr>2.13</vt:lpstr>
      <vt:lpstr>velocity</vt:lpstr>
      <vt:lpstr>impact</vt:lpstr>
      <vt:lpstr>contact</vt:lpstr>
      <vt:lpstr>mass-dims</vt:lpstr>
      <vt:lpstr>stone-dia-calib</vt:lpstr>
      <vt:lpstr>angles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Leung</dc:creator>
  <cp:lastModifiedBy>Derek Leung</cp:lastModifiedBy>
  <dcterms:created xsi:type="dcterms:W3CDTF">2020-04-02T00:17:24Z</dcterms:created>
  <dcterms:modified xsi:type="dcterms:W3CDTF">2024-11-07T23:39:16Z</dcterms:modified>
</cp:coreProperties>
</file>