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ge\OneDrive\Desktop\Data\"/>
    </mc:Choice>
  </mc:AlternateContent>
  <xr:revisionPtr revIDLastSave="106" documentId="114_{B7B0EA9B-B760-44EB-BA48-D108F020EAA6}" xr6:coauthVersionLast="45" xr6:coauthVersionMax="45" xr10:uidLastSave="{6053D5B8-AD28-42D3-89B0-F1646CF15BDD}"/>
  <bookViews>
    <workbookView xWindow="-108" yWindow="-108" windowWidth="23256" windowHeight="12576" xr2:uid="{17CA7525-1812-470C-9072-424CCF89B280}"/>
  </bookViews>
  <sheets>
    <sheet name="LICOR" sheetId="1" r:id="rId1"/>
    <sheet name="G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1" i="2" l="1"/>
  <c r="F136" i="2"/>
  <c r="F131" i="2"/>
  <c r="F126" i="2"/>
  <c r="F121" i="2"/>
  <c r="F116" i="2"/>
  <c r="F111" i="2"/>
  <c r="F106" i="2"/>
  <c r="F101" i="2"/>
  <c r="F96" i="2"/>
  <c r="F91" i="2"/>
  <c r="F86" i="2"/>
  <c r="F81" i="2"/>
  <c r="F76" i="2"/>
  <c r="F71" i="2"/>
  <c r="F66" i="2"/>
  <c r="F61" i="2"/>
  <c r="F56" i="2"/>
  <c r="F51" i="2"/>
  <c r="F46" i="2"/>
  <c r="F41" i="2"/>
  <c r="F36" i="2"/>
  <c r="F31" i="2"/>
  <c r="F26" i="2"/>
  <c r="F21" i="2"/>
  <c r="F16" i="2"/>
  <c r="F11" i="2"/>
  <c r="F6" i="2"/>
  <c r="F141" i="1"/>
  <c r="F136" i="1"/>
  <c r="F131" i="1"/>
  <c r="F126" i="1"/>
  <c r="F121" i="1"/>
  <c r="F116" i="1"/>
  <c r="F111" i="1"/>
  <c r="F106" i="1"/>
  <c r="F101" i="1"/>
  <c r="F96" i="1"/>
  <c r="F91" i="1"/>
  <c r="F86" i="1"/>
  <c r="F81" i="1"/>
  <c r="F76" i="1"/>
  <c r="F71" i="1"/>
  <c r="F66" i="1"/>
  <c r="F61" i="1"/>
  <c r="F56" i="1"/>
  <c r="F51" i="1"/>
  <c r="F46" i="1"/>
  <c r="F41" i="1"/>
  <c r="F36" i="1"/>
  <c r="F31" i="1"/>
  <c r="F26" i="1"/>
  <c r="F21" i="1"/>
  <c r="F16" i="1"/>
  <c r="F11" i="1"/>
  <c r="F6" i="1"/>
  <c r="O2" i="1" l="1"/>
  <c r="N2" i="1"/>
  <c r="R4" i="2"/>
  <c r="R22" i="2"/>
  <c r="R25" i="2"/>
  <c r="R24" i="2"/>
  <c r="R23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3" i="2"/>
  <c r="R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" i="2"/>
  <c r="T2" i="2"/>
  <c r="Q2" i="1"/>
  <c r="S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7" i="2"/>
  <c r="D38" i="2"/>
  <c r="D39" i="2"/>
  <c r="D40" i="2"/>
  <c r="D41" i="2"/>
  <c r="D42" i="2"/>
  <c r="D43" i="2"/>
  <c r="D44" i="2"/>
  <c r="D45" i="2"/>
  <c r="D4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2" i="2"/>
  <c r="N25" i="2"/>
  <c r="O25" i="2"/>
  <c r="J25" i="2"/>
  <c r="L25" i="2"/>
  <c r="P25" i="2"/>
  <c r="Q25" i="2"/>
  <c r="K25" i="2"/>
  <c r="N24" i="2"/>
  <c r="O24" i="2"/>
  <c r="J24" i="2"/>
  <c r="L24" i="2"/>
  <c r="P24" i="2"/>
  <c r="Q24" i="2"/>
  <c r="K24" i="2"/>
  <c r="N23" i="2"/>
  <c r="O23" i="2"/>
  <c r="J23" i="2"/>
  <c r="L23" i="2"/>
  <c r="P23" i="2"/>
  <c r="Q23" i="2"/>
  <c r="K23" i="2"/>
  <c r="N22" i="2"/>
  <c r="O22" i="2"/>
  <c r="J22" i="2"/>
  <c r="L22" i="2"/>
  <c r="P22" i="2"/>
  <c r="Q22" i="2"/>
  <c r="K22" i="2"/>
  <c r="N21" i="2"/>
  <c r="O21" i="2"/>
  <c r="J21" i="2"/>
  <c r="L21" i="2"/>
  <c r="P21" i="2"/>
  <c r="Q21" i="2"/>
  <c r="K21" i="2"/>
  <c r="N20" i="2"/>
  <c r="O20" i="2"/>
  <c r="J20" i="2"/>
  <c r="L20" i="2"/>
  <c r="P20" i="2"/>
  <c r="Q20" i="2"/>
  <c r="K20" i="2"/>
  <c r="N19" i="2"/>
  <c r="O19" i="2"/>
  <c r="J19" i="2"/>
  <c r="L19" i="2"/>
  <c r="P19" i="2"/>
  <c r="Q19" i="2"/>
  <c r="K19" i="2"/>
  <c r="N18" i="2"/>
  <c r="O18" i="2"/>
  <c r="J18" i="2"/>
  <c r="L18" i="2"/>
  <c r="P18" i="2"/>
  <c r="Q18" i="2"/>
  <c r="K18" i="2"/>
  <c r="N17" i="2"/>
  <c r="O17" i="2"/>
  <c r="J17" i="2"/>
  <c r="L17" i="2"/>
  <c r="P17" i="2"/>
  <c r="Q17" i="2"/>
  <c r="K17" i="2"/>
  <c r="N16" i="2"/>
  <c r="O16" i="2"/>
  <c r="J16" i="2"/>
  <c r="L16" i="2"/>
  <c r="P16" i="2"/>
  <c r="Q16" i="2"/>
  <c r="K16" i="2"/>
  <c r="N15" i="2"/>
  <c r="O15" i="2"/>
  <c r="J15" i="2"/>
  <c r="L15" i="2"/>
  <c r="P15" i="2"/>
  <c r="Q15" i="2"/>
  <c r="K15" i="2"/>
  <c r="N14" i="2"/>
  <c r="O14" i="2"/>
  <c r="J14" i="2"/>
  <c r="L14" i="2"/>
  <c r="P14" i="2"/>
  <c r="Q14" i="2"/>
  <c r="K14" i="2"/>
  <c r="N13" i="2"/>
  <c r="O13" i="2"/>
  <c r="J13" i="2"/>
  <c r="L13" i="2"/>
  <c r="P13" i="2"/>
  <c r="Q13" i="2"/>
  <c r="K13" i="2"/>
  <c r="N12" i="2"/>
  <c r="O12" i="2"/>
  <c r="J12" i="2"/>
  <c r="P12" i="2"/>
  <c r="Q12" i="2"/>
  <c r="K12" i="2"/>
  <c r="N11" i="2"/>
  <c r="O11" i="2"/>
  <c r="J11" i="2"/>
  <c r="P11" i="2"/>
  <c r="Q11" i="2"/>
  <c r="K11" i="2"/>
  <c r="N10" i="2"/>
  <c r="O10" i="2"/>
  <c r="J10" i="2"/>
  <c r="L10" i="2"/>
  <c r="P10" i="2"/>
  <c r="Q10" i="2"/>
  <c r="K10" i="2"/>
  <c r="N9" i="2"/>
  <c r="O9" i="2"/>
  <c r="J9" i="2"/>
  <c r="P9" i="2"/>
  <c r="Q9" i="2"/>
  <c r="K9" i="2"/>
  <c r="N8" i="2"/>
  <c r="O8" i="2"/>
  <c r="L8" i="2"/>
  <c r="P8" i="2"/>
  <c r="Q8" i="2"/>
  <c r="K8" i="2"/>
  <c r="N7" i="2"/>
  <c r="O7" i="2"/>
  <c r="J7" i="2"/>
  <c r="L7" i="2"/>
  <c r="P7" i="2"/>
  <c r="Q7" i="2"/>
  <c r="K7" i="2"/>
  <c r="N6" i="2"/>
  <c r="O6" i="2"/>
  <c r="J6" i="2"/>
  <c r="L6" i="2"/>
  <c r="P6" i="2"/>
  <c r="Q6" i="2"/>
  <c r="K6" i="2"/>
  <c r="N5" i="2"/>
  <c r="O5" i="2"/>
  <c r="J5" i="2"/>
  <c r="L5" i="2"/>
  <c r="P5" i="2"/>
  <c r="Q5" i="2"/>
  <c r="K5" i="2"/>
  <c r="N4" i="2"/>
  <c r="O4" i="2"/>
  <c r="J4" i="2"/>
  <c r="L4" i="2"/>
  <c r="P4" i="2"/>
  <c r="Q4" i="2"/>
  <c r="K4" i="2"/>
  <c r="N3" i="2"/>
  <c r="O3" i="2"/>
  <c r="J3" i="2"/>
  <c r="L3" i="2"/>
  <c r="P3" i="2"/>
  <c r="Q3" i="2"/>
  <c r="K3" i="2"/>
  <c r="N2" i="2"/>
  <c r="O2" i="2"/>
  <c r="J2" i="2"/>
  <c r="L2" i="2"/>
  <c r="P2" i="2"/>
  <c r="Q2" i="2"/>
  <c r="K2" i="2"/>
  <c r="R9" i="1"/>
  <c r="R8" i="1"/>
  <c r="S9" i="1"/>
  <c r="T9" i="1"/>
  <c r="Q9" i="1"/>
  <c r="P9" i="1"/>
  <c r="O9" i="1"/>
  <c r="N9" i="1"/>
  <c r="J9" i="1"/>
  <c r="K9" i="1"/>
  <c r="T11" i="1"/>
  <c r="T12" i="1"/>
  <c r="S11" i="1"/>
  <c r="S12" i="1"/>
  <c r="R11" i="1"/>
  <c r="R12" i="1"/>
  <c r="Q11" i="1"/>
  <c r="Q12" i="1"/>
  <c r="P11" i="1"/>
  <c r="P12" i="1"/>
  <c r="O11" i="1"/>
  <c r="O12" i="1"/>
  <c r="N12" i="1"/>
  <c r="N11" i="1"/>
  <c r="J12" i="1"/>
  <c r="J11" i="1"/>
  <c r="K12" i="1"/>
  <c r="K11" i="1"/>
  <c r="R5" i="1"/>
  <c r="D21" i="1"/>
  <c r="D20" i="1"/>
  <c r="D19" i="1"/>
  <c r="D18" i="1"/>
  <c r="D1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0" i="1"/>
  <c r="R7" i="1"/>
  <c r="R6" i="1"/>
  <c r="N23" i="1"/>
  <c r="O23" i="1"/>
  <c r="J23" i="1"/>
  <c r="L23" i="1"/>
  <c r="P23" i="1"/>
  <c r="Q23" i="1"/>
  <c r="S23" i="1"/>
  <c r="T23" i="1"/>
  <c r="K23" i="1"/>
  <c r="N21" i="1"/>
  <c r="O21" i="1"/>
  <c r="J21" i="1"/>
  <c r="L21" i="1"/>
  <c r="P21" i="1"/>
  <c r="Q21" i="1"/>
  <c r="S21" i="1"/>
  <c r="T21" i="1"/>
  <c r="K21" i="1"/>
  <c r="N25" i="1"/>
  <c r="O25" i="1"/>
  <c r="J25" i="1"/>
  <c r="L25" i="1"/>
  <c r="P25" i="1"/>
  <c r="Q25" i="1"/>
  <c r="S25" i="1"/>
  <c r="T25" i="1"/>
  <c r="K25" i="1"/>
  <c r="N20" i="1"/>
  <c r="O20" i="1"/>
  <c r="J20" i="1"/>
  <c r="L20" i="1"/>
  <c r="P20" i="1"/>
  <c r="Q20" i="1"/>
  <c r="S20" i="1"/>
  <c r="T20" i="1"/>
  <c r="K20" i="1"/>
  <c r="N22" i="1"/>
  <c r="O22" i="1"/>
  <c r="J22" i="1"/>
  <c r="L22" i="1"/>
  <c r="P22" i="1"/>
  <c r="Q22" i="1"/>
  <c r="S22" i="1"/>
  <c r="T22" i="1"/>
  <c r="K22" i="1"/>
  <c r="N24" i="1"/>
  <c r="O24" i="1"/>
  <c r="J24" i="1"/>
  <c r="L24" i="1"/>
  <c r="P24" i="1"/>
  <c r="Q24" i="1"/>
  <c r="S24" i="1"/>
  <c r="T24" i="1"/>
  <c r="K24" i="1"/>
  <c r="N15" i="1"/>
  <c r="O15" i="1"/>
  <c r="J15" i="1"/>
  <c r="L15" i="1"/>
  <c r="P15" i="1"/>
  <c r="Q15" i="1"/>
  <c r="S15" i="1"/>
  <c r="T15" i="1"/>
  <c r="K15" i="1"/>
  <c r="N16" i="1"/>
  <c r="O16" i="1"/>
  <c r="J16" i="1"/>
  <c r="L16" i="1"/>
  <c r="P16" i="1"/>
  <c r="Q16" i="1"/>
  <c r="S16" i="1"/>
  <c r="T16" i="1"/>
  <c r="K16" i="1"/>
  <c r="N14" i="1"/>
  <c r="O14" i="1"/>
  <c r="J14" i="1"/>
  <c r="L14" i="1"/>
  <c r="P14" i="1"/>
  <c r="Q14" i="1"/>
  <c r="S14" i="1"/>
  <c r="T14" i="1"/>
  <c r="K14" i="1"/>
  <c r="N19" i="1"/>
  <c r="O19" i="1"/>
  <c r="J19" i="1"/>
  <c r="L19" i="1"/>
  <c r="P19" i="1"/>
  <c r="Q19" i="1"/>
  <c r="S19" i="1"/>
  <c r="T19" i="1"/>
  <c r="K19" i="1"/>
  <c r="N18" i="1"/>
  <c r="O18" i="1"/>
  <c r="J18" i="1"/>
  <c r="L18" i="1"/>
  <c r="P18" i="1"/>
  <c r="Q18" i="1"/>
  <c r="S18" i="1"/>
  <c r="T18" i="1"/>
  <c r="K18" i="1"/>
  <c r="N17" i="1"/>
  <c r="O17" i="1"/>
  <c r="J17" i="1"/>
  <c r="L17" i="1"/>
  <c r="P17" i="1"/>
  <c r="Q17" i="1"/>
  <c r="S17" i="1"/>
  <c r="T17" i="1"/>
  <c r="K17" i="1"/>
  <c r="N8" i="1"/>
  <c r="O8" i="1"/>
  <c r="J8" i="1"/>
  <c r="L8" i="1"/>
  <c r="P8" i="1"/>
  <c r="Q8" i="1"/>
  <c r="S8" i="1"/>
  <c r="T8" i="1"/>
  <c r="K8" i="1"/>
  <c r="N10" i="1"/>
  <c r="O10" i="1"/>
  <c r="J10" i="1"/>
  <c r="L10" i="1"/>
  <c r="P10" i="1"/>
  <c r="Q10" i="1"/>
  <c r="S10" i="1"/>
  <c r="T10" i="1"/>
  <c r="K10" i="1"/>
  <c r="N5" i="1"/>
  <c r="O5" i="1"/>
  <c r="J5" i="1"/>
  <c r="L5" i="1"/>
  <c r="P5" i="1"/>
  <c r="Q5" i="1"/>
  <c r="S5" i="1"/>
  <c r="T5" i="1"/>
  <c r="K5" i="1"/>
  <c r="N6" i="1"/>
  <c r="O6" i="1"/>
  <c r="J6" i="1"/>
  <c r="L6" i="1"/>
  <c r="P6" i="1"/>
  <c r="Q6" i="1"/>
  <c r="S6" i="1"/>
  <c r="T6" i="1"/>
  <c r="K6" i="1"/>
  <c r="N7" i="1"/>
  <c r="O7" i="1"/>
  <c r="J7" i="1"/>
  <c r="L7" i="1"/>
  <c r="P7" i="1"/>
  <c r="Q7" i="1"/>
  <c r="S7" i="1"/>
  <c r="T7" i="1"/>
  <c r="K7" i="1"/>
  <c r="N13" i="1"/>
  <c r="O13" i="1"/>
  <c r="J13" i="1"/>
  <c r="L13" i="1"/>
  <c r="P13" i="1"/>
  <c r="Q13" i="1"/>
  <c r="S13" i="1"/>
  <c r="T13" i="1"/>
  <c r="K13" i="1"/>
  <c r="D61" i="1"/>
  <c r="D60" i="1"/>
  <c r="D59" i="1"/>
  <c r="D58" i="1"/>
  <c r="D57" i="1"/>
  <c r="D31" i="1"/>
  <c r="D30" i="1"/>
  <c r="D29" i="1"/>
  <c r="D28" i="1"/>
  <c r="D27" i="1"/>
  <c r="D26" i="1"/>
  <c r="D25" i="1"/>
  <c r="D24" i="1"/>
  <c r="D23" i="1"/>
  <c r="D2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81" i="1"/>
  <c r="D80" i="1"/>
  <c r="D79" i="1"/>
  <c r="D78" i="1"/>
  <c r="D77" i="1"/>
  <c r="D86" i="1"/>
  <c r="D85" i="1"/>
  <c r="D84" i="1"/>
  <c r="D83" i="1"/>
  <c r="D82" i="1"/>
  <c r="D91" i="1"/>
  <c r="D90" i="1"/>
  <c r="D89" i="1"/>
  <c r="D88" i="1"/>
  <c r="D87" i="1"/>
  <c r="D66" i="1"/>
  <c r="D65" i="1"/>
  <c r="D64" i="1"/>
  <c r="D63" i="1"/>
  <c r="D62" i="1"/>
  <c r="D76" i="1"/>
  <c r="D75" i="1"/>
  <c r="D74" i="1"/>
  <c r="D73" i="1"/>
  <c r="D72" i="1"/>
  <c r="D71" i="1"/>
  <c r="D70" i="1"/>
  <c r="D69" i="1"/>
  <c r="D68" i="1"/>
  <c r="D67" i="1"/>
  <c r="D116" i="1"/>
  <c r="D115" i="1"/>
  <c r="D114" i="1"/>
  <c r="D113" i="1"/>
  <c r="D112" i="1"/>
  <c r="D106" i="1"/>
  <c r="D105" i="1"/>
  <c r="D104" i="1"/>
  <c r="D103" i="1"/>
  <c r="D102" i="1"/>
  <c r="D96" i="1"/>
  <c r="D95" i="1"/>
  <c r="D94" i="1"/>
  <c r="D93" i="1"/>
  <c r="D92" i="1"/>
  <c r="D121" i="1"/>
  <c r="D120" i="1"/>
  <c r="D119" i="1"/>
  <c r="D118" i="1"/>
  <c r="D117" i="1"/>
  <c r="D101" i="1"/>
  <c r="D100" i="1"/>
  <c r="D99" i="1"/>
  <c r="D98" i="1"/>
  <c r="D97" i="1"/>
  <c r="D111" i="1"/>
  <c r="D110" i="1"/>
  <c r="D109" i="1"/>
  <c r="D108" i="1"/>
  <c r="D107" i="1"/>
  <c r="D16" i="1"/>
  <c r="D13" i="1"/>
  <c r="R4" i="1"/>
  <c r="N4" i="1"/>
  <c r="O4" i="1"/>
  <c r="J4" i="1"/>
  <c r="L4" i="1"/>
  <c r="P4" i="1"/>
  <c r="Q4" i="1"/>
  <c r="S4" i="1"/>
  <c r="T4" i="1"/>
  <c r="K4" i="1"/>
  <c r="D15" i="1"/>
  <c r="D14" i="1"/>
  <c r="D12" i="1"/>
  <c r="R2" i="1"/>
  <c r="D11" i="1"/>
  <c r="D8" i="1"/>
  <c r="R3" i="1"/>
  <c r="N3" i="1"/>
  <c r="O3" i="1"/>
  <c r="J3" i="1"/>
  <c r="L3" i="1"/>
  <c r="P3" i="1"/>
  <c r="Q3" i="1"/>
  <c r="S3" i="1"/>
  <c r="T3" i="1"/>
  <c r="K3" i="1"/>
  <c r="D10" i="1"/>
  <c r="D9" i="1"/>
  <c r="D7" i="1"/>
  <c r="D2" i="1"/>
  <c r="J2" i="1"/>
  <c r="L2" i="1"/>
  <c r="P2" i="1"/>
  <c r="T2" i="1"/>
  <c r="K2" i="1"/>
  <c r="D6" i="1"/>
  <c r="D5" i="1"/>
  <c r="D4" i="1"/>
  <c r="D3" i="1"/>
</calcChain>
</file>

<file path=xl/sharedStrings.xml><?xml version="1.0" encoding="utf-8"?>
<sst xmlns="http://schemas.openxmlformats.org/spreadsheetml/2006/main" count="406" uniqueCount="50">
  <si>
    <t>Chamber</t>
  </si>
  <si>
    <t>time</t>
  </si>
  <si>
    <t>Area</t>
  </si>
  <si>
    <t>Concentration</t>
  </si>
  <si>
    <t>Air T</t>
  </si>
  <si>
    <t>Soil T</t>
  </si>
  <si>
    <t>Lab T</t>
  </si>
  <si>
    <t>Chamber Top Volume</t>
  </si>
  <si>
    <t>Chamber Base Volume</t>
  </si>
  <si>
    <t xml:space="preserve">Total Chamber Volume </t>
  </si>
  <si>
    <t>Tcorr</t>
  </si>
  <si>
    <t>Ngas</t>
  </si>
  <si>
    <t>CO2 slope</t>
  </si>
  <si>
    <t>CO2 flux (mol/m2/min)</t>
  </si>
  <si>
    <t>CO2 flux (mg/m2/hour</t>
  </si>
  <si>
    <t>NNHA</t>
  </si>
  <si>
    <t>AS</t>
  </si>
  <si>
    <t>NNHB</t>
  </si>
  <si>
    <t>NNHC</t>
  </si>
  <si>
    <t>NNLA</t>
  </si>
  <si>
    <t>NNLB</t>
  </si>
  <si>
    <t>NNLC</t>
  </si>
  <si>
    <t>NEHA</t>
  </si>
  <si>
    <t>NEHB</t>
  </si>
  <si>
    <t>NEHC</t>
  </si>
  <si>
    <t>CNHA</t>
  </si>
  <si>
    <t>CNHB</t>
  </si>
  <si>
    <t>CNHC</t>
  </si>
  <si>
    <t>CNLA</t>
  </si>
  <si>
    <t>CNLB</t>
  </si>
  <si>
    <t>CNLC</t>
  </si>
  <si>
    <t>CSHA</t>
  </si>
  <si>
    <t>CSHB</t>
  </si>
  <si>
    <t>CSHC</t>
  </si>
  <si>
    <t>CSLA</t>
  </si>
  <si>
    <t>CSLB</t>
  </si>
  <si>
    <t>CSLC</t>
  </si>
  <si>
    <t>NELA</t>
  </si>
  <si>
    <t>NELB</t>
  </si>
  <si>
    <t>NELC</t>
  </si>
  <si>
    <t>CH4 slope</t>
  </si>
  <si>
    <t>CH4 flux (mol/m2/min)</t>
  </si>
  <si>
    <t>CH4 flux (mg/m2/hour</t>
  </si>
  <si>
    <t>area</t>
  </si>
  <si>
    <t>CH4 ppm</t>
  </si>
  <si>
    <t>CO2 ppm</t>
  </si>
  <si>
    <t>Date</t>
  </si>
  <si>
    <t>NA</t>
  </si>
  <si>
    <t>date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</si>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</sst>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LICOR!$X$1</c:f>
              <c:strCache>
                <c:ptCount val="1"/>
                <c:pt idx="0">
                  <c:v>CO2 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96325459317589E-2"/>
                  <c:y val="-0.15875984251968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LICOR!$W$2:$W$31</c:f>
              <c:numCache>
                <c:formatCode>General</c:formatCode>
                <c:ptCount val="30"/>
                <c:pt idx="0">
                  <c:v>161.38</c:v>
                </c:pt>
                <c:pt idx="1">
                  <c:v>160.01</c:v>
                </c:pt>
                <c:pt idx="2">
                  <c:v>161.06</c:v>
                </c:pt>
                <c:pt idx="3">
                  <c:v>162.91</c:v>
                </c:pt>
                <c:pt idx="4">
                  <c:v>156.47</c:v>
                </c:pt>
                <c:pt idx="5">
                  <c:v>160.55000000000001</c:v>
                </c:pt>
                <c:pt idx="6">
                  <c:v>160.41999999999999</c:v>
                </c:pt>
                <c:pt idx="7">
                  <c:v>160.36000000000001</c:v>
                </c:pt>
                <c:pt idx="8">
                  <c:v>160.24</c:v>
                </c:pt>
                <c:pt idx="9">
                  <c:v>160.12</c:v>
                </c:pt>
                <c:pt idx="10">
                  <c:v>161.15</c:v>
                </c:pt>
                <c:pt idx="11">
                  <c:v>161.37</c:v>
                </c:pt>
                <c:pt idx="12">
                  <c:v>160.80000000000001</c:v>
                </c:pt>
                <c:pt idx="13">
                  <c:v>158.31</c:v>
                </c:pt>
                <c:pt idx="14">
                  <c:v>161.11000000000001</c:v>
                </c:pt>
                <c:pt idx="15">
                  <c:v>164.86</c:v>
                </c:pt>
                <c:pt idx="16">
                  <c:v>84.75</c:v>
                </c:pt>
                <c:pt idx="17">
                  <c:v>84.814999999999998</c:v>
                </c:pt>
                <c:pt idx="18">
                  <c:v>84.878</c:v>
                </c:pt>
                <c:pt idx="19">
                  <c:v>83.234999999999999</c:v>
                </c:pt>
                <c:pt idx="20">
                  <c:v>82.323999999999998</c:v>
                </c:pt>
                <c:pt idx="21">
                  <c:v>84.638000000000005</c:v>
                </c:pt>
                <c:pt idx="22">
                  <c:v>33.31</c:v>
                </c:pt>
                <c:pt idx="23">
                  <c:v>33.991999999999997</c:v>
                </c:pt>
                <c:pt idx="24">
                  <c:v>33.869999999999997</c:v>
                </c:pt>
                <c:pt idx="25">
                  <c:v>34.034999999999997</c:v>
                </c:pt>
                <c:pt idx="26">
                  <c:v>34.231999999999999</c:v>
                </c:pt>
                <c:pt idx="27">
                  <c:v>34.012</c:v>
                </c:pt>
                <c:pt idx="28">
                  <c:v>34.154000000000003</c:v>
                </c:pt>
                <c:pt idx="29">
                  <c:v>34.085000000000001</c:v>
                </c:pt>
              </c:numCache>
            </c:numRef>
          </c:xVal>
          <c:yVal>
            <c:numRef>
              <c:f>LICOR!$X$2:$X$31</c:f>
              <c:numCache>
                <c:formatCode>General</c:formatCode>
                <c:ptCount val="3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1000.5</c:v>
                </c:pt>
                <c:pt idx="23">
                  <c:v>1000.5</c:v>
                </c:pt>
                <c:pt idx="24">
                  <c:v>1000.5</c:v>
                </c:pt>
                <c:pt idx="25">
                  <c:v>1000.5</c:v>
                </c:pt>
                <c:pt idx="26">
                  <c:v>1000.5</c:v>
                </c:pt>
                <c:pt idx="27">
                  <c:v>1000.5</c:v>
                </c:pt>
                <c:pt idx="28">
                  <c:v>1000.5</c:v>
                </c:pt>
                <c:pt idx="29">
                  <c:v>1000.5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9-45BD-8B92-B3B5B527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80960"/>
        <c:axId val="604227400"/>
      </c:scatterChart>
      <c:valAx>
        <c:axId val="560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7400"/>
        <c:crosses val="autoZero"/>
        <c:crossBetween val="midCat"/>
      </c:valAx>
      <c:valAx>
        <c:axId val="6042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PPM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461067366579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GC!$W$2:$W$80</c:f>
              <c:numCache>
                <c:formatCode>General</c:formatCode>
                <c:ptCount val="79"/>
                <c:pt idx="0">
                  <c:v>15679</c:v>
                </c:pt>
                <c:pt idx="1">
                  <c:v>15841</c:v>
                </c:pt>
                <c:pt idx="2">
                  <c:v>15694</c:v>
                </c:pt>
                <c:pt idx="3">
                  <c:v>15728</c:v>
                </c:pt>
                <c:pt idx="4">
                  <c:v>15907</c:v>
                </c:pt>
                <c:pt idx="5">
                  <c:v>15715</c:v>
                </c:pt>
                <c:pt idx="6">
                  <c:v>15859</c:v>
                </c:pt>
                <c:pt idx="7">
                  <c:v>15874</c:v>
                </c:pt>
                <c:pt idx="8">
                  <c:v>15721</c:v>
                </c:pt>
                <c:pt idx="9">
                  <c:v>15860</c:v>
                </c:pt>
                <c:pt idx="10">
                  <c:v>15821</c:v>
                </c:pt>
                <c:pt idx="11">
                  <c:v>15586</c:v>
                </c:pt>
                <c:pt idx="12">
                  <c:v>15588</c:v>
                </c:pt>
                <c:pt idx="13">
                  <c:v>15890</c:v>
                </c:pt>
                <c:pt idx="14">
                  <c:v>15721</c:v>
                </c:pt>
                <c:pt idx="15">
                  <c:v>15492</c:v>
                </c:pt>
                <c:pt idx="16">
                  <c:v>15652</c:v>
                </c:pt>
                <c:pt idx="17">
                  <c:v>15626</c:v>
                </c:pt>
                <c:pt idx="18">
                  <c:v>15765</c:v>
                </c:pt>
                <c:pt idx="19">
                  <c:v>15591</c:v>
                </c:pt>
                <c:pt idx="20">
                  <c:v>15628</c:v>
                </c:pt>
                <c:pt idx="21">
                  <c:v>15801</c:v>
                </c:pt>
                <c:pt idx="22">
                  <c:v>15801</c:v>
                </c:pt>
                <c:pt idx="23">
                  <c:v>15607</c:v>
                </c:pt>
                <c:pt idx="24">
                  <c:v>15414</c:v>
                </c:pt>
                <c:pt idx="25">
                  <c:v>15656</c:v>
                </c:pt>
                <c:pt idx="26">
                  <c:v>15409</c:v>
                </c:pt>
                <c:pt idx="27">
                  <c:v>15673</c:v>
                </c:pt>
                <c:pt idx="28">
                  <c:v>15695</c:v>
                </c:pt>
                <c:pt idx="29">
                  <c:v>15720</c:v>
                </c:pt>
                <c:pt idx="30">
                  <c:v>15646</c:v>
                </c:pt>
                <c:pt idx="31">
                  <c:v>15824</c:v>
                </c:pt>
                <c:pt idx="32">
                  <c:v>15521</c:v>
                </c:pt>
                <c:pt idx="33">
                  <c:v>1608</c:v>
                </c:pt>
                <c:pt idx="34">
                  <c:v>1629</c:v>
                </c:pt>
                <c:pt idx="35">
                  <c:v>1617</c:v>
                </c:pt>
                <c:pt idx="36">
                  <c:v>1603</c:v>
                </c:pt>
                <c:pt idx="37">
                  <c:v>1657</c:v>
                </c:pt>
                <c:pt idx="38">
                  <c:v>1613</c:v>
                </c:pt>
                <c:pt idx="39">
                  <c:v>1706</c:v>
                </c:pt>
                <c:pt idx="40">
                  <c:v>1639</c:v>
                </c:pt>
                <c:pt idx="41">
                  <c:v>1634</c:v>
                </c:pt>
                <c:pt idx="42">
                  <c:v>1641</c:v>
                </c:pt>
                <c:pt idx="43">
                  <c:v>1641</c:v>
                </c:pt>
                <c:pt idx="44">
                  <c:v>1648</c:v>
                </c:pt>
                <c:pt idx="45">
                  <c:v>1666</c:v>
                </c:pt>
                <c:pt idx="46">
                  <c:v>1675</c:v>
                </c:pt>
                <c:pt idx="47">
                  <c:v>1651</c:v>
                </c:pt>
                <c:pt idx="48">
                  <c:v>1691</c:v>
                </c:pt>
                <c:pt idx="49">
                  <c:v>1703</c:v>
                </c:pt>
                <c:pt idx="50">
                  <c:v>1669</c:v>
                </c:pt>
                <c:pt idx="51">
                  <c:v>1643</c:v>
                </c:pt>
                <c:pt idx="52">
                  <c:v>1644</c:v>
                </c:pt>
                <c:pt idx="53">
                  <c:v>2998</c:v>
                </c:pt>
                <c:pt idx="54">
                  <c:v>2960</c:v>
                </c:pt>
                <c:pt idx="55">
                  <c:v>3016</c:v>
                </c:pt>
                <c:pt idx="56">
                  <c:v>3089</c:v>
                </c:pt>
                <c:pt idx="57">
                  <c:v>3078</c:v>
                </c:pt>
                <c:pt idx="58">
                  <c:v>3038</c:v>
                </c:pt>
                <c:pt idx="59">
                  <c:v>3079</c:v>
                </c:pt>
                <c:pt idx="60">
                  <c:v>2957</c:v>
                </c:pt>
                <c:pt idx="61">
                  <c:v>2956</c:v>
                </c:pt>
                <c:pt idx="62">
                  <c:v>2968</c:v>
                </c:pt>
                <c:pt idx="63">
                  <c:v>3001</c:v>
                </c:pt>
                <c:pt idx="64">
                  <c:v>3019</c:v>
                </c:pt>
                <c:pt idx="65">
                  <c:v>3019</c:v>
                </c:pt>
                <c:pt idx="66">
                  <c:v>3025</c:v>
                </c:pt>
                <c:pt idx="67">
                  <c:v>3016</c:v>
                </c:pt>
                <c:pt idx="68">
                  <c:v>3012</c:v>
                </c:pt>
                <c:pt idx="69">
                  <c:v>3040</c:v>
                </c:pt>
                <c:pt idx="70">
                  <c:v>2939</c:v>
                </c:pt>
                <c:pt idx="71">
                  <c:v>3033</c:v>
                </c:pt>
                <c:pt idx="72">
                  <c:v>2988</c:v>
                </c:pt>
                <c:pt idx="73">
                  <c:v>2959</c:v>
                </c:pt>
                <c:pt idx="74">
                  <c:v>3056</c:v>
                </c:pt>
                <c:pt idx="75">
                  <c:v>2988</c:v>
                </c:pt>
                <c:pt idx="76">
                  <c:v>2967</c:v>
                </c:pt>
                <c:pt idx="77">
                  <c:v>2973</c:v>
                </c:pt>
                <c:pt idx="78">
                  <c:v>2941</c:v>
                </c:pt>
              </c:numCache>
            </c:numRef>
          </c:xVal>
          <c:yVal>
            <c:numRef>
              <c:f>GC!$X$2:$X$80</c:f>
              <c:numCache>
                <c:formatCode>General</c:formatCode>
                <c:ptCount val="7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4-4C88-94BE-7A44F185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15712"/>
        <c:axId val="281017680"/>
      </c:scatterChart>
      <c:valAx>
        <c:axId val="2810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7680"/>
        <c:crosses val="autoZero"/>
        <c:crossBetween val="midCat"/>
      </c:valAx>
      <c:valAx>
        <c:axId val="281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26</xdr:row>
      <xdr:rowOff>118110</xdr:rowOff>
    </xdr:from>
    <xdr:to>
      <xdr:col>17</xdr:col>
      <xdr:colOff>510540</xdr:colOff>
      <xdr:row>41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F0131-EF00-4A40-A061-2AB13231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27</xdr:row>
      <xdr:rowOff>34290</xdr:rowOff>
    </xdr:from>
    <xdr:to>
      <xdr:col>17</xdr:col>
      <xdr:colOff>525780</xdr:colOff>
      <xdr:row>42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F927-7D29-4648-B6FD-4D233769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5DDD-B501-449C-AC06-B67A74EE7C1C}">
  <dimension ref="A1:X141"/>
  <sheetViews>
    <sheetView tabSelected="1" topLeftCell="A11" workbookViewId="0">
      <selection activeCell="F1" sqref="F1:F141"/>
    </sheetView>
  </sheetViews>
  <sheetFormatPr defaultRowHeight="14.4" x14ac:dyDescent="0.3"/>
  <cols>
    <col min="18" max="18" width="12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s="2" t="s">
        <v>49</v>
      </c>
      <c r="H1" t="s">
        <v>48</v>
      </c>
      <c r="I1" t="s">
        <v>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W1" t="s">
        <v>43</v>
      </c>
      <c r="X1" t="s">
        <v>45</v>
      </c>
    </row>
    <row r="2" spans="1:24" x14ac:dyDescent="0.3">
      <c r="A2" t="s">
        <v>15</v>
      </c>
      <c r="B2" t="s">
        <v>16</v>
      </c>
      <c r="C2">
        <v>16.605</v>
      </c>
      <c r="D2">
        <f t="shared" ref="D2:D21" si="0">(31.689*C2)-102.46</f>
        <v>423.73584499999998</v>
      </c>
      <c r="H2">
        <v>20190830</v>
      </c>
      <c r="I2" t="s">
        <v>15</v>
      </c>
      <c r="J2">
        <f t="shared" ref="J2:J7" si="1">26.5+273</f>
        <v>299.5</v>
      </c>
      <c r="K2">
        <f>34.25+273</f>
        <v>307.25</v>
      </c>
      <c r="L2">
        <f t="shared" ref="L2:L8" si="2">273+21.1</f>
        <v>294.10000000000002</v>
      </c>
      <c r="M2">
        <v>4.4000000000000004</v>
      </c>
      <c r="N2">
        <f>2.375*27.5*27.5/1000</f>
        <v>1.79609375</v>
      </c>
      <c r="O2">
        <f t="shared" ref="O2:O9" si="3">N2+M2</f>
        <v>6.1960937500000002</v>
      </c>
      <c r="P2">
        <f t="shared" ref="P2:P9" si="4">J2/L2</f>
        <v>1.0183611016660998</v>
      </c>
      <c r="Q2">
        <f t="shared" ref="Q2:Q9" si="5">(O2/22.4)*P2</f>
        <v>0.28169021684269802</v>
      </c>
      <c r="R2">
        <f>(D6-D3)/45/1000000</f>
        <v>2.203441799999997E-6</v>
      </c>
      <c r="S2">
        <f>R2*Q2*60/0.075625</f>
        <v>4.9244667645006069E-4</v>
      </c>
      <c r="T2">
        <f t="shared" ref="T2:T9" si="6">S2*44*1000</f>
        <v>21.667653763802669</v>
      </c>
      <c r="W2">
        <v>161.38</v>
      </c>
      <c r="X2">
        <v>5000</v>
      </c>
    </row>
    <row r="3" spans="1:24" x14ac:dyDescent="0.3">
      <c r="A3" t="s">
        <v>15</v>
      </c>
      <c r="B3">
        <v>0</v>
      </c>
      <c r="C3">
        <v>17.111000000000001</v>
      </c>
      <c r="D3">
        <f t="shared" si="0"/>
        <v>439.77047900000008</v>
      </c>
      <c r="H3">
        <v>20190830</v>
      </c>
      <c r="I3" t="s">
        <v>17</v>
      </c>
      <c r="J3">
        <f t="shared" si="1"/>
        <v>299.5</v>
      </c>
      <c r="K3">
        <f>32.45+273</f>
        <v>305.45</v>
      </c>
      <c r="L3">
        <f t="shared" si="2"/>
        <v>294.10000000000002</v>
      </c>
      <c r="M3">
        <v>4.4000000000000004</v>
      </c>
      <c r="N3">
        <f>0.625*27.5*27.5/1000</f>
        <v>0.47265625</v>
      </c>
      <c r="O3">
        <f t="shared" si="3"/>
        <v>4.8726562500000004</v>
      </c>
      <c r="P3">
        <f t="shared" si="4"/>
        <v>1.0183611016660998</v>
      </c>
      <c r="Q3">
        <f t="shared" si="5"/>
        <v>0.22152337441027711</v>
      </c>
      <c r="R3">
        <f>(D11-D8)/45/1000000</f>
        <v>1.2795314E-6</v>
      </c>
      <c r="S3">
        <f t="shared" ref="S3:S9" si="7">R3*Q3*60/0.075625</f>
        <v>2.2488286682333041E-4</v>
      </c>
      <c r="T3">
        <f t="shared" si="6"/>
        <v>9.8948461402265373</v>
      </c>
      <c r="W3">
        <v>160.01</v>
      </c>
      <c r="X3">
        <v>5000</v>
      </c>
    </row>
    <row r="4" spans="1:24" x14ac:dyDescent="0.3">
      <c r="A4" t="s">
        <v>15</v>
      </c>
      <c r="B4">
        <v>15</v>
      </c>
      <c r="C4">
        <v>19.609000000000002</v>
      </c>
      <c r="D4">
        <f t="shared" si="0"/>
        <v>518.92960100000005</v>
      </c>
      <c r="H4">
        <v>20190830</v>
      </c>
      <c r="I4" t="s">
        <v>18</v>
      </c>
      <c r="J4">
        <f t="shared" si="1"/>
        <v>299.5</v>
      </c>
      <c r="K4">
        <f>33.1+273</f>
        <v>306.10000000000002</v>
      </c>
      <c r="L4">
        <f t="shared" si="2"/>
        <v>294.10000000000002</v>
      </c>
      <c r="M4">
        <v>12.5</v>
      </c>
      <c r="N4">
        <f>0.0625*27.5*27.5/1000</f>
        <v>4.7265624999999999E-2</v>
      </c>
      <c r="O4">
        <f t="shared" si="3"/>
        <v>12.547265625</v>
      </c>
      <c r="P4">
        <f t="shared" si="4"/>
        <v>1.0183611016660998</v>
      </c>
      <c r="Q4">
        <f t="shared" si="5"/>
        <v>0.57043068057018687</v>
      </c>
      <c r="R4">
        <f>(D16-D13)/45/1000000</f>
        <v>2.5351200000000064E-8</v>
      </c>
      <c r="S4">
        <f t="shared" si="7"/>
        <v>1.1473271221900924E-5</v>
      </c>
      <c r="T4">
        <f t="shared" si="6"/>
        <v>0.50482393376364065</v>
      </c>
      <c r="W4">
        <v>161.06</v>
      </c>
      <c r="X4">
        <v>5000</v>
      </c>
    </row>
    <row r="5" spans="1:24" x14ac:dyDescent="0.3">
      <c r="A5" t="s">
        <v>15</v>
      </c>
      <c r="B5">
        <v>30</v>
      </c>
      <c r="C5">
        <v>20.186</v>
      </c>
      <c r="D5">
        <f t="shared" si="0"/>
        <v>537.21415400000001</v>
      </c>
      <c r="H5">
        <v>20190830</v>
      </c>
      <c r="I5" t="s">
        <v>19</v>
      </c>
      <c r="J5">
        <f t="shared" si="1"/>
        <v>299.5</v>
      </c>
      <c r="K5">
        <f>31.25+273</f>
        <v>304.25</v>
      </c>
      <c r="L5">
        <f t="shared" si="2"/>
        <v>294.10000000000002</v>
      </c>
      <c r="M5">
        <v>4.4000000000000004</v>
      </c>
      <c r="N5">
        <f>1.375*27.5*27.5/1000</f>
        <v>1.03984375</v>
      </c>
      <c r="O5">
        <f t="shared" si="3"/>
        <v>5.4398437500000005</v>
      </c>
      <c r="P5">
        <f t="shared" si="4"/>
        <v>1.0183611016660998</v>
      </c>
      <c r="Q5">
        <f t="shared" si="5"/>
        <v>0.24730916402417183</v>
      </c>
      <c r="R5">
        <f>(D21-D18)/45/1000000</f>
        <v>1.17981668E-5</v>
      </c>
      <c r="S5">
        <f t="shared" si="7"/>
        <v>2.3149446095807511E-3</v>
      </c>
      <c r="T5">
        <f t="shared" si="6"/>
        <v>101.85756282155305</v>
      </c>
      <c r="W5">
        <v>162.91</v>
      </c>
      <c r="X5">
        <v>5000</v>
      </c>
    </row>
    <row r="6" spans="1:24" x14ac:dyDescent="0.3">
      <c r="A6" t="s">
        <v>15</v>
      </c>
      <c r="B6">
        <v>45</v>
      </c>
      <c r="C6">
        <v>20.239999999999998</v>
      </c>
      <c r="D6">
        <f t="shared" si="0"/>
        <v>538.92535999999996</v>
      </c>
      <c r="F6">
        <f>RSQ(B3:B6,C3:C6)</f>
        <v>0.75728642978433858</v>
      </c>
      <c r="H6">
        <v>20190830</v>
      </c>
      <c r="I6" t="s">
        <v>20</v>
      </c>
      <c r="J6">
        <f t="shared" si="1"/>
        <v>299.5</v>
      </c>
      <c r="K6">
        <f>32.45+273</f>
        <v>305.45</v>
      </c>
      <c r="L6">
        <f t="shared" si="2"/>
        <v>294.10000000000002</v>
      </c>
      <c r="M6">
        <v>4.4000000000000004</v>
      </c>
      <c r="N6">
        <f>2.875*27.5*27.5/1000</f>
        <v>2.1742187500000001</v>
      </c>
      <c r="O6">
        <f t="shared" si="3"/>
        <v>6.57421875</v>
      </c>
      <c r="P6">
        <f t="shared" si="4"/>
        <v>1.0183611016660998</v>
      </c>
      <c r="Q6">
        <f t="shared" si="5"/>
        <v>0.29888074325196112</v>
      </c>
      <c r="R6">
        <f>(D26-D23)/45/1000000</f>
        <v>-7.2321340000000109E-7</v>
      </c>
      <c r="S6">
        <f t="shared" si="7"/>
        <v>-1.7149452576934468E-4</v>
      </c>
      <c r="T6">
        <f t="shared" si="6"/>
        <v>-7.545759133851166</v>
      </c>
      <c r="W6">
        <v>156.47</v>
      </c>
      <c r="X6">
        <v>5000</v>
      </c>
    </row>
    <row r="7" spans="1:24" x14ac:dyDescent="0.3">
      <c r="A7" t="s">
        <v>17</v>
      </c>
      <c r="B7" t="s">
        <v>16</v>
      </c>
      <c r="C7">
        <v>17.262</v>
      </c>
      <c r="D7">
        <f t="shared" si="0"/>
        <v>444.55551800000006</v>
      </c>
      <c r="H7">
        <v>20190830</v>
      </c>
      <c r="I7" t="s">
        <v>21</v>
      </c>
      <c r="J7">
        <f t="shared" si="1"/>
        <v>299.5</v>
      </c>
      <c r="K7">
        <f>30.05+273</f>
        <v>303.05</v>
      </c>
      <c r="L7">
        <f t="shared" si="2"/>
        <v>294.10000000000002</v>
      </c>
      <c r="M7">
        <v>12.5</v>
      </c>
      <c r="N7">
        <f>2.375*27.5*27.5/1000</f>
        <v>1.79609375</v>
      </c>
      <c r="O7">
        <f t="shared" si="3"/>
        <v>14.296093750000001</v>
      </c>
      <c r="P7">
        <f t="shared" si="4"/>
        <v>1.0183611016660998</v>
      </c>
      <c r="Q7">
        <f t="shared" si="5"/>
        <v>0.64993686521302885</v>
      </c>
      <c r="R7">
        <f>(D31-D28)/45/1000000</f>
        <v>-1.2253080000000155E-7</v>
      </c>
      <c r="S7">
        <f t="shared" si="7"/>
        <v>-6.3183299737424613E-5</v>
      </c>
      <c r="T7">
        <f t="shared" si="6"/>
        <v>-2.7800651884466832</v>
      </c>
      <c r="W7">
        <v>160.55000000000001</v>
      </c>
      <c r="X7">
        <v>5000</v>
      </c>
    </row>
    <row r="8" spans="1:24" x14ac:dyDescent="0.3">
      <c r="A8" t="s">
        <v>17</v>
      </c>
      <c r="B8">
        <v>0</v>
      </c>
      <c r="C8">
        <v>17.768000000000001</v>
      </c>
      <c r="D8">
        <f t="shared" si="0"/>
        <v>460.59015200000005</v>
      </c>
      <c r="H8" s="1">
        <v>20190830</v>
      </c>
      <c r="I8" s="1" t="s">
        <v>22</v>
      </c>
      <c r="J8" s="1">
        <f>26.6+273</f>
        <v>299.60000000000002</v>
      </c>
      <c r="K8" s="1">
        <f>37.5+273</f>
        <v>310.5</v>
      </c>
      <c r="L8" s="1">
        <f t="shared" si="2"/>
        <v>294.10000000000002</v>
      </c>
      <c r="M8" s="1">
        <v>12.5</v>
      </c>
      <c r="N8" s="1">
        <f>2*27.5*27.5/1000</f>
        <v>1.5125</v>
      </c>
      <c r="O8" s="1">
        <f t="shared" si="3"/>
        <v>14.012499999999999</v>
      </c>
      <c r="P8" s="1">
        <f t="shared" si="4"/>
        <v>1.0187011220673241</v>
      </c>
      <c r="Q8" s="1">
        <f t="shared" si="5"/>
        <v>0.63725667290037402</v>
      </c>
      <c r="R8" s="1">
        <f>(D36-D33)/45/1000000</f>
        <v>0</v>
      </c>
      <c r="S8" s="1">
        <f t="shared" si="7"/>
        <v>0</v>
      </c>
      <c r="T8" s="1">
        <f t="shared" si="6"/>
        <v>0</v>
      </c>
      <c r="W8">
        <v>160.41999999999999</v>
      </c>
      <c r="X8">
        <v>5000</v>
      </c>
    </row>
    <row r="9" spans="1:24" x14ac:dyDescent="0.3">
      <c r="A9" t="s">
        <v>17</v>
      </c>
      <c r="B9">
        <v>15</v>
      </c>
      <c r="C9">
        <v>18.344000000000001</v>
      </c>
      <c r="D9">
        <f t="shared" si="0"/>
        <v>478.84301600000009</v>
      </c>
      <c r="H9">
        <v>20190830</v>
      </c>
      <c r="I9" t="s">
        <v>23</v>
      </c>
      <c r="J9">
        <f>273+26.6</f>
        <v>299.60000000000002</v>
      </c>
      <c r="K9">
        <f>273+37.5</f>
        <v>310.5</v>
      </c>
      <c r="L9">
        <v>294.10000000000002</v>
      </c>
      <c r="M9">
        <v>12.5</v>
      </c>
      <c r="N9">
        <f>2*27.5*27.5/1000</f>
        <v>1.5125</v>
      </c>
      <c r="O9">
        <f t="shared" si="3"/>
        <v>14.012499999999999</v>
      </c>
      <c r="P9">
        <f t="shared" si="4"/>
        <v>1.0187011220673241</v>
      </c>
      <c r="Q9">
        <f t="shared" si="5"/>
        <v>0.63725667290037402</v>
      </c>
      <c r="R9">
        <f>(D41-D38)/45/1000000</f>
        <v>2.4717419999999986E-6</v>
      </c>
      <c r="S9">
        <f t="shared" si="7"/>
        <v>1.2496931569095792E-3</v>
      </c>
      <c r="T9">
        <f t="shared" si="6"/>
        <v>54.986498904021481</v>
      </c>
      <c r="W9">
        <v>160.36000000000001</v>
      </c>
      <c r="X9">
        <v>5000</v>
      </c>
    </row>
    <row r="10" spans="1:24" x14ac:dyDescent="0.3">
      <c r="A10" t="s">
        <v>17</v>
      </c>
      <c r="B10">
        <v>30</v>
      </c>
      <c r="C10">
        <v>18.745999999999999</v>
      </c>
      <c r="D10">
        <f t="shared" si="0"/>
        <v>491.58199399999995</v>
      </c>
      <c r="H10">
        <v>20190830</v>
      </c>
      <c r="I10" t="s">
        <v>24</v>
      </c>
      <c r="J10">
        <f>26.6+273</f>
        <v>299.60000000000002</v>
      </c>
      <c r="K10">
        <f>31.9+273</f>
        <v>304.89999999999998</v>
      </c>
      <c r="L10">
        <f>273+21.1</f>
        <v>294.10000000000002</v>
      </c>
      <c r="M10">
        <v>12.5</v>
      </c>
      <c r="N10">
        <f>2.875*27.5*27.5/1000</f>
        <v>2.1742187500000001</v>
      </c>
      <c r="O10">
        <f>N10+M10</f>
        <v>14.67421875</v>
      </c>
      <c r="P10">
        <f>J10/L10</f>
        <v>1.0187011220673241</v>
      </c>
      <c r="Q10">
        <f>(O10/22.4)*P10</f>
        <v>0.66735013866456994</v>
      </c>
      <c r="R10">
        <f>(D46-D43)/45/1000000</f>
        <v>2.1295007999999988E-6</v>
      </c>
      <c r="S10">
        <f>R10*Q10*60/0.075625</f>
        <v>1.1275022710740986E-3</v>
      </c>
      <c r="T10">
        <f>S10*44*1000</f>
        <v>49.610099927260336</v>
      </c>
      <c r="W10">
        <v>160.24</v>
      </c>
      <c r="X10">
        <v>5000</v>
      </c>
    </row>
    <row r="11" spans="1:24" x14ac:dyDescent="0.3">
      <c r="A11" t="s">
        <v>17</v>
      </c>
      <c r="B11">
        <v>45</v>
      </c>
      <c r="C11">
        <v>19.585000000000001</v>
      </c>
      <c r="D11">
        <f t="shared" si="0"/>
        <v>518.16906500000005</v>
      </c>
      <c r="F11">
        <f>RSQ(B8:B11,C8:C11)</f>
        <v>0.97943875614604226</v>
      </c>
      <c r="H11">
        <v>20190830</v>
      </c>
      <c r="I11" t="s">
        <v>37</v>
      </c>
      <c r="J11">
        <f>273+25.8</f>
        <v>298.8</v>
      </c>
      <c r="K11">
        <f>273+33.3</f>
        <v>306.3</v>
      </c>
      <c r="L11">
        <v>294.10000000000002</v>
      </c>
      <c r="M11">
        <v>12.5</v>
      </c>
      <c r="N11">
        <f>3*27.5*27.5/1000</f>
        <v>2.2687499999999998</v>
      </c>
      <c r="O11">
        <f t="shared" ref="O11:O12" si="8">N11+M11</f>
        <v>14.768750000000001</v>
      </c>
      <c r="P11">
        <f t="shared" ref="P11:P12" si="9">J11/L11</f>
        <v>1.0159809588575315</v>
      </c>
      <c r="Q11">
        <f t="shared" ref="Q11:Q12" si="10">(O11/22.4)*P11</f>
        <v>0.66985574938067727</v>
      </c>
      <c r="R11">
        <f t="shared" ref="R11:R12" si="11">(D47-D44)/45/1000000</f>
        <v>-3.0710161999999981E-6</v>
      </c>
      <c r="S11">
        <f t="shared" ref="S11:S12" si="12">R11*Q11*60/0.075625</f>
        <v>-1.6321093749510338E-3</v>
      </c>
      <c r="T11">
        <f t="shared" ref="T11:T12" si="13">S11*44*1000</f>
        <v>-71.812812497845485</v>
      </c>
      <c r="W11">
        <v>160.12</v>
      </c>
      <c r="X11">
        <v>5000</v>
      </c>
    </row>
    <row r="12" spans="1:24" x14ac:dyDescent="0.3">
      <c r="A12" t="s">
        <v>18</v>
      </c>
      <c r="B12" t="s">
        <v>16</v>
      </c>
      <c r="C12">
        <v>16.411000000000001</v>
      </c>
      <c r="D12">
        <f t="shared" si="0"/>
        <v>417.58817900000003</v>
      </c>
      <c r="H12">
        <v>20190830</v>
      </c>
      <c r="I12" t="s">
        <v>38</v>
      </c>
      <c r="J12">
        <f>273+25.8</f>
        <v>298.8</v>
      </c>
      <c r="K12">
        <f>273+30.6</f>
        <v>303.60000000000002</v>
      </c>
      <c r="L12">
        <v>294.10000000000002</v>
      </c>
      <c r="M12">
        <v>12.5</v>
      </c>
      <c r="N12">
        <f>2.5*27.5*27.5/1000</f>
        <v>1.890625</v>
      </c>
      <c r="O12">
        <f t="shared" si="8"/>
        <v>14.390625</v>
      </c>
      <c r="P12">
        <f t="shared" si="9"/>
        <v>1.0159809588575315</v>
      </c>
      <c r="Q12">
        <f t="shared" si="10"/>
        <v>0.65270540116335551</v>
      </c>
      <c r="R12">
        <f t="shared" si="11"/>
        <v>-3.1512949999999986E-6</v>
      </c>
      <c r="S12">
        <f t="shared" si="12"/>
        <v>-1.6318946912997623E-3</v>
      </c>
      <c r="T12">
        <f t="shared" si="13"/>
        <v>-71.803366417189537</v>
      </c>
      <c r="W12">
        <v>161.15</v>
      </c>
      <c r="X12">
        <v>5000</v>
      </c>
    </row>
    <row r="13" spans="1:24" x14ac:dyDescent="0.3">
      <c r="A13" t="s">
        <v>18</v>
      </c>
      <c r="B13">
        <v>0</v>
      </c>
      <c r="C13">
        <v>15.942</v>
      </c>
      <c r="D13">
        <f t="shared" si="0"/>
        <v>402.72603800000002</v>
      </c>
      <c r="H13">
        <v>20190830</v>
      </c>
      <c r="I13" t="s">
        <v>39</v>
      </c>
      <c r="J13">
        <f>26.6+273</f>
        <v>299.60000000000002</v>
      </c>
      <c r="K13">
        <f>34.8+273</f>
        <v>307.8</v>
      </c>
      <c r="L13">
        <f t="shared" ref="L13:L25" si="14">273+21.1</f>
        <v>294.10000000000002</v>
      </c>
      <c r="M13">
        <v>12.5</v>
      </c>
      <c r="N13">
        <f>2.125*27.5*27.5/1000</f>
        <v>1.6070312499999999</v>
      </c>
      <c r="O13">
        <f t="shared" ref="O13:O25" si="15">N13+M13</f>
        <v>14.10703125</v>
      </c>
      <c r="P13">
        <f t="shared" ref="P13:P25" si="16">J13/L13</f>
        <v>1.0187011220673241</v>
      </c>
      <c r="Q13">
        <f t="shared" ref="Q13:Q25" si="17">(O13/22.4)*P13</f>
        <v>0.64155573943811639</v>
      </c>
      <c r="R13">
        <f>(D61-D58)/45/1000000</f>
        <v>-3.9153519999999971E-7</v>
      </c>
      <c r="S13">
        <f t="shared" ref="S13:S25" si="18">R13*Q13*60/0.075625</f>
        <v>-1.9929255253055256E-4</v>
      </c>
      <c r="T13">
        <f t="shared" ref="T13:T25" si="19">S13*44*1000</f>
        <v>-8.7688723113443121</v>
      </c>
      <c r="W13">
        <v>161.37</v>
      </c>
      <c r="X13">
        <v>5000</v>
      </c>
    </row>
    <row r="14" spans="1:24" x14ac:dyDescent="0.3">
      <c r="A14" t="s">
        <v>18</v>
      </c>
      <c r="B14">
        <v>15</v>
      </c>
      <c r="C14">
        <v>16.707999999999998</v>
      </c>
      <c r="D14">
        <f t="shared" si="0"/>
        <v>426.99981199999996</v>
      </c>
      <c r="H14">
        <v>20190830</v>
      </c>
      <c r="I14" t="s">
        <v>25</v>
      </c>
      <c r="J14">
        <f t="shared" ref="J14:J19" si="20">24.2+273</f>
        <v>297.2</v>
      </c>
      <c r="K14">
        <f>18.4+273</f>
        <v>291.39999999999998</v>
      </c>
      <c r="L14">
        <f t="shared" si="14"/>
        <v>294.10000000000002</v>
      </c>
      <c r="M14">
        <v>12.5</v>
      </c>
      <c r="N14">
        <f>3.375*27.5*27.5/1000</f>
        <v>2.5523437499999999</v>
      </c>
      <c r="O14">
        <f t="shared" si="15"/>
        <v>15.05234375</v>
      </c>
      <c r="P14">
        <f t="shared" si="16"/>
        <v>1.0105406324379462</v>
      </c>
      <c r="Q14">
        <f t="shared" si="17"/>
        <v>0.67906272199992712</v>
      </c>
      <c r="R14">
        <f>(D66-D63)/45/1000000</f>
        <v>1.2586870800000002E-5</v>
      </c>
      <c r="S14">
        <f t="shared" si="18"/>
        <v>6.7813088901099378E-3</v>
      </c>
      <c r="T14">
        <f t="shared" si="19"/>
        <v>298.37759116483727</v>
      </c>
      <c r="W14">
        <v>160.80000000000001</v>
      </c>
      <c r="X14">
        <v>5000</v>
      </c>
    </row>
    <row r="15" spans="1:24" x14ac:dyDescent="0.3">
      <c r="A15" t="s">
        <v>18</v>
      </c>
      <c r="B15">
        <v>30</v>
      </c>
      <c r="C15">
        <v>16.099</v>
      </c>
      <c r="D15">
        <f t="shared" si="0"/>
        <v>407.701211</v>
      </c>
      <c r="H15">
        <v>20190830</v>
      </c>
      <c r="I15" t="s">
        <v>26</v>
      </c>
      <c r="J15">
        <f t="shared" si="20"/>
        <v>297.2</v>
      </c>
      <c r="K15">
        <f>18.2+273</f>
        <v>291.2</v>
      </c>
      <c r="L15">
        <f t="shared" si="14"/>
        <v>294.10000000000002</v>
      </c>
      <c r="M15">
        <v>12.5</v>
      </c>
      <c r="N15">
        <f>1.25*27.5*27.5/1000</f>
        <v>0.9453125</v>
      </c>
      <c r="O15">
        <f t="shared" si="15"/>
        <v>13.4453125</v>
      </c>
      <c r="P15">
        <f t="shared" si="16"/>
        <v>1.0105406324379462</v>
      </c>
      <c r="Q15">
        <f t="shared" si="17"/>
        <v>0.6065640445123136</v>
      </c>
      <c r="R15">
        <f>(D71-D68)/45/1000000</f>
        <v>2.4154059999999997E-5</v>
      </c>
      <c r="S15">
        <f t="shared" si="18"/>
        <v>1.1623921447928403E-2</v>
      </c>
      <c r="T15">
        <f t="shared" si="19"/>
        <v>511.45254370884976</v>
      </c>
      <c r="W15">
        <v>158.31</v>
      </c>
      <c r="X15">
        <v>5000</v>
      </c>
    </row>
    <row r="16" spans="1:24" x14ac:dyDescent="0.3">
      <c r="A16" t="s">
        <v>18</v>
      </c>
      <c r="B16">
        <v>45</v>
      </c>
      <c r="C16">
        <v>15.978</v>
      </c>
      <c r="D16">
        <f t="shared" si="0"/>
        <v>403.86684200000002</v>
      </c>
      <c r="F16">
        <f>RSQ(B13:B16,C13:C16)</f>
        <v>3.2786523355733094E-2</v>
      </c>
      <c r="H16">
        <v>20190830</v>
      </c>
      <c r="I16" t="s">
        <v>27</v>
      </c>
      <c r="J16">
        <f t="shared" si="20"/>
        <v>297.2</v>
      </c>
      <c r="K16">
        <f>19.7+273</f>
        <v>292.7</v>
      </c>
      <c r="L16">
        <f t="shared" si="14"/>
        <v>294.10000000000002</v>
      </c>
      <c r="M16">
        <v>12.5</v>
      </c>
      <c r="N16">
        <f>1.375*27.5*27.5/1000</f>
        <v>1.03984375</v>
      </c>
      <c r="O16">
        <f t="shared" si="15"/>
        <v>13.539843749999999</v>
      </c>
      <c r="P16">
        <f t="shared" si="16"/>
        <v>1.0105406324379462</v>
      </c>
      <c r="Q16">
        <f t="shared" si="17"/>
        <v>0.61082867259982021</v>
      </c>
      <c r="R16">
        <f>(D76-D73)/45/1000000</f>
        <v>1.9952098599999999E-5</v>
      </c>
      <c r="S16">
        <f t="shared" si="18"/>
        <v>9.6692738407289109E-3</v>
      </c>
      <c r="T16">
        <f t="shared" si="19"/>
        <v>425.44804899207207</v>
      </c>
      <c r="W16">
        <v>161.11000000000001</v>
      </c>
      <c r="X16">
        <v>5000</v>
      </c>
    </row>
    <row r="17" spans="1:24" x14ac:dyDescent="0.3">
      <c r="A17" t="s">
        <v>19</v>
      </c>
      <c r="B17" t="s">
        <v>16</v>
      </c>
      <c r="C17">
        <v>15.855</v>
      </c>
      <c r="D17">
        <f t="shared" si="0"/>
        <v>399.96909500000004</v>
      </c>
      <c r="H17">
        <v>20190830</v>
      </c>
      <c r="I17" t="s">
        <v>28</v>
      </c>
      <c r="J17">
        <f t="shared" si="20"/>
        <v>297.2</v>
      </c>
      <c r="K17">
        <f>19.2+273</f>
        <v>292.2</v>
      </c>
      <c r="L17">
        <f t="shared" si="14"/>
        <v>294.10000000000002</v>
      </c>
      <c r="M17">
        <v>12.5</v>
      </c>
      <c r="N17">
        <f>4.5*27.5*27.5/1000</f>
        <v>3.4031250000000002</v>
      </c>
      <c r="O17">
        <f t="shared" si="15"/>
        <v>15.903124999999999</v>
      </c>
      <c r="P17">
        <f t="shared" si="16"/>
        <v>1.0105406324379462</v>
      </c>
      <c r="Q17">
        <f t="shared" si="17"/>
        <v>0.71744437478748724</v>
      </c>
      <c r="R17">
        <f>(D81-D78)/45/1000000</f>
        <v>1.4917772799999996E-5</v>
      </c>
      <c r="S17">
        <f t="shared" si="18"/>
        <v>8.491376274817412E-3</v>
      </c>
      <c r="T17">
        <f t="shared" si="19"/>
        <v>373.62055609196614</v>
      </c>
      <c r="W17">
        <v>164.86</v>
      </c>
      <c r="X17">
        <v>5000</v>
      </c>
    </row>
    <row r="18" spans="1:24" x14ac:dyDescent="0.3">
      <c r="A18" t="s">
        <v>19</v>
      </c>
      <c r="B18">
        <v>0</v>
      </c>
      <c r="C18">
        <v>17.422999999999998</v>
      </c>
      <c r="D18">
        <f t="shared" si="0"/>
        <v>449.65744699999999</v>
      </c>
      <c r="H18">
        <v>20190830</v>
      </c>
      <c r="I18" t="s">
        <v>29</v>
      </c>
      <c r="J18">
        <f t="shared" si="20"/>
        <v>297.2</v>
      </c>
      <c r="K18">
        <f>19.3+273</f>
        <v>292.3</v>
      </c>
      <c r="L18">
        <f t="shared" si="14"/>
        <v>294.10000000000002</v>
      </c>
      <c r="M18">
        <v>4.4000000000000004</v>
      </c>
      <c r="N18">
        <f>1.875*27.5*27.5/1000</f>
        <v>1.41796875</v>
      </c>
      <c r="O18">
        <f t="shared" si="15"/>
        <v>5.8179687500000004</v>
      </c>
      <c r="P18">
        <f t="shared" si="16"/>
        <v>1.0105406324379462</v>
      </c>
      <c r="Q18">
        <f t="shared" si="17"/>
        <v>0.26246847411291108</v>
      </c>
      <c r="R18">
        <f>(D86-D83)/45/1000000</f>
        <v>1.2675600000000003E-5</v>
      </c>
      <c r="S18">
        <f t="shared" si="18"/>
        <v>2.6395599792123901E-3</v>
      </c>
      <c r="T18">
        <f t="shared" si="19"/>
        <v>116.14063908534517</v>
      </c>
      <c r="W18">
        <v>84.75</v>
      </c>
      <c r="X18">
        <v>2500</v>
      </c>
    </row>
    <row r="19" spans="1:24" x14ac:dyDescent="0.3">
      <c r="A19" t="s">
        <v>19</v>
      </c>
      <c r="B19">
        <v>15</v>
      </c>
      <c r="C19">
        <v>26.788</v>
      </c>
      <c r="D19">
        <f t="shared" si="0"/>
        <v>746.42493200000001</v>
      </c>
      <c r="H19">
        <v>20190830</v>
      </c>
      <c r="I19" t="s">
        <v>30</v>
      </c>
      <c r="J19">
        <f t="shared" si="20"/>
        <v>297.2</v>
      </c>
      <c r="K19">
        <f>19.7+273</f>
        <v>292.7</v>
      </c>
      <c r="L19">
        <f t="shared" si="14"/>
        <v>294.10000000000002</v>
      </c>
      <c r="M19">
        <v>12.5</v>
      </c>
      <c r="N19">
        <f>1.875*27.5*27.5/1000</f>
        <v>1.41796875</v>
      </c>
      <c r="O19">
        <f t="shared" si="15"/>
        <v>13.91796875</v>
      </c>
      <c r="P19">
        <f t="shared" si="16"/>
        <v>1.0105406324379462</v>
      </c>
      <c r="Q19">
        <f t="shared" si="17"/>
        <v>0.62788718494984697</v>
      </c>
      <c r="R19">
        <f>(D91-D88)/45/1000000</f>
        <v>1.3075585599999996E-5</v>
      </c>
      <c r="S19">
        <f t="shared" si="18"/>
        <v>6.5137131641293906E-3</v>
      </c>
      <c r="T19">
        <f t="shared" si="19"/>
        <v>286.60337922169322</v>
      </c>
      <c r="W19">
        <v>84.814999999999998</v>
      </c>
      <c r="X19">
        <v>2500</v>
      </c>
    </row>
    <row r="20" spans="1:24" x14ac:dyDescent="0.3">
      <c r="A20" t="s">
        <v>19</v>
      </c>
      <c r="B20">
        <v>30</v>
      </c>
      <c r="C20">
        <v>33.020000000000003</v>
      </c>
      <c r="D20">
        <f t="shared" si="0"/>
        <v>943.91078000000016</v>
      </c>
      <c r="H20">
        <v>20190830</v>
      </c>
      <c r="I20" t="s">
        <v>31</v>
      </c>
      <c r="J20">
        <f t="shared" ref="J20:J25" si="21">24.5+273</f>
        <v>297.5</v>
      </c>
      <c r="K20">
        <f>19.3+273</f>
        <v>292.3</v>
      </c>
      <c r="L20">
        <f t="shared" si="14"/>
        <v>294.10000000000002</v>
      </c>
      <c r="M20">
        <v>12.5</v>
      </c>
      <c r="N20">
        <f>1.625*27.5*27.5/1000</f>
        <v>1.2289062500000001</v>
      </c>
      <c r="O20">
        <f t="shared" si="15"/>
        <v>13.72890625</v>
      </c>
      <c r="P20">
        <f t="shared" si="16"/>
        <v>1.0115606936416184</v>
      </c>
      <c r="Q20">
        <f t="shared" si="17"/>
        <v>0.61998312183887283</v>
      </c>
      <c r="R20">
        <f>(D96-D93)/45/1000000</f>
        <v>1.0160901799999997E-5</v>
      </c>
      <c r="S20">
        <f t="shared" si="18"/>
        <v>4.9980199288559759E-3</v>
      </c>
      <c r="T20">
        <f t="shared" si="19"/>
        <v>219.91287686966294</v>
      </c>
      <c r="W20">
        <v>84.878</v>
      </c>
      <c r="X20">
        <v>2500</v>
      </c>
    </row>
    <row r="21" spans="1:24" x14ac:dyDescent="0.3">
      <c r="A21" t="s">
        <v>19</v>
      </c>
      <c r="B21">
        <v>45</v>
      </c>
      <c r="C21">
        <v>34.177</v>
      </c>
      <c r="D21">
        <f t="shared" si="0"/>
        <v>980.57495300000005</v>
      </c>
      <c r="F21">
        <f>RSQ(B18:B21,C18:C21)</f>
        <v>0.90356499886705166</v>
      </c>
      <c r="H21">
        <v>20190830</v>
      </c>
      <c r="I21" t="s">
        <v>32</v>
      </c>
      <c r="J21">
        <f t="shared" si="21"/>
        <v>297.5</v>
      </c>
      <c r="K21">
        <f>19.5+273</f>
        <v>292.5</v>
      </c>
      <c r="L21">
        <f t="shared" si="14"/>
        <v>294.10000000000002</v>
      </c>
      <c r="M21">
        <v>12.5</v>
      </c>
      <c r="N21">
        <f>1.875*27.5*27.5/1000</f>
        <v>1.41796875</v>
      </c>
      <c r="O21">
        <f t="shared" si="15"/>
        <v>13.91796875</v>
      </c>
      <c r="P21">
        <f t="shared" si="16"/>
        <v>1.0115606936416184</v>
      </c>
      <c r="Q21">
        <f t="shared" si="17"/>
        <v>0.62852098762644504</v>
      </c>
      <c r="R21">
        <f>(D101-D98)/45/1000000</f>
        <v>2.0557006399999999E-5</v>
      </c>
      <c r="S21">
        <f t="shared" si="18"/>
        <v>1.0250983112863063E-2</v>
      </c>
      <c r="T21">
        <f t="shared" si="19"/>
        <v>451.04325696597476</v>
      </c>
      <c r="W21">
        <v>83.234999999999999</v>
      </c>
      <c r="X21">
        <v>2500</v>
      </c>
    </row>
    <row r="22" spans="1:24" x14ac:dyDescent="0.3">
      <c r="A22" t="s">
        <v>20</v>
      </c>
      <c r="B22" t="s">
        <v>16</v>
      </c>
      <c r="C22">
        <v>16.359000000000002</v>
      </c>
      <c r="D22">
        <f t="shared" ref="D22:D31" si="22">(31.689*C22)-102.46</f>
        <v>415.94035100000002</v>
      </c>
      <c r="H22">
        <v>20190830</v>
      </c>
      <c r="I22" t="s">
        <v>33</v>
      </c>
      <c r="J22">
        <f t="shared" si="21"/>
        <v>297.5</v>
      </c>
      <c r="K22">
        <f>18.7+273</f>
        <v>291.7</v>
      </c>
      <c r="L22">
        <f t="shared" si="14"/>
        <v>294.10000000000002</v>
      </c>
      <c r="M22">
        <v>12.5</v>
      </c>
      <c r="N22">
        <f>0.375*27.5*27.5/1000</f>
        <v>0.28359374999999998</v>
      </c>
      <c r="O22">
        <f t="shared" si="15"/>
        <v>12.78359375</v>
      </c>
      <c r="P22">
        <f t="shared" si="16"/>
        <v>1.0115606936416184</v>
      </c>
      <c r="Q22">
        <f t="shared" si="17"/>
        <v>0.57729379290101146</v>
      </c>
      <c r="R22">
        <f>(D106-D103)/45/1000000</f>
        <v>2.0789392399999999E-5</v>
      </c>
      <c r="S22">
        <f t="shared" si="18"/>
        <v>9.5219204157647296E-3</v>
      </c>
      <c r="T22">
        <f t="shared" si="19"/>
        <v>418.96449829364815</v>
      </c>
      <c r="W22">
        <v>82.323999999999998</v>
      </c>
      <c r="X22">
        <v>2500</v>
      </c>
    </row>
    <row r="23" spans="1:24" x14ac:dyDescent="0.3">
      <c r="A23" t="s">
        <v>20</v>
      </c>
      <c r="B23">
        <v>0</v>
      </c>
      <c r="C23">
        <v>16.446000000000002</v>
      </c>
      <c r="D23">
        <f t="shared" si="22"/>
        <v>418.69729400000011</v>
      </c>
      <c r="H23">
        <v>20190830</v>
      </c>
      <c r="I23" t="s">
        <v>34</v>
      </c>
      <c r="J23">
        <f t="shared" si="21"/>
        <v>297.5</v>
      </c>
      <c r="K23">
        <f>20.6+273</f>
        <v>293.60000000000002</v>
      </c>
      <c r="L23">
        <f t="shared" si="14"/>
        <v>294.10000000000002</v>
      </c>
      <c r="M23">
        <v>4.4000000000000004</v>
      </c>
      <c r="N23">
        <f>3*27.5*27.5/1000</f>
        <v>2.2687499999999998</v>
      </c>
      <c r="O23">
        <f t="shared" si="15"/>
        <v>6.6687500000000002</v>
      </c>
      <c r="P23">
        <f t="shared" si="16"/>
        <v>1.0115606936416184</v>
      </c>
      <c r="Q23">
        <f t="shared" si="17"/>
        <v>0.30115381141618497</v>
      </c>
      <c r="R23">
        <f>(D111-D108)/45/1000000</f>
        <v>4.3837154199999998E-5</v>
      </c>
      <c r="S23">
        <f t="shared" si="18"/>
        <v>1.0474096715876248E-2</v>
      </c>
      <c r="T23">
        <f t="shared" si="19"/>
        <v>460.86025549855492</v>
      </c>
      <c r="W23">
        <v>84.638000000000005</v>
      </c>
      <c r="X23">
        <v>2500</v>
      </c>
    </row>
    <row r="24" spans="1:24" x14ac:dyDescent="0.3">
      <c r="A24" t="s">
        <v>20</v>
      </c>
      <c r="B24">
        <v>15</v>
      </c>
      <c r="C24">
        <v>20.026</v>
      </c>
      <c r="D24">
        <f t="shared" si="22"/>
        <v>532.143914</v>
      </c>
      <c r="H24">
        <v>20190830</v>
      </c>
      <c r="I24" t="s">
        <v>35</v>
      </c>
      <c r="J24">
        <f t="shared" si="21"/>
        <v>297.5</v>
      </c>
      <c r="K24">
        <f>20.8+273</f>
        <v>293.8</v>
      </c>
      <c r="L24">
        <f t="shared" si="14"/>
        <v>294.10000000000002</v>
      </c>
      <c r="M24">
        <v>12.5</v>
      </c>
      <c r="N24">
        <f>3.5*27.5*27.5/1000</f>
        <v>2.6468750000000001</v>
      </c>
      <c r="O24">
        <f t="shared" si="15"/>
        <v>15.146875</v>
      </c>
      <c r="P24">
        <f t="shared" si="16"/>
        <v>1.0115606936416184</v>
      </c>
      <c r="Q24">
        <f t="shared" si="17"/>
        <v>0.68401711524566466</v>
      </c>
      <c r="R24">
        <f>(D116-D113)/45/1000000</f>
        <v>1.9497889599999998E-5</v>
      </c>
      <c r="S24">
        <f t="shared" si="18"/>
        <v>1.0581334371626139E-2</v>
      </c>
      <c r="T24">
        <f t="shared" si="19"/>
        <v>465.57871235155011</v>
      </c>
      <c r="W24">
        <v>33.31</v>
      </c>
      <c r="X24">
        <v>1000.5</v>
      </c>
    </row>
    <row r="25" spans="1:24" x14ac:dyDescent="0.3">
      <c r="A25" t="s">
        <v>20</v>
      </c>
      <c r="B25">
        <v>30</v>
      </c>
      <c r="C25">
        <v>16.986999999999998</v>
      </c>
      <c r="D25">
        <f t="shared" si="22"/>
        <v>435.84104299999996</v>
      </c>
      <c r="H25">
        <v>20190830</v>
      </c>
      <c r="I25" t="s">
        <v>36</v>
      </c>
      <c r="J25">
        <f t="shared" si="21"/>
        <v>297.5</v>
      </c>
      <c r="K25">
        <f>20.4+273</f>
        <v>293.39999999999998</v>
      </c>
      <c r="L25">
        <f t="shared" si="14"/>
        <v>294.10000000000002</v>
      </c>
      <c r="M25">
        <v>12.5</v>
      </c>
      <c r="N25">
        <f>0.875*27.5*27.5/1000</f>
        <v>0.66171875000000002</v>
      </c>
      <c r="O25">
        <f t="shared" si="15"/>
        <v>13.16171875</v>
      </c>
      <c r="P25">
        <f t="shared" si="16"/>
        <v>1.0115606936416184</v>
      </c>
      <c r="Q25">
        <f t="shared" si="17"/>
        <v>0.59436952447615599</v>
      </c>
      <c r="R25">
        <f>(D121-D118)/45/1000000</f>
        <v>2.6681433799999998E-5</v>
      </c>
      <c r="S25">
        <f t="shared" si="18"/>
        <v>1.2582054442352159E-2</v>
      </c>
      <c r="T25">
        <f t="shared" si="19"/>
        <v>553.61039546349502</v>
      </c>
      <c r="W25">
        <v>33.991999999999997</v>
      </c>
      <c r="X25">
        <v>1000.5</v>
      </c>
    </row>
    <row r="26" spans="1:24" x14ac:dyDescent="0.3">
      <c r="A26" t="s">
        <v>20</v>
      </c>
      <c r="B26">
        <v>45</v>
      </c>
      <c r="C26">
        <v>15.419</v>
      </c>
      <c r="D26">
        <f t="shared" si="22"/>
        <v>386.15269100000006</v>
      </c>
      <c r="F26">
        <f>RSQ(B23:B26,C23:C26)</f>
        <v>0.15910147663657986</v>
      </c>
      <c r="W26">
        <v>33.869999999999997</v>
      </c>
      <c r="X26">
        <v>1000.5</v>
      </c>
    </row>
    <row r="27" spans="1:24" x14ac:dyDescent="0.3">
      <c r="A27" t="s">
        <v>21</v>
      </c>
      <c r="B27" t="s">
        <v>16</v>
      </c>
      <c r="C27">
        <v>16.131</v>
      </c>
      <c r="D27">
        <f t="shared" si="22"/>
        <v>408.715259</v>
      </c>
      <c r="W27">
        <v>34.034999999999997</v>
      </c>
      <c r="X27">
        <v>1000.5</v>
      </c>
    </row>
    <row r="28" spans="1:24" x14ac:dyDescent="0.3">
      <c r="A28" t="s">
        <v>21</v>
      </c>
      <c r="B28">
        <v>0</v>
      </c>
      <c r="C28">
        <v>17.003</v>
      </c>
      <c r="D28">
        <f t="shared" si="22"/>
        <v>436.34806700000007</v>
      </c>
      <c r="W28">
        <v>34.231999999999999</v>
      </c>
      <c r="X28">
        <v>1000.5</v>
      </c>
    </row>
    <row r="29" spans="1:24" x14ac:dyDescent="0.3">
      <c r="A29" t="s">
        <v>21</v>
      </c>
      <c r="B29">
        <v>15</v>
      </c>
      <c r="C29">
        <v>17.491</v>
      </c>
      <c r="D29">
        <f t="shared" si="22"/>
        <v>451.812299</v>
      </c>
      <c r="W29">
        <v>34.012</v>
      </c>
      <c r="X29">
        <v>1000.5</v>
      </c>
    </row>
    <row r="30" spans="1:24" x14ac:dyDescent="0.3">
      <c r="A30" t="s">
        <v>21</v>
      </c>
      <c r="B30">
        <v>30</v>
      </c>
      <c r="C30">
        <v>17.509</v>
      </c>
      <c r="D30">
        <f t="shared" si="22"/>
        <v>452.38270100000005</v>
      </c>
      <c r="W30">
        <v>34.154000000000003</v>
      </c>
      <c r="X30">
        <v>1000.5</v>
      </c>
    </row>
    <row r="31" spans="1:24" x14ac:dyDescent="0.3">
      <c r="A31" t="s">
        <v>21</v>
      </c>
      <c r="B31">
        <v>45</v>
      </c>
      <c r="C31">
        <v>16.829000000000001</v>
      </c>
      <c r="D31">
        <f t="shared" si="22"/>
        <v>430.834181</v>
      </c>
      <c r="F31">
        <f>RSQ(B28:B31,C28:C31)</f>
        <v>3.5640763730651115E-2</v>
      </c>
      <c r="W31">
        <v>34.085000000000001</v>
      </c>
      <c r="X31">
        <v>1000.5</v>
      </c>
    </row>
    <row r="32" spans="1:24" x14ac:dyDescent="0.3">
      <c r="A32" t="s">
        <v>22</v>
      </c>
      <c r="B32" t="s">
        <v>16</v>
      </c>
    </row>
    <row r="33" spans="1:6" x14ac:dyDescent="0.3">
      <c r="A33" t="s">
        <v>22</v>
      </c>
      <c r="B33">
        <v>0</v>
      </c>
    </row>
    <row r="34" spans="1:6" x14ac:dyDescent="0.3">
      <c r="A34" t="s">
        <v>22</v>
      </c>
      <c r="B34">
        <v>15</v>
      </c>
    </row>
    <row r="35" spans="1:6" x14ac:dyDescent="0.3">
      <c r="A35" t="s">
        <v>22</v>
      </c>
      <c r="B35">
        <v>30</v>
      </c>
    </row>
    <row r="36" spans="1:6" x14ac:dyDescent="0.3">
      <c r="A36" t="s">
        <v>22</v>
      </c>
      <c r="B36">
        <v>45</v>
      </c>
      <c r="F36" t="e">
        <f>RSQ(B33:B36,C33:C36)</f>
        <v>#DIV/0!</v>
      </c>
    </row>
    <row r="37" spans="1:6" x14ac:dyDescent="0.3">
      <c r="A37" t="s">
        <v>23</v>
      </c>
      <c r="B37" t="s">
        <v>16</v>
      </c>
      <c r="C37">
        <v>16.881</v>
      </c>
      <c r="D37">
        <f t="shared" ref="D37:D51" si="23">(31.689*C37)-102.46</f>
        <v>432.48200900000001</v>
      </c>
    </row>
    <row r="38" spans="1:6" x14ac:dyDescent="0.3">
      <c r="A38" t="s">
        <v>23</v>
      </c>
      <c r="B38">
        <v>0</v>
      </c>
      <c r="C38">
        <v>16.567</v>
      </c>
      <c r="D38">
        <f t="shared" si="23"/>
        <v>422.53166300000004</v>
      </c>
    </row>
    <row r="39" spans="1:6" x14ac:dyDescent="0.3">
      <c r="A39" t="s">
        <v>23</v>
      </c>
      <c r="B39">
        <v>15</v>
      </c>
      <c r="C39">
        <v>19.463999999999999</v>
      </c>
      <c r="D39">
        <f t="shared" si="23"/>
        <v>514.33469599999989</v>
      </c>
    </row>
    <row r="40" spans="1:6" x14ac:dyDescent="0.3">
      <c r="A40" t="s">
        <v>23</v>
      </c>
      <c r="B40">
        <v>30</v>
      </c>
      <c r="C40">
        <v>19.885000000000002</v>
      </c>
      <c r="D40">
        <f t="shared" si="23"/>
        <v>527.67576500000007</v>
      </c>
    </row>
    <row r="41" spans="1:6" x14ac:dyDescent="0.3">
      <c r="A41" t="s">
        <v>23</v>
      </c>
      <c r="B41">
        <v>45</v>
      </c>
      <c r="C41">
        <v>20.077000000000002</v>
      </c>
      <c r="D41">
        <f t="shared" si="23"/>
        <v>533.76005299999997</v>
      </c>
      <c r="F41">
        <f>RSQ(B38:B41,C38:C41)</f>
        <v>0.74229690805255233</v>
      </c>
    </row>
    <row r="42" spans="1:6" x14ac:dyDescent="0.3">
      <c r="A42" t="s">
        <v>24</v>
      </c>
      <c r="B42" t="s">
        <v>16</v>
      </c>
      <c r="C42">
        <v>17.350999999999999</v>
      </c>
      <c r="D42">
        <f t="shared" si="23"/>
        <v>447.37583899999998</v>
      </c>
    </row>
    <row r="43" spans="1:6" x14ac:dyDescent="0.3">
      <c r="A43" t="s">
        <v>24</v>
      </c>
      <c r="B43">
        <v>0</v>
      </c>
      <c r="C43">
        <v>17.648</v>
      </c>
      <c r="D43">
        <f t="shared" si="23"/>
        <v>456.78747200000004</v>
      </c>
    </row>
    <row r="44" spans="1:6" x14ac:dyDescent="0.3">
      <c r="A44" t="s">
        <v>24</v>
      </c>
      <c r="B44">
        <v>15</v>
      </c>
      <c r="C44">
        <v>20.216000000000001</v>
      </c>
      <c r="D44">
        <f t="shared" si="23"/>
        <v>538.16482399999995</v>
      </c>
    </row>
    <row r="45" spans="1:6" x14ac:dyDescent="0.3">
      <c r="A45" t="s">
        <v>24</v>
      </c>
      <c r="B45">
        <v>30</v>
      </c>
      <c r="C45">
        <v>21.898</v>
      </c>
      <c r="D45">
        <f t="shared" si="23"/>
        <v>591.46572199999991</v>
      </c>
    </row>
    <row r="46" spans="1:6" x14ac:dyDescent="0.3">
      <c r="A46" t="s">
        <v>24</v>
      </c>
      <c r="B46">
        <v>45</v>
      </c>
      <c r="C46">
        <v>20.672000000000001</v>
      </c>
      <c r="D46">
        <f t="shared" si="23"/>
        <v>552.61500799999999</v>
      </c>
      <c r="F46">
        <f>RSQ(B43:B46,C43:C46)</f>
        <v>0.60324975569766681</v>
      </c>
    </row>
    <row r="47" spans="1:6" x14ac:dyDescent="0.3">
      <c r="A47" t="s">
        <v>37</v>
      </c>
      <c r="B47" t="s">
        <v>16</v>
      </c>
      <c r="C47">
        <v>15.855</v>
      </c>
      <c r="D47">
        <f t="shared" si="23"/>
        <v>399.96909500000004</v>
      </c>
    </row>
    <row r="48" spans="1:6" x14ac:dyDescent="0.3">
      <c r="A48" t="s">
        <v>37</v>
      </c>
      <c r="B48">
        <v>0</v>
      </c>
      <c r="C48">
        <v>17.422999999999998</v>
      </c>
      <c r="D48">
        <f t="shared" si="23"/>
        <v>449.65744699999999</v>
      </c>
    </row>
    <row r="49" spans="1:6" x14ac:dyDescent="0.3">
      <c r="A49" t="s">
        <v>37</v>
      </c>
      <c r="B49">
        <v>15</v>
      </c>
      <c r="C49">
        <v>26.788</v>
      </c>
      <c r="D49">
        <f t="shared" si="23"/>
        <v>746.42493200000001</v>
      </c>
    </row>
    <row r="50" spans="1:6" x14ac:dyDescent="0.3">
      <c r="A50" t="s">
        <v>37</v>
      </c>
      <c r="B50">
        <v>30</v>
      </c>
      <c r="C50">
        <v>33.020000000000003</v>
      </c>
      <c r="D50">
        <f t="shared" si="23"/>
        <v>943.91078000000016</v>
      </c>
    </row>
    <row r="51" spans="1:6" x14ac:dyDescent="0.3">
      <c r="A51" t="s">
        <v>37</v>
      </c>
      <c r="B51">
        <v>45</v>
      </c>
      <c r="C51">
        <v>34.177</v>
      </c>
      <c r="D51">
        <f t="shared" si="23"/>
        <v>980.57495300000005</v>
      </c>
      <c r="F51">
        <f>RSQ(B48:B51,C48:C51)</f>
        <v>0.90356499886705166</v>
      </c>
    </row>
    <row r="52" spans="1:6" x14ac:dyDescent="0.3">
      <c r="A52" t="s">
        <v>38</v>
      </c>
      <c r="B52" t="s">
        <v>16</v>
      </c>
    </row>
    <row r="53" spans="1:6" x14ac:dyDescent="0.3">
      <c r="A53" t="s">
        <v>38</v>
      </c>
      <c r="B53">
        <v>0</v>
      </c>
    </row>
    <row r="54" spans="1:6" x14ac:dyDescent="0.3">
      <c r="A54" t="s">
        <v>38</v>
      </c>
      <c r="B54">
        <v>15</v>
      </c>
    </row>
    <row r="55" spans="1:6" x14ac:dyDescent="0.3">
      <c r="A55" t="s">
        <v>38</v>
      </c>
      <c r="B55">
        <v>30</v>
      </c>
    </row>
    <row r="56" spans="1:6" x14ac:dyDescent="0.3">
      <c r="A56" t="s">
        <v>38</v>
      </c>
      <c r="B56">
        <v>45</v>
      </c>
      <c r="F56" t="e">
        <f>RSQ(B53:B56,C53:C56)</f>
        <v>#DIV/0!</v>
      </c>
    </row>
    <row r="57" spans="1:6" x14ac:dyDescent="0.3">
      <c r="A57" t="s">
        <v>39</v>
      </c>
      <c r="B57" t="s">
        <v>16</v>
      </c>
      <c r="C57">
        <v>15.925000000000001</v>
      </c>
      <c r="D57">
        <f t="shared" ref="D57:D88" si="24">(31.689*C57)-102.46</f>
        <v>402.18732500000004</v>
      </c>
    </row>
    <row r="58" spans="1:6" x14ac:dyDescent="0.3">
      <c r="A58" t="s">
        <v>39</v>
      </c>
      <c r="B58">
        <v>0</v>
      </c>
      <c r="C58">
        <v>16.167999999999999</v>
      </c>
      <c r="D58">
        <f t="shared" si="24"/>
        <v>409.88775200000003</v>
      </c>
    </row>
    <row r="59" spans="1:6" x14ac:dyDescent="0.3">
      <c r="A59" t="s">
        <v>39</v>
      </c>
      <c r="B59">
        <v>15</v>
      </c>
      <c r="C59">
        <v>17.161000000000001</v>
      </c>
      <c r="D59">
        <f t="shared" si="24"/>
        <v>441.35492900000003</v>
      </c>
    </row>
    <row r="60" spans="1:6" x14ac:dyDescent="0.3">
      <c r="A60" t="s">
        <v>39</v>
      </c>
      <c r="B60">
        <v>30</v>
      </c>
      <c r="C60">
        <v>15.628</v>
      </c>
      <c r="D60">
        <f t="shared" si="24"/>
        <v>392.77569200000005</v>
      </c>
    </row>
    <row r="61" spans="1:6" x14ac:dyDescent="0.3">
      <c r="A61" t="s">
        <v>39</v>
      </c>
      <c r="B61">
        <v>45</v>
      </c>
      <c r="C61">
        <v>15.612</v>
      </c>
      <c r="D61">
        <f t="shared" si="24"/>
        <v>392.26866800000005</v>
      </c>
      <c r="F61">
        <f>RSQ(B58:B61,C58:C61)</f>
        <v>0.32340727126561769</v>
      </c>
    </row>
    <row r="62" spans="1:6" x14ac:dyDescent="0.3">
      <c r="A62" t="s">
        <v>25</v>
      </c>
      <c r="B62" t="s">
        <v>16</v>
      </c>
      <c r="C62">
        <v>16.748999999999999</v>
      </c>
      <c r="D62">
        <f t="shared" si="24"/>
        <v>428.29906099999999</v>
      </c>
    </row>
    <row r="63" spans="1:6" x14ac:dyDescent="0.3">
      <c r="A63" t="s">
        <v>25</v>
      </c>
      <c r="B63">
        <v>0</v>
      </c>
      <c r="C63">
        <v>16.173999999999999</v>
      </c>
      <c r="D63">
        <f t="shared" si="24"/>
        <v>410.07788599999998</v>
      </c>
    </row>
    <row r="64" spans="1:6" x14ac:dyDescent="0.3">
      <c r="A64" t="s">
        <v>25</v>
      </c>
      <c r="B64">
        <v>15</v>
      </c>
      <c r="C64">
        <v>24.358000000000001</v>
      </c>
      <c r="D64">
        <f t="shared" si="24"/>
        <v>669.42066199999999</v>
      </c>
    </row>
    <row r="65" spans="1:6" x14ac:dyDescent="0.3">
      <c r="A65" t="s">
        <v>25</v>
      </c>
      <c r="B65">
        <v>30</v>
      </c>
      <c r="C65">
        <v>29.611999999999998</v>
      </c>
      <c r="D65">
        <f t="shared" si="24"/>
        <v>835.91466799999989</v>
      </c>
    </row>
    <row r="66" spans="1:6" x14ac:dyDescent="0.3">
      <c r="A66" t="s">
        <v>25</v>
      </c>
      <c r="B66">
        <v>45</v>
      </c>
      <c r="C66">
        <v>34.048000000000002</v>
      </c>
      <c r="D66">
        <f t="shared" si="24"/>
        <v>976.48707200000013</v>
      </c>
      <c r="F66">
        <f>RSQ(B63:B66,C63:C66)</f>
        <v>0.97890529623063416</v>
      </c>
    </row>
    <row r="67" spans="1:6" x14ac:dyDescent="0.3">
      <c r="A67" t="s">
        <v>26</v>
      </c>
      <c r="B67" t="s">
        <v>16</v>
      </c>
      <c r="C67">
        <v>15.664999999999999</v>
      </c>
      <c r="D67">
        <f t="shared" si="24"/>
        <v>393.94818499999997</v>
      </c>
    </row>
    <row r="68" spans="1:6" x14ac:dyDescent="0.3">
      <c r="A68" t="s">
        <v>26</v>
      </c>
      <c r="B68">
        <v>0</v>
      </c>
      <c r="C68">
        <v>17.163</v>
      </c>
      <c r="D68">
        <f t="shared" si="24"/>
        <v>441.41830700000008</v>
      </c>
    </row>
    <row r="69" spans="1:6" x14ac:dyDescent="0.3">
      <c r="A69" t="s">
        <v>26</v>
      </c>
      <c r="B69">
        <v>15</v>
      </c>
      <c r="C69">
        <v>40.575000000000003</v>
      </c>
      <c r="D69">
        <f t="shared" si="24"/>
        <v>1183.321175</v>
      </c>
    </row>
    <row r="70" spans="1:6" x14ac:dyDescent="0.3">
      <c r="A70" t="s">
        <v>26</v>
      </c>
      <c r="B70">
        <v>30</v>
      </c>
      <c r="C70">
        <v>48.116999999999997</v>
      </c>
      <c r="D70">
        <f t="shared" si="24"/>
        <v>1422.3196129999999</v>
      </c>
    </row>
    <row r="71" spans="1:6" x14ac:dyDescent="0.3">
      <c r="A71" t="s">
        <v>26</v>
      </c>
      <c r="B71">
        <v>45</v>
      </c>
      <c r="C71">
        <v>51.463000000000001</v>
      </c>
      <c r="D71">
        <f t="shared" si="24"/>
        <v>1528.351007</v>
      </c>
      <c r="F71">
        <f>RSQ(B68:B71,C68:C71)</f>
        <v>0.85017682217271151</v>
      </c>
    </row>
    <row r="72" spans="1:6" x14ac:dyDescent="0.3">
      <c r="A72" t="s">
        <v>27</v>
      </c>
      <c r="B72" t="s">
        <v>16</v>
      </c>
      <c r="C72">
        <v>16.798999999999999</v>
      </c>
      <c r="D72">
        <f t="shared" si="24"/>
        <v>429.88351100000006</v>
      </c>
    </row>
    <row r="73" spans="1:6" x14ac:dyDescent="0.3">
      <c r="A73" t="s">
        <v>27</v>
      </c>
      <c r="B73">
        <v>0</v>
      </c>
      <c r="C73">
        <v>17.146999999999998</v>
      </c>
      <c r="D73">
        <f t="shared" si="24"/>
        <v>440.91128299999997</v>
      </c>
    </row>
    <row r="74" spans="1:6" x14ac:dyDescent="0.3">
      <c r="A74" t="s">
        <v>27</v>
      </c>
      <c r="B74">
        <v>15</v>
      </c>
      <c r="C74">
        <v>27.065000000000001</v>
      </c>
      <c r="D74">
        <f t="shared" si="24"/>
        <v>755.20278499999995</v>
      </c>
    </row>
    <row r="75" spans="1:6" x14ac:dyDescent="0.3">
      <c r="A75" t="s">
        <v>27</v>
      </c>
      <c r="B75">
        <v>30</v>
      </c>
      <c r="C75">
        <v>37.052999999999997</v>
      </c>
      <c r="D75">
        <f t="shared" si="24"/>
        <v>1071.7125169999999</v>
      </c>
    </row>
    <row r="76" spans="1:6" x14ac:dyDescent="0.3">
      <c r="A76" t="s">
        <v>27</v>
      </c>
      <c r="B76">
        <v>45</v>
      </c>
      <c r="C76">
        <v>45.48</v>
      </c>
      <c r="D76">
        <f t="shared" si="24"/>
        <v>1338.7557199999999</v>
      </c>
      <c r="F76">
        <f>RSQ(B73:B76,C73:C76)</f>
        <v>0.99847553121773613</v>
      </c>
    </row>
    <row r="77" spans="1:6" x14ac:dyDescent="0.3">
      <c r="A77" t="s">
        <v>28</v>
      </c>
      <c r="B77" t="s">
        <v>16</v>
      </c>
      <c r="C77">
        <v>16.283999999999999</v>
      </c>
      <c r="D77">
        <f t="shared" si="24"/>
        <v>413.56367600000004</v>
      </c>
    </row>
    <row r="78" spans="1:6" x14ac:dyDescent="0.3">
      <c r="A78" t="s">
        <v>28</v>
      </c>
      <c r="B78">
        <v>0</v>
      </c>
      <c r="C78">
        <v>16.423999999999999</v>
      </c>
      <c r="D78">
        <f t="shared" si="24"/>
        <v>418.00013600000005</v>
      </c>
    </row>
    <row r="79" spans="1:6" x14ac:dyDescent="0.3">
      <c r="A79" t="s">
        <v>28</v>
      </c>
      <c r="B79">
        <v>15</v>
      </c>
      <c r="C79">
        <v>23.452999999999999</v>
      </c>
      <c r="D79">
        <f t="shared" si="24"/>
        <v>640.74211699999989</v>
      </c>
    </row>
    <row r="80" spans="1:6" x14ac:dyDescent="0.3">
      <c r="A80" t="s">
        <v>28</v>
      </c>
      <c r="B80">
        <v>30</v>
      </c>
      <c r="C80">
        <v>31.091000000000001</v>
      </c>
      <c r="D80">
        <f t="shared" si="24"/>
        <v>882.78269899999998</v>
      </c>
    </row>
    <row r="81" spans="1:6" x14ac:dyDescent="0.3">
      <c r="A81" t="s">
        <v>28</v>
      </c>
      <c r="B81">
        <v>45</v>
      </c>
      <c r="C81">
        <v>37.607999999999997</v>
      </c>
      <c r="D81">
        <f t="shared" si="24"/>
        <v>1089.2999119999999</v>
      </c>
      <c r="F81">
        <f>RSQ(B78:B81,C78:C81)</f>
        <v>0.99915154796275385</v>
      </c>
    </row>
    <row r="82" spans="1:6" x14ac:dyDescent="0.3">
      <c r="A82" t="s">
        <v>29</v>
      </c>
      <c r="B82" t="s">
        <v>16</v>
      </c>
      <c r="C82">
        <v>15.951000000000001</v>
      </c>
      <c r="D82">
        <f t="shared" si="24"/>
        <v>403.01123900000005</v>
      </c>
    </row>
    <row r="83" spans="1:6" x14ac:dyDescent="0.3">
      <c r="A83" t="s">
        <v>29</v>
      </c>
      <c r="B83">
        <v>0</v>
      </c>
      <c r="C83">
        <v>19.998999999999999</v>
      </c>
      <c r="D83">
        <f t="shared" si="24"/>
        <v>531.28831099999991</v>
      </c>
    </row>
    <row r="84" spans="1:6" x14ac:dyDescent="0.3">
      <c r="A84" t="s">
        <v>29</v>
      </c>
      <c r="B84">
        <v>15</v>
      </c>
      <c r="C84">
        <v>29.936</v>
      </c>
      <c r="D84">
        <f t="shared" si="24"/>
        <v>846.18190399999992</v>
      </c>
    </row>
    <row r="85" spans="1:6" x14ac:dyDescent="0.3">
      <c r="A85" t="s">
        <v>29</v>
      </c>
      <c r="B85">
        <v>30</v>
      </c>
      <c r="C85">
        <v>33.770000000000003</v>
      </c>
      <c r="D85">
        <f t="shared" si="24"/>
        <v>967.67753000000016</v>
      </c>
    </row>
    <row r="86" spans="1:6" x14ac:dyDescent="0.3">
      <c r="A86" t="s">
        <v>29</v>
      </c>
      <c r="B86">
        <v>45</v>
      </c>
      <c r="C86">
        <v>37.999000000000002</v>
      </c>
      <c r="D86">
        <f t="shared" si="24"/>
        <v>1101.6903110000001</v>
      </c>
      <c r="F86">
        <f>RSQ(B83:B86,C83:C86)</f>
        <v>0.94221521300188726</v>
      </c>
    </row>
    <row r="87" spans="1:6" x14ac:dyDescent="0.3">
      <c r="A87" t="s">
        <v>30</v>
      </c>
      <c r="B87" t="s">
        <v>16</v>
      </c>
      <c r="C87">
        <v>16.89</v>
      </c>
      <c r="D87">
        <f t="shared" si="24"/>
        <v>432.76721000000003</v>
      </c>
    </row>
    <row r="88" spans="1:6" x14ac:dyDescent="0.3">
      <c r="A88" t="s">
        <v>30</v>
      </c>
      <c r="B88">
        <v>0</v>
      </c>
      <c r="C88">
        <v>16.907</v>
      </c>
      <c r="D88">
        <f t="shared" si="24"/>
        <v>433.30592300000006</v>
      </c>
    </row>
    <row r="89" spans="1:6" x14ac:dyDescent="0.3">
      <c r="A89" t="s">
        <v>30</v>
      </c>
      <c r="B89">
        <v>15</v>
      </c>
      <c r="C89">
        <v>32.716000000000001</v>
      </c>
      <c r="D89">
        <f t="shared" ref="D89:D120" si="25">(31.689*C89)-102.46</f>
        <v>934.27732399999991</v>
      </c>
    </row>
    <row r="90" spans="1:6" x14ac:dyDescent="0.3">
      <c r="A90" t="s">
        <v>30</v>
      </c>
      <c r="B90">
        <v>30</v>
      </c>
      <c r="C90">
        <v>36.616</v>
      </c>
      <c r="D90">
        <f t="shared" si="25"/>
        <v>1057.8644239999999</v>
      </c>
    </row>
    <row r="91" spans="1:6" x14ac:dyDescent="0.3">
      <c r="A91" t="s">
        <v>30</v>
      </c>
      <c r="B91">
        <v>45</v>
      </c>
      <c r="C91">
        <v>35.475000000000001</v>
      </c>
      <c r="D91">
        <f t="shared" si="25"/>
        <v>1021.707275</v>
      </c>
      <c r="F91">
        <f>RSQ(B88:B91,C88:C91)</f>
        <v>0.70540349001024494</v>
      </c>
    </row>
    <row r="92" spans="1:6" x14ac:dyDescent="0.3">
      <c r="A92" t="s">
        <v>31</v>
      </c>
      <c r="B92" t="s">
        <v>16</v>
      </c>
      <c r="C92">
        <v>17.628</v>
      </c>
      <c r="D92">
        <f t="shared" si="25"/>
        <v>456.15369200000004</v>
      </c>
    </row>
    <row r="93" spans="1:6" x14ac:dyDescent="0.3">
      <c r="A93" t="s">
        <v>31</v>
      </c>
      <c r="B93">
        <v>0</v>
      </c>
      <c r="C93">
        <v>17.507000000000001</v>
      </c>
      <c r="D93">
        <f t="shared" si="25"/>
        <v>452.31932300000011</v>
      </c>
    </row>
    <row r="94" spans="1:6" x14ac:dyDescent="0.3">
      <c r="A94" t="s">
        <v>31</v>
      </c>
      <c r="B94">
        <v>15</v>
      </c>
      <c r="C94">
        <v>22.268999999999998</v>
      </c>
      <c r="D94">
        <f t="shared" si="25"/>
        <v>603.22234099999991</v>
      </c>
    </row>
    <row r="95" spans="1:6" x14ac:dyDescent="0.3">
      <c r="A95" t="s">
        <v>31</v>
      </c>
      <c r="B95">
        <v>30</v>
      </c>
      <c r="C95">
        <v>26.722000000000001</v>
      </c>
      <c r="D95">
        <f t="shared" si="25"/>
        <v>744.33345799999995</v>
      </c>
    </row>
    <row r="96" spans="1:6" x14ac:dyDescent="0.3">
      <c r="A96" t="s">
        <v>31</v>
      </c>
      <c r="B96">
        <v>45</v>
      </c>
      <c r="C96">
        <v>31.936</v>
      </c>
      <c r="D96">
        <f t="shared" si="25"/>
        <v>909.55990399999996</v>
      </c>
      <c r="F96">
        <f>RSQ(B93:B96,C93:C96)</f>
        <v>0.99905034643755752</v>
      </c>
    </row>
    <row r="97" spans="1:6" x14ac:dyDescent="0.3">
      <c r="A97" t="s">
        <v>32</v>
      </c>
      <c r="B97" t="s">
        <v>16</v>
      </c>
      <c r="C97">
        <v>17.521999999999998</v>
      </c>
      <c r="D97">
        <f t="shared" si="25"/>
        <v>452.79465799999997</v>
      </c>
    </row>
    <row r="98" spans="1:6" x14ac:dyDescent="0.3">
      <c r="A98" t="s">
        <v>32</v>
      </c>
      <c r="B98">
        <v>0</v>
      </c>
      <c r="C98">
        <v>18.466000000000001</v>
      </c>
      <c r="D98">
        <f t="shared" si="25"/>
        <v>482.70907400000004</v>
      </c>
    </row>
    <row r="99" spans="1:6" x14ac:dyDescent="0.3">
      <c r="A99" t="s">
        <v>32</v>
      </c>
      <c r="B99">
        <v>15</v>
      </c>
      <c r="C99">
        <v>29.457999999999998</v>
      </c>
      <c r="D99">
        <f t="shared" si="25"/>
        <v>831.03456199999994</v>
      </c>
    </row>
    <row r="100" spans="1:6" x14ac:dyDescent="0.3">
      <c r="A100" t="s">
        <v>32</v>
      </c>
      <c r="B100">
        <v>30</v>
      </c>
      <c r="C100">
        <v>42.658000000000001</v>
      </c>
      <c r="D100">
        <f t="shared" si="25"/>
        <v>1249.3293619999999</v>
      </c>
    </row>
    <row r="101" spans="1:6" x14ac:dyDescent="0.3">
      <c r="A101" t="s">
        <v>32</v>
      </c>
      <c r="B101">
        <v>45</v>
      </c>
      <c r="C101">
        <v>47.658000000000001</v>
      </c>
      <c r="D101">
        <f t="shared" si="25"/>
        <v>1407.7743620000001</v>
      </c>
      <c r="F101">
        <f>RSQ(B98:B101,C98:C101)</f>
        <v>0.97243810232396044</v>
      </c>
    </row>
    <row r="102" spans="1:6" x14ac:dyDescent="0.3">
      <c r="A102" t="s">
        <v>33</v>
      </c>
      <c r="B102" t="s">
        <v>16</v>
      </c>
      <c r="C102">
        <v>16.984000000000002</v>
      </c>
      <c r="D102">
        <f t="shared" si="25"/>
        <v>435.7459760000001</v>
      </c>
    </row>
    <row r="103" spans="1:6" x14ac:dyDescent="0.3">
      <c r="A103" t="s">
        <v>33</v>
      </c>
      <c r="B103">
        <v>0</v>
      </c>
      <c r="C103">
        <v>19.43</v>
      </c>
      <c r="D103">
        <f t="shared" si="25"/>
        <v>513.25726999999995</v>
      </c>
    </row>
    <row r="104" spans="1:6" x14ac:dyDescent="0.3">
      <c r="A104" t="s">
        <v>33</v>
      </c>
      <c r="B104">
        <v>15</v>
      </c>
      <c r="C104">
        <v>31.663</v>
      </c>
      <c r="D104">
        <f t="shared" si="25"/>
        <v>900.90880700000002</v>
      </c>
    </row>
    <row r="105" spans="1:6" x14ac:dyDescent="0.3">
      <c r="A105" t="s">
        <v>33</v>
      </c>
      <c r="B105">
        <v>30</v>
      </c>
      <c r="C105">
        <v>39.898000000000003</v>
      </c>
      <c r="D105">
        <f t="shared" si="25"/>
        <v>1161.867722</v>
      </c>
    </row>
    <row r="106" spans="1:6" x14ac:dyDescent="0.3">
      <c r="A106" t="s">
        <v>33</v>
      </c>
      <c r="B106">
        <v>45</v>
      </c>
      <c r="C106">
        <v>48.951999999999998</v>
      </c>
      <c r="D106">
        <f t="shared" si="25"/>
        <v>1448.7799279999999</v>
      </c>
      <c r="F106">
        <f>RSQ(B103:B106,C103:C106)</f>
        <v>0.99219267388041354</v>
      </c>
    </row>
    <row r="107" spans="1:6" x14ac:dyDescent="0.3">
      <c r="A107" t="s">
        <v>34</v>
      </c>
      <c r="B107" t="s">
        <v>16</v>
      </c>
      <c r="C107">
        <v>16.954999999999998</v>
      </c>
      <c r="D107">
        <f t="shared" si="25"/>
        <v>434.82699499999995</v>
      </c>
    </row>
    <row r="108" spans="1:6" x14ac:dyDescent="0.3">
      <c r="A108" t="s">
        <v>34</v>
      </c>
      <c r="B108">
        <v>0</v>
      </c>
      <c r="C108">
        <v>22.097000000000001</v>
      </c>
      <c r="D108">
        <f t="shared" si="25"/>
        <v>597.77183300000002</v>
      </c>
    </row>
    <row r="109" spans="1:6" x14ac:dyDescent="0.3">
      <c r="A109" t="s">
        <v>34</v>
      </c>
      <c r="B109">
        <v>15</v>
      </c>
      <c r="C109">
        <v>46.194000000000003</v>
      </c>
      <c r="D109">
        <f t="shared" si="25"/>
        <v>1361.381666</v>
      </c>
    </row>
    <row r="110" spans="1:6" x14ac:dyDescent="0.3">
      <c r="A110" t="s">
        <v>34</v>
      </c>
      <c r="B110">
        <v>30</v>
      </c>
      <c r="C110">
        <v>65.807000000000002</v>
      </c>
      <c r="D110">
        <f t="shared" si="25"/>
        <v>1982.8980230000002</v>
      </c>
    </row>
    <row r="111" spans="1:6" x14ac:dyDescent="0.3">
      <c r="A111" t="s">
        <v>34</v>
      </c>
      <c r="B111">
        <v>45</v>
      </c>
      <c r="C111">
        <v>84.347999999999999</v>
      </c>
      <c r="D111">
        <f t="shared" si="25"/>
        <v>2570.4437720000001</v>
      </c>
      <c r="F111">
        <f>RSQ(B108:B111,C108:C111)</f>
        <v>0.99611751782797442</v>
      </c>
    </row>
    <row r="112" spans="1:6" x14ac:dyDescent="0.3">
      <c r="A112" t="s">
        <v>35</v>
      </c>
      <c r="B112" t="s">
        <v>16</v>
      </c>
      <c r="C112">
        <v>17.408000000000001</v>
      </c>
      <c r="D112">
        <f t="shared" si="25"/>
        <v>449.18211200000002</v>
      </c>
    </row>
    <row r="113" spans="1:6" x14ac:dyDescent="0.3">
      <c r="A113" t="s">
        <v>35</v>
      </c>
      <c r="B113">
        <v>0</v>
      </c>
      <c r="C113">
        <v>19.382000000000001</v>
      </c>
      <c r="D113">
        <f t="shared" si="25"/>
        <v>511.73619800000012</v>
      </c>
    </row>
    <row r="114" spans="1:6" x14ac:dyDescent="0.3">
      <c r="A114" t="s">
        <v>35</v>
      </c>
      <c r="B114">
        <v>15</v>
      </c>
      <c r="C114">
        <v>29.256</v>
      </c>
      <c r="D114">
        <f t="shared" si="25"/>
        <v>824.63338399999998</v>
      </c>
    </row>
    <row r="115" spans="1:6" x14ac:dyDescent="0.3">
      <c r="A115" t="s">
        <v>35</v>
      </c>
      <c r="B115">
        <v>30</v>
      </c>
      <c r="C115">
        <v>37.822000000000003</v>
      </c>
      <c r="D115">
        <f t="shared" si="25"/>
        <v>1096.0813580000001</v>
      </c>
    </row>
    <row r="116" spans="1:6" x14ac:dyDescent="0.3">
      <c r="A116" t="s">
        <v>35</v>
      </c>
      <c r="B116">
        <v>45</v>
      </c>
      <c r="C116">
        <v>47.07</v>
      </c>
      <c r="D116">
        <f t="shared" si="25"/>
        <v>1389.14123</v>
      </c>
      <c r="F116">
        <f>RSQ(B113:B116,C113:C116)</f>
        <v>0.99929546576516348</v>
      </c>
    </row>
    <row r="117" spans="1:6" x14ac:dyDescent="0.3">
      <c r="A117" t="s">
        <v>36</v>
      </c>
      <c r="B117" t="s">
        <v>16</v>
      </c>
      <c r="C117">
        <v>16.529</v>
      </c>
      <c r="D117">
        <f t="shared" si="25"/>
        <v>421.32748099999998</v>
      </c>
    </row>
    <row r="118" spans="1:6" x14ac:dyDescent="0.3">
      <c r="A118" t="s">
        <v>36</v>
      </c>
      <c r="B118">
        <v>0</v>
      </c>
      <c r="C118">
        <v>18.257000000000001</v>
      </c>
      <c r="D118">
        <f t="shared" si="25"/>
        <v>476.08607300000011</v>
      </c>
    </row>
    <row r="119" spans="1:6" x14ac:dyDescent="0.3">
      <c r="A119" t="s">
        <v>36</v>
      </c>
      <c r="B119">
        <v>15</v>
      </c>
      <c r="C119">
        <v>31.268000000000001</v>
      </c>
      <c r="D119">
        <f t="shared" si="25"/>
        <v>888.39165200000002</v>
      </c>
    </row>
    <row r="120" spans="1:6" x14ac:dyDescent="0.3">
      <c r="A120" t="s">
        <v>36</v>
      </c>
      <c r="B120">
        <v>30</v>
      </c>
      <c r="C120">
        <v>42.804000000000002</v>
      </c>
      <c r="D120">
        <f t="shared" si="25"/>
        <v>1253.955956</v>
      </c>
    </row>
    <row r="121" spans="1:6" x14ac:dyDescent="0.3">
      <c r="A121" t="s">
        <v>36</v>
      </c>
      <c r="B121">
        <v>45</v>
      </c>
      <c r="C121">
        <v>56.146000000000001</v>
      </c>
      <c r="D121">
        <f t="shared" ref="D121" si="26">(31.689*C121)-102.46</f>
        <v>1676.7505940000001</v>
      </c>
      <c r="F121">
        <f>RSQ(B118:B121,C118:C121)</f>
        <v>0.99927884930079969</v>
      </c>
    </row>
    <row r="126" spans="1:6" x14ac:dyDescent="0.3">
      <c r="F126" t="e">
        <f>RSQ(B123:B126,C123:C126)</f>
        <v>#DIV/0!</v>
      </c>
    </row>
    <row r="131" spans="6:6" x14ac:dyDescent="0.3">
      <c r="F131" t="e">
        <f>RSQ(B128:B131,C128:C131)</f>
        <v>#DIV/0!</v>
      </c>
    </row>
    <row r="136" spans="6:6" x14ac:dyDescent="0.3">
      <c r="F136" t="e">
        <f>RSQ(B133:B136,C133:C136)</f>
        <v>#DIV/0!</v>
      </c>
    </row>
    <row r="141" spans="6:6" x14ac:dyDescent="0.3">
      <c r="F141" t="e">
        <f>RSQ(B138:B141,C138:C141)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9986-AB3B-4622-844D-0E80F8850AA2}">
  <dimension ref="A1:X141"/>
  <sheetViews>
    <sheetView workbookViewId="0">
      <selection activeCell="F1" sqref="F1:F141"/>
    </sheetView>
  </sheetViews>
  <sheetFormatPr defaultRowHeight="14.4" x14ac:dyDescent="0.3"/>
  <cols>
    <col min="18" max="18" width="12.6640625" bestFit="1" customWidth="1"/>
    <col min="19" max="19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s="2" t="s">
        <v>49</v>
      </c>
      <c r="H1" t="s">
        <v>46</v>
      </c>
      <c r="I1" t="s">
        <v>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40</v>
      </c>
      <c r="S1" t="s">
        <v>41</v>
      </c>
      <c r="T1" t="s">
        <v>42</v>
      </c>
      <c r="W1" t="s">
        <v>43</v>
      </c>
      <c r="X1" t="s">
        <v>44</v>
      </c>
    </row>
    <row r="2" spans="1:24" x14ac:dyDescent="0.3">
      <c r="A2" t="s">
        <v>15</v>
      </c>
      <c r="B2" t="s">
        <v>16</v>
      </c>
      <c r="C2">
        <v>3082</v>
      </c>
      <c r="D2">
        <f>(C2*0.0006)-0.0876</f>
        <v>1.7615999999999998</v>
      </c>
      <c r="H2">
        <v>20190830</v>
      </c>
      <c r="I2" t="s">
        <v>15</v>
      </c>
      <c r="J2">
        <f t="shared" ref="J2:J7" si="0">26.5+273</f>
        <v>299.5</v>
      </c>
      <c r="K2">
        <f>34.25+273</f>
        <v>307.25</v>
      </c>
      <c r="L2">
        <f t="shared" ref="L2:L8" si="1">273+21.1</f>
        <v>294.10000000000002</v>
      </c>
      <c r="M2">
        <v>4.4000000000000004</v>
      </c>
      <c r="N2">
        <f>2.375*27.5*27.5/1000</f>
        <v>1.79609375</v>
      </c>
      <c r="O2">
        <f t="shared" ref="O2:O9" si="2">N2+M2</f>
        <v>6.1960937500000002</v>
      </c>
      <c r="P2">
        <f t="shared" ref="P2:P9" si="3">J2/L2</f>
        <v>1.0183611016660998</v>
      </c>
      <c r="Q2">
        <f t="shared" ref="Q2:Q9" si="4">(O2/22.4)*P2</f>
        <v>0.28169021684269802</v>
      </c>
      <c r="R2">
        <f>(D6-D3)/45/1000000</f>
        <v>-3.2933333333333306E-9</v>
      </c>
      <c r="S2">
        <f>R2*Q2*60</f>
        <v>-5.5661986848117084E-8</v>
      </c>
      <c r="T2">
        <f>S2*16*1000</f>
        <v>-8.9059178956987339E-4</v>
      </c>
      <c r="W2">
        <v>15679</v>
      </c>
      <c r="X2">
        <v>10</v>
      </c>
    </row>
    <row r="3" spans="1:24" x14ac:dyDescent="0.3">
      <c r="A3" t="s">
        <v>15</v>
      </c>
      <c r="B3">
        <v>0</v>
      </c>
      <c r="C3">
        <v>3239</v>
      </c>
      <c r="D3">
        <f t="shared" ref="D3:D66" si="5">(C3*0.0006)-0.0876</f>
        <v>1.8557999999999999</v>
      </c>
      <c r="H3">
        <v>20190830</v>
      </c>
      <c r="I3" t="s">
        <v>17</v>
      </c>
      <c r="J3">
        <f t="shared" si="0"/>
        <v>299.5</v>
      </c>
      <c r="K3">
        <f>32.45+273</f>
        <v>305.45</v>
      </c>
      <c r="L3">
        <f t="shared" si="1"/>
        <v>294.10000000000002</v>
      </c>
      <c r="M3">
        <v>4.4000000000000004</v>
      </c>
      <c r="N3">
        <f>0.625*27.5*27.5/1000</f>
        <v>0.47265625</v>
      </c>
      <c r="O3">
        <f t="shared" si="2"/>
        <v>4.8726562500000004</v>
      </c>
      <c r="P3">
        <f t="shared" si="3"/>
        <v>1.0183611016660998</v>
      </c>
      <c r="Q3">
        <f t="shared" si="4"/>
        <v>0.22152337441027711</v>
      </c>
      <c r="R3">
        <f>(D11-D8)/45/1000000</f>
        <v>-2.2400000000000051E-9</v>
      </c>
      <c r="S3">
        <f t="shared" ref="S3:S25" si="6">R3*Q3*60</f>
        <v>-2.9772741520741312E-8</v>
      </c>
      <c r="T3">
        <f t="shared" ref="T3:T25" si="7">S3*16*1000</f>
        <v>-4.7636386433186101E-4</v>
      </c>
      <c r="W3">
        <v>15841</v>
      </c>
      <c r="X3">
        <v>10</v>
      </c>
    </row>
    <row r="4" spans="1:24" x14ac:dyDescent="0.3">
      <c r="A4" t="s">
        <v>15</v>
      </c>
      <c r="B4">
        <v>15</v>
      </c>
      <c r="C4">
        <v>3083</v>
      </c>
      <c r="D4">
        <f t="shared" si="5"/>
        <v>1.7622</v>
      </c>
      <c r="H4">
        <v>20190830</v>
      </c>
      <c r="I4" t="s">
        <v>18</v>
      </c>
      <c r="J4">
        <f t="shared" si="0"/>
        <v>299.5</v>
      </c>
      <c r="K4">
        <f>33.1+273</f>
        <v>306.10000000000002</v>
      </c>
      <c r="L4">
        <f t="shared" si="1"/>
        <v>294.10000000000002</v>
      </c>
      <c r="M4">
        <v>12.5</v>
      </c>
      <c r="N4">
        <f>0.0625*27.5*27.5/1000</f>
        <v>4.7265624999999999E-2</v>
      </c>
      <c r="O4">
        <f t="shared" si="2"/>
        <v>12.547265625</v>
      </c>
      <c r="P4">
        <f t="shared" si="3"/>
        <v>1.0183611016660998</v>
      </c>
      <c r="Q4">
        <f t="shared" si="4"/>
        <v>0.57043068057018687</v>
      </c>
      <c r="R4">
        <f>(D16-D13)/45/1000000</f>
        <v>-1.1853333333333341E-8</v>
      </c>
      <c r="S4">
        <f t="shared" si="6"/>
        <v>-4.0569030002151718E-7</v>
      </c>
      <c r="T4">
        <f t="shared" si="7"/>
        <v>-6.4910448003442749E-3</v>
      </c>
      <c r="W4">
        <v>15694</v>
      </c>
      <c r="X4">
        <v>10</v>
      </c>
    </row>
    <row r="5" spans="1:24" x14ac:dyDescent="0.3">
      <c r="A5" t="s">
        <v>15</v>
      </c>
      <c r="B5">
        <v>30</v>
      </c>
      <c r="C5">
        <v>3303</v>
      </c>
      <c r="D5">
        <f t="shared" si="5"/>
        <v>1.8941999999999999</v>
      </c>
      <c r="H5">
        <v>20190830</v>
      </c>
      <c r="I5" t="s">
        <v>19</v>
      </c>
      <c r="J5">
        <f t="shared" si="0"/>
        <v>299.5</v>
      </c>
      <c r="K5">
        <f>31.25+273</f>
        <v>304.25</v>
      </c>
      <c r="L5">
        <f t="shared" si="1"/>
        <v>294.10000000000002</v>
      </c>
      <c r="M5">
        <v>4.4000000000000004</v>
      </c>
      <c r="N5">
        <f>1.375*27.5*27.5/1000</f>
        <v>1.03984375</v>
      </c>
      <c r="O5">
        <f t="shared" si="2"/>
        <v>5.4398437500000005</v>
      </c>
      <c r="P5">
        <f t="shared" si="3"/>
        <v>1.0183611016660998</v>
      </c>
      <c r="Q5">
        <f t="shared" si="4"/>
        <v>0.24730916402417183</v>
      </c>
      <c r="R5">
        <f>(D21-D18)/45/1000000</f>
        <v>-4.8000000000000144E-10</v>
      </c>
      <c r="S5">
        <f t="shared" si="6"/>
        <v>-7.1225039238961694E-9</v>
      </c>
      <c r="T5">
        <f t="shared" si="7"/>
        <v>-1.1396006278233871E-4</v>
      </c>
      <c r="W5">
        <v>15728</v>
      </c>
      <c r="X5">
        <v>10</v>
      </c>
    </row>
    <row r="6" spans="1:24" x14ac:dyDescent="0.3">
      <c r="A6" t="s">
        <v>15</v>
      </c>
      <c r="B6">
        <v>45</v>
      </c>
      <c r="C6">
        <v>2992</v>
      </c>
      <c r="D6">
        <f t="shared" si="5"/>
        <v>1.7076</v>
      </c>
      <c r="F6">
        <f>RSQ(B3:B6,C3:C6)</f>
        <v>0.22355266571406215</v>
      </c>
      <c r="H6">
        <v>20190830</v>
      </c>
      <c r="I6" t="s">
        <v>20</v>
      </c>
      <c r="J6">
        <f t="shared" si="0"/>
        <v>299.5</v>
      </c>
      <c r="K6">
        <f>32.45+273</f>
        <v>305.45</v>
      </c>
      <c r="L6">
        <f t="shared" si="1"/>
        <v>294.10000000000002</v>
      </c>
      <c r="M6">
        <v>4.4000000000000004</v>
      </c>
      <c r="N6">
        <f>2.875*27.5*27.5/1000</f>
        <v>2.1742187500000001</v>
      </c>
      <c r="O6">
        <f t="shared" si="2"/>
        <v>6.57421875</v>
      </c>
      <c r="P6">
        <f t="shared" si="3"/>
        <v>1.0183611016660998</v>
      </c>
      <c r="Q6">
        <f t="shared" si="4"/>
        <v>0.29888074325196112</v>
      </c>
      <c r="R6">
        <f>(D26-D23)/45/1000000</f>
        <v>-3.5800000000000005E-9</v>
      </c>
      <c r="S6">
        <f t="shared" si="6"/>
        <v>-6.4199583650521252E-8</v>
      </c>
      <c r="T6">
        <f t="shared" si="7"/>
        <v>-1.02719333840834E-3</v>
      </c>
      <c r="W6">
        <v>15907</v>
      </c>
      <c r="X6">
        <v>10</v>
      </c>
    </row>
    <row r="7" spans="1:24" x14ac:dyDescent="0.3">
      <c r="A7" t="s">
        <v>17</v>
      </c>
      <c r="B7" t="s">
        <v>16</v>
      </c>
      <c r="C7">
        <v>4262</v>
      </c>
      <c r="D7">
        <f t="shared" si="5"/>
        <v>2.4695999999999998</v>
      </c>
      <c r="H7">
        <v>20190830</v>
      </c>
      <c r="I7" t="s">
        <v>21</v>
      </c>
      <c r="J7">
        <f t="shared" si="0"/>
        <v>299.5</v>
      </c>
      <c r="K7">
        <f>30.05+273</f>
        <v>303.05</v>
      </c>
      <c r="L7">
        <f t="shared" si="1"/>
        <v>294.10000000000002</v>
      </c>
      <c r="M7">
        <v>12.5</v>
      </c>
      <c r="N7">
        <f>2.375*27.5*27.5/1000</f>
        <v>1.79609375</v>
      </c>
      <c r="O7">
        <f t="shared" si="2"/>
        <v>14.296093750000001</v>
      </c>
      <c r="P7">
        <f t="shared" si="3"/>
        <v>1.0183611016660998</v>
      </c>
      <c r="Q7">
        <f t="shared" si="4"/>
        <v>0.64993686521302885</v>
      </c>
      <c r="R7">
        <f>(D31-D28)/45/1000000</f>
        <v>-4.7999999999999942E-9</v>
      </c>
      <c r="S7">
        <f t="shared" si="6"/>
        <v>-1.8718181718135207E-7</v>
      </c>
      <c r="T7">
        <f t="shared" si="7"/>
        <v>-2.9949090749016331E-3</v>
      </c>
      <c r="W7">
        <v>15715</v>
      </c>
      <c r="X7">
        <v>10</v>
      </c>
    </row>
    <row r="8" spans="1:24" x14ac:dyDescent="0.3">
      <c r="A8" t="s">
        <v>17</v>
      </c>
      <c r="B8">
        <v>0</v>
      </c>
      <c r="C8">
        <v>3475</v>
      </c>
      <c r="D8">
        <f t="shared" si="5"/>
        <v>1.9974000000000001</v>
      </c>
      <c r="H8" s="1">
        <v>20190830</v>
      </c>
      <c r="I8" s="1" t="s">
        <v>22</v>
      </c>
      <c r="J8" s="1"/>
      <c r="K8" s="1">
        <f>37.5+273</f>
        <v>310.5</v>
      </c>
      <c r="L8" s="1">
        <f t="shared" si="1"/>
        <v>294.10000000000002</v>
      </c>
      <c r="M8" s="1">
        <v>12.5</v>
      </c>
      <c r="N8" s="1">
        <f>2*27.5*27.5/1000</f>
        <v>1.5125</v>
      </c>
      <c r="O8" s="1">
        <f t="shared" si="2"/>
        <v>14.012499999999999</v>
      </c>
      <c r="P8" s="1">
        <f t="shared" si="3"/>
        <v>0</v>
      </c>
      <c r="Q8" s="1">
        <f t="shared" si="4"/>
        <v>0</v>
      </c>
      <c r="R8" s="1" t="e">
        <f>(D36-D33)/45/1000000</f>
        <v>#VALUE!</v>
      </c>
      <c r="S8" s="1" t="e">
        <f t="shared" si="6"/>
        <v>#VALUE!</v>
      </c>
      <c r="T8" s="1" t="e">
        <f t="shared" si="7"/>
        <v>#VALUE!</v>
      </c>
      <c r="W8">
        <v>15859</v>
      </c>
      <c r="X8">
        <v>10</v>
      </c>
    </row>
    <row r="9" spans="1:24" x14ac:dyDescent="0.3">
      <c r="A9" t="s">
        <v>17</v>
      </c>
      <c r="B9">
        <v>15</v>
      </c>
      <c r="C9">
        <v>3068</v>
      </c>
      <c r="D9">
        <f t="shared" si="5"/>
        <v>1.7531999999999999</v>
      </c>
      <c r="H9">
        <v>20190830</v>
      </c>
      <c r="I9" t="s">
        <v>23</v>
      </c>
      <c r="J9">
        <f>273+26.6</f>
        <v>299.60000000000002</v>
      </c>
      <c r="K9">
        <f>273+37.5</f>
        <v>310.5</v>
      </c>
      <c r="L9">
        <v>294.10000000000002</v>
      </c>
      <c r="M9">
        <v>12.5</v>
      </c>
      <c r="N9">
        <f>2*27.5*27.5/1000</f>
        <v>1.5125</v>
      </c>
      <c r="O9">
        <f t="shared" si="2"/>
        <v>14.012499999999999</v>
      </c>
      <c r="P9">
        <f t="shared" si="3"/>
        <v>1.0187011220673241</v>
      </c>
      <c r="Q9">
        <f t="shared" si="4"/>
        <v>0.63725667290037402</v>
      </c>
      <c r="R9">
        <f>(D41-D38)/45/1000000</f>
        <v>4.5333333333333275E-10</v>
      </c>
      <c r="S9">
        <f t="shared" si="6"/>
        <v>1.733338150289015E-8</v>
      </c>
      <c r="T9">
        <f t="shared" si="7"/>
        <v>2.7733410404624239E-4</v>
      </c>
      <c r="W9">
        <v>15874</v>
      </c>
      <c r="X9">
        <v>10</v>
      </c>
    </row>
    <row r="10" spans="1:24" x14ac:dyDescent="0.3">
      <c r="A10" t="s">
        <v>17</v>
      </c>
      <c r="B10">
        <v>30</v>
      </c>
      <c r="C10">
        <v>3067</v>
      </c>
      <c r="D10">
        <f t="shared" si="5"/>
        <v>1.7525999999999999</v>
      </c>
      <c r="H10">
        <v>20190830</v>
      </c>
      <c r="I10" t="s">
        <v>24</v>
      </c>
      <c r="J10">
        <f>26.6+273</f>
        <v>299.60000000000002</v>
      </c>
      <c r="K10">
        <f>31.9+273</f>
        <v>304.89999999999998</v>
      </c>
      <c r="L10">
        <f>273+21.1</f>
        <v>294.10000000000002</v>
      </c>
      <c r="M10">
        <v>12.5</v>
      </c>
      <c r="N10">
        <f>2.875*27.5*27.5/1000</f>
        <v>2.1742187500000001</v>
      </c>
      <c r="O10">
        <f>N10+M10</f>
        <v>14.67421875</v>
      </c>
      <c r="P10">
        <f>J10/L10</f>
        <v>1.0187011220673241</v>
      </c>
      <c r="Q10">
        <f>(O10/22.4)*P10</f>
        <v>0.66735013866456994</v>
      </c>
      <c r="R10">
        <f>(D46-D43)/45/1000000</f>
        <v>-4.1333333333333373E-9</v>
      </c>
      <c r="S10">
        <f t="shared" si="6"/>
        <v>-1.6550283438881348E-7</v>
      </c>
      <c r="T10">
        <f t="shared" si="7"/>
        <v>-2.6480453502210157E-3</v>
      </c>
      <c r="W10">
        <v>15721</v>
      </c>
      <c r="X10">
        <v>10</v>
      </c>
    </row>
    <row r="11" spans="1:24" x14ac:dyDescent="0.3">
      <c r="A11" t="s">
        <v>17</v>
      </c>
      <c r="B11">
        <v>45</v>
      </c>
      <c r="C11">
        <v>3307</v>
      </c>
      <c r="D11">
        <f t="shared" si="5"/>
        <v>1.8965999999999998</v>
      </c>
      <c r="F11">
        <f>RSQ(B8:B11,C8:C11)</f>
        <v>0.10736561142931721</v>
      </c>
      <c r="H11" s="1">
        <v>20190830</v>
      </c>
      <c r="I11" s="1" t="s">
        <v>37</v>
      </c>
      <c r="J11" s="1">
        <f>273+25.8</f>
        <v>298.8</v>
      </c>
      <c r="K11" s="1">
        <f>273+33.3</f>
        <v>306.3</v>
      </c>
      <c r="L11" s="1">
        <v>294.10000000000002</v>
      </c>
      <c r="M11" s="1">
        <v>12.5</v>
      </c>
      <c r="N11" s="1">
        <f>3*27.5*27.5/1000</f>
        <v>2.2687499999999998</v>
      </c>
      <c r="O11" s="1">
        <f t="shared" ref="O11:O25" si="8">N11+M11</f>
        <v>14.768750000000001</v>
      </c>
      <c r="P11" s="1">
        <f t="shared" ref="P11:P25" si="9">J11/L11</f>
        <v>1.0159809588575315</v>
      </c>
      <c r="Q11" s="1">
        <f t="shared" ref="Q11:Q25" si="10">(O11/22.4)*P11</f>
        <v>0.66985574938067727</v>
      </c>
      <c r="R11" s="1" t="e">
        <f>(D51-D48)/45/1000000</f>
        <v>#VALUE!</v>
      </c>
      <c r="S11" s="1" t="e">
        <f t="shared" si="6"/>
        <v>#VALUE!</v>
      </c>
      <c r="T11" s="1" t="e">
        <f t="shared" si="7"/>
        <v>#VALUE!</v>
      </c>
      <c r="W11">
        <v>15860</v>
      </c>
      <c r="X11">
        <v>10</v>
      </c>
    </row>
    <row r="12" spans="1:24" x14ac:dyDescent="0.3">
      <c r="A12" t="s">
        <v>18</v>
      </c>
      <c r="B12" t="s">
        <v>16</v>
      </c>
      <c r="C12">
        <v>3405</v>
      </c>
      <c r="D12">
        <f t="shared" si="5"/>
        <v>1.9553999999999998</v>
      </c>
      <c r="H12" s="1">
        <v>20190830</v>
      </c>
      <c r="I12" s="1" t="s">
        <v>38</v>
      </c>
      <c r="J12" s="1">
        <f>273+25.8</f>
        <v>298.8</v>
      </c>
      <c r="K12" s="1">
        <f>273+30.6</f>
        <v>303.60000000000002</v>
      </c>
      <c r="L12" s="1">
        <v>294.10000000000002</v>
      </c>
      <c r="M12" s="1">
        <v>12.5</v>
      </c>
      <c r="N12" s="1">
        <f>2.5*27.5*27.5/1000</f>
        <v>1.890625</v>
      </c>
      <c r="O12" s="1">
        <f t="shared" si="8"/>
        <v>14.390625</v>
      </c>
      <c r="P12" s="1">
        <f t="shared" si="9"/>
        <v>1.0159809588575315</v>
      </c>
      <c r="Q12" s="1">
        <f t="shared" si="10"/>
        <v>0.65270540116335551</v>
      </c>
      <c r="R12" s="1" t="e">
        <f>(D56-D53)/45/1000000</f>
        <v>#VALUE!</v>
      </c>
      <c r="S12" s="1" t="e">
        <f t="shared" si="6"/>
        <v>#VALUE!</v>
      </c>
      <c r="T12" s="1" t="e">
        <f t="shared" si="7"/>
        <v>#VALUE!</v>
      </c>
      <c r="W12">
        <v>15821</v>
      </c>
      <c r="X12">
        <v>10</v>
      </c>
    </row>
    <row r="13" spans="1:24" x14ac:dyDescent="0.3">
      <c r="A13" t="s">
        <v>18</v>
      </c>
      <c r="B13">
        <v>0</v>
      </c>
      <c r="C13">
        <v>4389</v>
      </c>
      <c r="D13">
        <f t="shared" si="5"/>
        <v>2.5457999999999998</v>
      </c>
      <c r="H13">
        <v>20190830</v>
      </c>
      <c r="I13" t="s">
        <v>39</v>
      </c>
      <c r="J13">
        <f>26.6+273</f>
        <v>299.60000000000002</v>
      </c>
      <c r="K13">
        <f>34.8+273</f>
        <v>307.8</v>
      </c>
      <c r="L13">
        <f t="shared" ref="L13:L25" si="11">273+21.1</f>
        <v>294.10000000000002</v>
      </c>
      <c r="M13">
        <v>12.5</v>
      </c>
      <c r="N13">
        <f>2.125*27.5*27.5/1000</f>
        <v>1.6070312499999999</v>
      </c>
      <c r="O13">
        <f t="shared" si="8"/>
        <v>14.10703125</v>
      </c>
      <c r="P13">
        <f t="shared" si="9"/>
        <v>1.0187011220673241</v>
      </c>
      <c r="Q13">
        <f t="shared" si="10"/>
        <v>0.64155573943811639</v>
      </c>
      <c r="R13">
        <f>(D61-D58)/45/1000000</f>
        <v>3.6399999999999986E-9</v>
      </c>
      <c r="S13">
        <f t="shared" si="6"/>
        <v>1.4011577349328457E-7</v>
      </c>
      <c r="T13">
        <f t="shared" si="7"/>
        <v>2.2418523758925531E-3</v>
      </c>
      <c r="W13">
        <v>15586</v>
      </c>
      <c r="X13">
        <v>10</v>
      </c>
    </row>
    <row r="14" spans="1:24" x14ac:dyDescent="0.3">
      <c r="A14" t="s">
        <v>18</v>
      </c>
      <c r="B14">
        <v>15</v>
      </c>
      <c r="C14">
        <v>3421</v>
      </c>
      <c r="D14">
        <f t="shared" si="5"/>
        <v>1.9650000000000001</v>
      </c>
      <c r="H14">
        <v>20190830</v>
      </c>
      <c r="I14" t="s">
        <v>25</v>
      </c>
      <c r="J14">
        <f t="shared" ref="J14:J19" si="12">24.2+273</f>
        <v>297.2</v>
      </c>
      <c r="K14">
        <f>18.4+273</f>
        <v>291.39999999999998</v>
      </c>
      <c r="L14">
        <f t="shared" si="11"/>
        <v>294.10000000000002</v>
      </c>
      <c r="M14">
        <v>12.5</v>
      </c>
      <c r="N14">
        <f>3.375*27.5*27.5/1000</f>
        <v>2.5523437499999999</v>
      </c>
      <c r="O14">
        <f t="shared" si="8"/>
        <v>15.05234375</v>
      </c>
      <c r="P14">
        <f t="shared" si="9"/>
        <v>1.0105406324379462</v>
      </c>
      <c r="Q14">
        <f t="shared" si="10"/>
        <v>0.67906272199992712</v>
      </c>
      <c r="R14">
        <f>(D66-D63)/45/1000000</f>
        <v>2.5093333333333313E-9</v>
      </c>
      <c r="S14">
        <f t="shared" si="6"/>
        <v>1.0223968342430895E-7</v>
      </c>
      <c r="T14">
        <f t="shared" si="7"/>
        <v>1.6358349347889432E-3</v>
      </c>
      <c r="W14">
        <v>15588</v>
      </c>
      <c r="X14">
        <v>10</v>
      </c>
    </row>
    <row r="15" spans="1:24" x14ac:dyDescent="0.3">
      <c r="A15" t="s">
        <v>18</v>
      </c>
      <c r="B15">
        <v>30</v>
      </c>
      <c r="C15">
        <v>3421</v>
      </c>
      <c r="D15">
        <f t="shared" si="5"/>
        <v>1.9650000000000001</v>
      </c>
      <c r="H15">
        <v>20190830</v>
      </c>
      <c r="I15" t="s">
        <v>26</v>
      </c>
      <c r="J15">
        <f t="shared" si="12"/>
        <v>297.2</v>
      </c>
      <c r="K15">
        <f>18.2+273</f>
        <v>291.2</v>
      </c>
      <c r="L15">
        <f t="shared" si="11"/>
        <v>294.10000000000002</v>
      </c>
      <c r="M15">
        <v>12.5</v>
      </c>
      <c r="N15">
        <f>1.25*27.5*27.5/1000</f>
        <v>0.9453125</v>
      </c>
      <c r="O15">
        <f t="shared" si="8"/>
        <v>13.4453125</v>
      </c>
      <c r="P15">
        <f t="shared" si="9"/>
        <v>1.0105406324379462</v>
      </c>
      <c r="Q15">
        <f t="shared" si="10"/>
        <v>0.6065640445123136</v>
      </c>
      <c r="R15">
        <f>(D71-D68)/45/1000000</f>
        <v>2.0533333333333341E-9</v>
      </c>
      <c r="S15">
        <f t="shared" si="6"/>
        <v>7.472869028391706E-8</v>
      </c>
      <c r="T15">
        <f t="shared" si="7"/>
        <v>1.1956590445426729E-3</v>
      </c>
      <c r="W15">
        <v>15890</v>
      </c>
      <c r="X15">
        <v>10</v>
      </c>
    </row>
    <row r="16" spans="1:24" x14ac:dyDescent="0.3">
      <c r="A16" t="s">
        <v>18</v>
      </c>
      <c r="B16">
        <v>45</v>
      </c>
      <c r="C16">
        <v>3500</v>
      </c>
      <c r="D16">
        <f t="shared" si="5"/>
        <v>2.0123999999999995</v>
      </c>
      <c r="F16">
        <f>RSQ(B13:B16,C13:C16)</f>
        <v>0.53143705047460621</v>
      </c>
      <c r="H16">
        <v>20190830</v>
      </c>
      <c r="I16" t="s">
        <v>27</v>
      </c>
      <c r="J16">
        <f t="shared" si="12"/>
        <v>297.2</v>
      </c>
      <c r="K16">
        <f>19.7+273</f>
        <v>292.7</v>
      </c>
      <c r="L16">
        <f t="shared" si="11"/>
        <v>294.10000000000002</v>
      </c>
      <c r="M16">
        <v>12.5</v>
      </c>
      <c r="N16">
        <f>1.375*27.5*27.5/1000</f>
        <v>1.03984375</v>
      </c>
      <c r="O16">
        <f t="shared" si="8"/>
        <v>13.539843749999999</v>
      </c>
      <c r="P16">
        <f t="shared" si="9"/>
        <v>1.0105406324379462</v>
      </c>
      <c r="Q16">
        <f t="shared" si="10"/>
        <v>0.61082867259982021</v>
      </c>
      <c r="R16">
        <f>(D76-D73)/45/1000000</f>
        <v>-5.2000000000000193E-10</v>
      </c>
      <c r="S16">
        <f t="shared" si="6"/>
        <v>-1.9057854585114462E-8</v>
      </c>
      <c r="T16">
        <f t="shared" si="7"/>
        <v>-3.0492567336183141E-4</v>
      </c>
      <c r="W16">
        <v>15721</v>
      </c>
      <c r="X16">
        <v>10</v>
      </c>
    </row>
    <row r="17" spans="1:24" x14ac:dyDescent="0.3">
      <c r="A17" t="s">
        <v>19</v>
      </c>
      <c r="B17" t="s">
        <v>16</v>
      </c>
      <c r="C17">
        <v>3323.5</v>
      </c>
      <c r="D17">
        <f t="shared" si="5"/>
        <v>1.9064999999999999</v>
      </c>
      <c r="H17">
        <v>20190830</v>
      </c>
      <c r="I17" t="s">
        <v>28</v>
      </c>
      <c r="J17">
        <f t="shared" si="12"/>
        <v>297.2</v>
      </c>
      <c r="K17">
        <f>19.2+273</f>
        <v>292.2</v>
      </c>
      <c r="L17">
        <f t="shared" si="11"/>
        <v>294.10000000000002</v>
      </c>
      <c r="M17">
        <v>12.5</v>
      </c>
      <c r="N17">
        <f>4.5*27.5*27.5/1000</f>
        <v>3.4031250000000002</v>
      </c>
      <c r="O17">
        <f t="shared" si="8"/>
        <v>15.903124999999999</v>
      </c>
      <c r="P17">
        <f t="shared" si="9"/>
        <v>1.0105406324379462</v>
      </c>
      <c r="Q17">
        <f t="shared" si="10"/>
        <v>0.71744437478748724</v>
      </c>
      <c r="R17">
        <f>(D81-D78)/45/1000000</f>
        <v>1.813333333333331E-9</v>
      </c>
      <c r="S17">
        <f t="shared" si="6"/>
        <v>7.8057947976878508E-8</v>
      </c>
      <c r="T17">
        <f t="shared" si="7"/>
        <v>1.248927167630056E-3</v>
      </c>
      <c r="W17">
        <v>15492</v>
      </c>
      <c r="X17">
        <v>10</v>
      </c>
    </row>
    <row r="18" spans="1:24" x14ac:dyDescent="0.3">
      <c r="A18" t="s">
        <v>19</v>
      </c>
      <c r="B18">
        <v>0</v>
      </c>
      <c r="C18">
        <v>3237</v>
      </c>
      <c r="D18">
        <f t="shared" si="5"/>
        <v>1.8546</v>
      </c>
      <c r="H18">
        <v>20190830</v>
      </c>
      <c r="I18" t="s">
        <v>29</v>
      </c>
      <c r="J18">
        <f t="shared" si="12"/>
        <v>297.2</v>
      </c>
      <c r="K18">
        <f>19.3+273</f>
        <v>292.3</v>
      </c>
      <c r="L18">
        <f t="shared" si="11"/>
        <v>294.10000000000002</v>
      </c>
      <c r="M18">
        <v>4.4000000000000004</v>
      </c>
      <c r="N18">
        <f>1.875*27.5*27.5/1000</f>
        <v>1.41796875</v>
      </c>
      <c r="O18">
        <f t="shared" si="8"/>
        <v>5.8179687500000004</v>
      </c>
      <c r="P18">
        <f t="shared" si="9"/>
        <v>1.0105406324379462</v>
      </c>
      <c r="Q18">
        <f t="shared" si="10"/>
        <v>0.26246847411291108</v>
      </c>
      <c r="R18">
        <f>(D86-D83)/45/1000000</f>
        <v>4.0000000000000534E-11</v>
      </c>
      <c r="S18">
        <f t="shared" si="6"/>
        <v>6.2992433787099502E-10</v>
      </c>
      <c r="T18">
        <f t="shared" si="7"/>
        <v>1.0078789405935921E-5</v>
      </c>
      <c r="W18">
        <v>15652</v>
      </c>
      <c r="X18">
        <v>10</v>
      </c>
    </row>
    <row r="19" spans="1:24" x14ac:dyDescent="0.3">
      <c r="A19" t="s">
        <v>19</v>
      </c>
      <c r="B19">
        <v>15</v>
      </c>
      <c r="C19">
        <v>3219.5</v>
      </c>
      <c r="D19">
        <f t="shared" si="5"/>
        <v>1.8440999999999999</v>
      </c>
      <c r="H19">
        <v>20190830</v>
      </c>
      <c r="I19" t="s">
        <v>30</v>
      </c>
      <c r="J19">
        <f t="shared" si="12"/>
        <v>297.2</v>
      </c>
      <c r="K19">
        <f>19.7+273</f>
        <v>292.7</v>
      </c>
      <c r="L19">
        <f t="shared" si="11"/>
        <v>294.10000000000002</v>
      </c>
      <c r="M19">
        <v>12.5</v>
      </c>
      <c r="N19">
        <f>1.875*27.5*27.5/1000</f>
        <v>1.41796875</v>
      </c>
      <c r="O19">
        <f t="shared" si="8"/>
        <v>13.91796875</v>
      </c>
      <c r="P19">
        <f t="shared" si="9"/>
        <v>1.0105406324379462</v>
      </c>
      <c r="Q19">
        <f t="shared" si="10"/>
        <v>0.62788718494984697</v>
      </c>
      <c r="R19">
        <f>(D91-D88)/45/1000000</f>
        <v>-1.1866666666666642E-9</v>
      </c>
      <c r="S19">
        <f t="shared" si="6"/>
        <v>-4.4705567568429009E-8</v>
      </c>
      <c r="T19">
        <f t="shared" si="7"/>
        <v>-7.1528908109486414E-4</v>
      </c>
      <c r="W19">
        <v>15626</v>
      </c>
      <c r="X19">
        <v>10</v>
      </c>
    </row>
    <row r="20" spans="1:24" x14ac:dyDescent="0.3">
      <c r="A20" t="s">
        <v>19</v>
      </c>
      <c r="B20">
        <v>30</v>
      </c>
      <c r="C20">
        <v>3207.5</v>
      </c>
      <c r="D20">
        <f t="shared" si="5"/>
        <v>1.8369</v>
      </c>
      <c r="H20">
        <v>20190830</v>
      </c>
      <c r="I20" t="s">
        <v>31</v>
      </c>
      <c r="J20">
        <f t="shared" ref="J20:J25" si="13">24.5+273</f>
        <v>297.5</v>
      </c>
      <c r="K20">
        <f>19.3+273</f>
        <v>292.3</v>
      </c>
      <c r="L20">
        <f t="shared" si="11"/>
        <v>294.10000000000002</v>
      </c>
      <c r="M20">
        <v>12.5</v>
      </c>
      <c r="N20">
        <f>1.625*27.5*27.5/1000</f>
        <v>1.2289062500000001</v>
      </c>
      <c r="O20">
        <f t="shared" si="8"/>
        <v>13.72890625</v>
      </c>
      <c r="P20">
        <f t="shared" si="9"/>
        <v>1.0115606936416184</v>
      </c>
      <c r="Q20">
        <f t="shared" si="10"/>
        <v>0.61998312183887283</v>
      </c>
      <c r="R20">
        <f>(D96-D93)/45/1000000</f>
        <v>-3.0999999999999992E-9</v>
      </c>
      <c r="S20">
        <f t="shared" si="6"/>
        <v>-1.1531686066203032E-7</v>
      </c>
      <c r="T20">
        <f t="shared" si="7"/>
        <v>-1.8450697705924852E-3</v>
      </c>
      <c r="W20">
        <v>15765</v>
      </c>
      <c r="X20">
        <v>10</v>
      </c>
    </row>
    <row r="21" spans="1:24" x14ac:dyDescent="0.3">
      <c r="A21" t="s">
        <v>19</v>
      </c>
      <c r="B21">
        <v>45</v>
      </c>
      <c r="C21">
        <v>3201</v>
      </c>
      <c r="D21">
        <f t="shared" si="5"/>
        <v>1.833</v>
      </c>
      <c r="F21">
        <f>RSQ(B18:B21,C18:C21)</f>
        <v>0.95968010663112313</v>
      </c>
      <c r="H21">
        <v>20190830</v>
      </c>
      <c r="I21" t="s">
        <v>32</v>
      </c>
      <c r="J21">
        <f t="shared" si="13"/>
        <v>297.5</v>
      </c>
      <c r="K21">
        <f>19.5+273</f>
        <v>292.5</v>
      </c>
      <c r="L21">
        <f t="shared" si="11"/>
        <v>294.10000000000002</v>
      </c>
      <c r="M21">
        <v>12.5</v>
      </c>
      <c r="N21">
        <f>1.875*27.5*27.5/1000</f>
        <v>1.41796875</v>
      </c>
      <c r="O21">
        <f t="shared" si="8"/>
        <v>13.91796875</v>
      </c>
      <c r="P21">
        <f t="shared" si="9"/>
        <v>1.0115606936416184</v>
      </c>
      <c r="Q21">
        <f t="shared" si="10"/>
        <v>0.62852098762644504</v>
      </c>
      <c r="R21">
        <f>(D101-D98)/45/1000000</f>
        <v>-2.0822222222222148E-9</v>
      </c>
      <c r="S21">
        <f t="shared" si="6"/>
        <v>-7.8523222054130255E-8</v>
      </c>
      <c r="T21">
        <f t="shared" si="7"/>
        <v>-1.2563715528660841E-3</v>
      </c>
      <c r="W21">
        <v>15591</v>
      </c>
      <c r="X21">
        <v>10</v>
      </c>
    </row>
    <row r="22" spans="1:24" x14ac:dyDescent="0.3">
      <c r="A22" t="s">
        <v>20</v>
      </c>
      <c r="B22" t="s">
        <v>16</v>
      </c>
      <c r="C22">
        <v>3256.5</v>
      </c>
      <c r="D22">
        <f t="shared" si="5"/>
        <v>1.8662999999999998</v>
      </c>
      <c r="H22">
        <v>20190830</v>
      </c>
      <c r="I22" t="s">
        <v>33</v>
      </c>
      <c r="J22">
        <f t="shared" si="13"/>
        <v>297.5</v>
      </c>
      <c r="K22">
        <f>18.7+273</f>
        <v>291.7</v>
      </c>
      <c r="L22">
        <f t="shared" si="11"/>
        <v>294.10000000000002</v>
      </c>
      <c r="M22">
        <v>12.5</v>
      </c>
      <c r="N22">
        <f>0.375*27.5*27.5/1000</f>
        <v>0.28359374999999998</v>
      </c>
      <c r="O22">
        <f t="shared" si="8"/>
        <v>12.78359375</v>
      </c>
      <c r="P22">
        <f t="shared" si="9"/>
        <v>1.0115606936416184</v>
      </c>
      <c r="Q22">
        <f t="shared" si="10"/>
        <v>0.57729379290101146</v>
      </c>
      <c r="R22">
        <f>(D106-D101)/45/1000000</f>
        <v>1.6888888888888015E-10</v>
      </c>
      <c r="S22">
        <f t="shared" si="6"/>
        <v>5.8499104347299463E-9</v>
      </c>
      <c r="T22">
        <f t="shared" si="7"/>
        <v>9.3598566955679135E-5</v>
      </c>
      <c r="W22">
        <v>15628</v>
      </c>
      <c r="X22">
        <v>10</v>
      </c>
    </row>
    <row r="23" spans="1:24" x14ac:dyDescent="0.3">
      <c r="A23" t="s">
        <v>20</v>
      </c>
      <c r="B23">
        <v>0</v>
      </c>
      <c r="C23">
        <v>3287.5</v>
      </c>
      <c r="D23">
        <f t="shared" si="5"/>
        <v>1.8849</v>
      </c>
      <c r="H23">
        <v>20190830</v>
      </c>
      <c r="I23" t="s">
        <v>34</v>
      </c>
      <c r="J23">
        <f t="shared" si="13"/>
        <v>297.5</v>
      </c>
      <c r="K23">
        <f>20.6+273</f>
        <v>293.60000000000002</v>
      </c>
      <c r="L23">
        <f t="shared" si="11"/>
        <v>294.10000000000002</v>
      </c>
      <c r="M23">
        <v>4.4000000000000004</v>
      </c>
      <c r="N23">
        <f>3*27.5*27.5/1000</f>
        <v>2.2687499999999998</v>
      </c>
      <c r="O23">
        <f t="shared" si="8"/>
        <v>6.6687500000000002</v>
      </c>
      <c r="P23">
        <f t="shared" si="9"/>
        <v>1.0115606936416184</v>
      </c>
      <c r="Q23">
        <f t="shared" si="10"/>
        <v>0.30115381141618497</v>
      </c>
      <c r="R23">
        <f>(D111-D108)/45/1000000</f>
        <v>1.9200000000000008E-9</v>
      </c>
      <c r="S23">
        <f t="shared" si="6"/>
        <v>3.4692919075144524E-8</v>
      </c>
      <c r="T23">
        <f t="shared" si="7"/>
        <v>5.5508670520231233E-4</v>
      </c>
      <c r="W23">
        <v>15801</v>
      </c>
      <c r="X23">
        <v>10</v>
      </c>
    </row>
    <row r="24" spans="1:24" x14ac:dyDescent="0.3">
      <c r="A24" t="s">
        <v>20</v>
      </c>
      <c r="B24">
        <v>15</v>
      </c>
      <c r="C24">
        <v>3346</v>
      </c>
      <c r="D24">
        <f t="shared" si="5"/>
        <v>1.9199999999999997</v>
      </c>
      <c r="H24">
        <v>20190830</v>
      </c>
      <c r="I24" t="s">
        <v>35</v>
      </c>
      <c r="J24">
        <f t="shared" si="13"/>
        <v>297.5</v>
      </c>
      <c r="K24">
        <f>20.8+273</f>
        <v>293.8</v>
      </c>
      <c r="L24">
        <f t="shared" si="11"/>
        <v>294.10000000000002</v>
      </c>
      <c r="M24">
        <v>12.5</v>
      </c>
      <c r="N24">
        <f>3.5*27.5*27.5/1000</f>
        <v>2.6468750000000001</v>
      </c>
      <c r="O24">
        <f t="shared" si="8"/>
        <v>15.146875</v>
      </c>
      <c r="P24">
        <f t="shared" si="9"/>
        <v>1.0115606936416184</v>
      </c>
      <c r="Q24">
        <f t="shared" si="10"/>
        <v>0.68401711524566466</v>
      </c>
      <c r="R24">
        <f>(D116-113)/45/1000000</f>
        <v>-2.4676644444444444E-6</v>
      </c>
      <c r="S24">
        <f t="shared" si="6"/>
        <v>-1.0127548288099107E-4</v>
      </c>
      <c r="T24">
        <f t="shared" si="7"/>
        <v>-1.6204077260958571</v>
      </c>
      <c r="W24">
        <v>15801</v>
      </c>
      <c r="X24">
        <v>10</v>
      </c>
    </row>
    <row r="25" spans="1:24" x14ac:dyDescent="0.3">
      <c r="A25" t="s">
        <v>20</v>
      </c>
      <c r="B25">
        <v>30</v>
      </c>
      <c r="C25">
        <v>3274</v>
      </c>
      <c r="D25">
        <f t="shared" si="5"/>
        <v>1.8768</v>
      </c>
      <c r="H25">
        <v>20190830</v>
      </c>
      <c r="I25" t="s">
        <v>36</v>
      </c>
      <c r="J25">
        <f t="shared" si="13"/>
        <v>297.5</v>
      </c>
      <c r="K25">
        <f>20.4+273</f>
        <v>293.39999999999998</v>
      </c>
      <c r="L25">
        <f t="shared" si="11"/>
        <v>294.10000000000002</v>
      </c>
      <c r="M25">
        <v>12.5</v>
      </c>
      <c r="N25">
        <f>0.875*27.5*27.5/1000</f>
        <v>0.66171875000000002</v>
      </c>
      <c r="O25">
        <f t="shared" si="8"/>
        <v>13.16171875</v>
      </c>
      <c r="P25">
        <f t="shared" si="9"/>
        <v>1.0115606936416184</v>
      </c>
      <c r="Q25">
        <f t="shared" si="10"/>
        <v>0.59436952447615599</v>
      </c>
      <c r="R25">
        <f>(D121-D118)/45/1000000</f>
        <v>-1.0533333333333208E-9</v>
      </c>
      <c r="S25">
        <f t="shared" si="6"/>
        <v>-3.756415394689261E-8</v>
      </c>
      <c r="T25">
        <f t="shared" si="7"/>
        <v>-6.0102646315028175E-4</v>
      </c>
      <c r="W25">
        <v>15607</v>
      </c>
      <c r="X25">
        <v>10</v>
      </c>
    </row>
    <row r="26" spans="1:24" x14ac:dyDescent="0.3">
      <c r="A26" t="s">
        <v>20</v>
      </c>
      <c r="B26">
        <v>45</v>
      </c>
      <c r="C26">
        <v>3019</v>
      </c>
      <c r="D26">
        <f t="shared" si="5"/>
        <v>1.7238</v>
      </c>
      <c r="F26">
        <f>RSQ(B23:B26,C23:C26)</f>
        <v>0.60909843286969056</v>
      </c>
      <c r="W26">
        <v>15414</v>
      </c>
      <c r="X26">
        <v>10</v>
      </c>
    </row>
    <row r="27" spans="1:24" x14ac:dyDescent="0.3">
      <c r="A27" t="s">
        <v>21</v>
      </c>
      <c r="B27" t="s">
        <v>16</v>
      </c>
      <c r="C27">
        <v>3294</v>
      </c>
      <c r="D27">
        <f t="shared" si="5"/>
        <v>1.8888</v>
      </c>
      <c r="W27">
        <v>15656</v>
      </c>
      <c r="X27">
        <v>10</v>
      </c>
    </row>
    <row r="28" spans="1:24" x14ac:dyDescent="0.3">
      <c r="A28" t="s">
        <v>21</v>
      </c>
      <c r="B28">
        <v>0</v>
      </c>
      <c r="C28">
        <v>3446</v>
      </c>
      <c r="D28">
        <f t="shared" si="5"/>
        <v>1.9799999999999998</v>
      </c>
      <c r="W28">
        <v>15409</v>
      </c>
      <c r="X28">
        <v>10</v>
      </c>
    </row>
    <row r="29" spans="1:24" x14ac:dyDescent="0.3">
      <c r="A29" t="s">
        <v>21</v>
      </c>
      <c r="B29">
        <v>15</v>
      </c>
      <c r="C29">
        <v>3118</v>
      </c>
      <c r="D29">
        <f t="shared" si="5"/>
        <v>1.7831999999999999</v>
      </c>
      <c r="W29">
        <v>15673</v>
      </c>
      <c r="X29">
        <v>10</v>
      </c>
    </row>
    <row r="30" spans="1:24" x14ac:dyDescent="0.3">
      <c r="A30" t="s">
        <v>21</v>
      </c>
      <c r="B30">
        <v>30</v>
      </c>
      <c r="C30">
        <v>3246</v>
      </c>
      <c r="D30">
        <f t="shared" si="5"/>
        <v>1.8599999999999999</v>
      </c>
      <c r="W30">
        <v>15695</v>
      </c>
      <c r="X30">
        <v>10</v>
      </c>
    </row>
    <row r="31" spans="1:24" x14ac:dyDescent="0.3">
      <c r="A31" t="s">
        <v>21</v>
      </c>
      <c r="B31">
        <v>45</v>
      </c>
      <c r="C31">
        <v>3086</v>
      </c>
      <c r="D31">
        <f t="shared" si="5"/>
        <v>1.764</v>
      </c>
      <c r="F31">
        <f>RSQ(B28:B31,C28:C31)</f>
        <v>0.56610033979612229</v>
      </c>
      <c r="W31">
        <v>15720</v>
      </c>
      <c r="X31">
        <v>10</v>
      </c>
    </row>
    <row r="32" spans="1:24" x14ac:dyDescent="0.3">
      <c r="A32" t="s">
        <v>22</v>
      </c>
      <c r="B32" t="s">
        <v>16</v>
      </c>
      <c r="C32" t="s">
        <v>47</v>
      </c>
      <c r="D32" t="s">
        <v>47</v>
      </c>
      <c r="W32">
        <v>15646</v>
      </c>
      <c r="X32">
        <v>10</v>
      </c>
    </row>
    <row r="33" spans="1:24" x14ac:dyDescent="0.3">
      <c r="A33" t="s">
        <v>22</v>
      </c>
      <c r="B33">
        <v>0</v>
      </c>
      <c r="C33" t="s">
        <v>47</v>
      </c>
      <c r="D33" t="s">
        <v>47</v>
      </c>
      <c r="W33">
        <v>15824</v>
      </c>
      <c r="X33">
        <v>10</v>
      </c>
    </row>
    <row r="34" spans="1:24" x14ac:dyDescent="0.3">
      <c r="A34" t="s">
        <v>22</v>
      </c>
      <c r="B34">
        <v>15</v>
      </c>
      <c r="C34" t="s">
        <v>47</v>
      </c>
      <c r="D34" t="s">
        <v>47</v>
      </c>
      <c r="W34">
        <v>15521</v>
      </c>
      <c r="X34">
        <v>10</v>
      </c>
    </row>
    <row r="35" spans="1:24" x14ac:dyDescent="0.3">
      <c r="A35" t="s">
        <v>22</v>
      </c>
      <c r="B35">
        <v>30</v>
      </c>
      <c r="C35" t="s">
        <v>47</v>
      </c>
      <c r="D35" t="s">
        <v>47</v>
      </c>
      <c r="W35">
        <v>1608</v>
      </c>
      <c r="X35">
        <v>1.02</v>
      </c>
    </row>
    <row r="36" spans="1:24" x14ac:dyDescent="0.3">
      <c r="A36" t="s">
        <v>22</v>
      </c>
      <c r="B36">
        <v>45</v>
      </c>
      <c r="C36" t="s">
        <v>47</v>
      </c>
      <c r="D36" t="s">
        <v>47</v>
      </c>
      <c r="F36" t="e">
        <f>RSQ(B33:B36,C33:C36)</f>
        <v>#DIV/0!</v>
      </c>
      <c r="W36">
        <v>1629</v>
      </c>
      <c r="X36">
        <v>1.02</v>
      </c>
    </row>
    <row r="37" spans="1:24" x14ac:dyDescent="0.3">
      <c r="A37" t="s">
        <v>23</v>
      </c>
      <c r="B37" t="s">
        <v>16</v>
      </c>
      <c r="C37">
        <v>3507.5</v>
      </c>
      <c r="D37">
        <f t="shared" si="5"/>
        <v>2.0168999999999997</v>
      </c>
      <c r="W37">
        <v>1617</v>
      </c>
      <c r="X37">
        <v>1.02</v>
      </c>
    </row>
    <row r="38" spans="1:24" x14ac:dyDescent="0.3">
      <c r="A38" t="s">
        <v>23</v>
      </c>
      <c r="B38">
        <v>0</v>
      </c>
      <c r="C38">
        <v>3239.5</v>
      </c>
      <c r="D38">
        <f t="shared" si="5"/>
        <v>1.8560999999999999</v>
      </c>
      <c r="W38">
        <v>1603</v>
      </c>
      <c r="X38">
        <v>1.02</v>
      </c>
    </row>
    <row r="39" spans="1:24" x14ac:dyDescent="0.3">
      <c r="A39" t="s">
        <v>23</v>
      </c>
      <c r="B39">
        <v>15</v>
      </c>
      <c r="C39">
        <v>3318</v>
      </c>
      <c r="D39">
        <f t="shared" si="5"/>
        <v>1.9032</v>
      </c>
      <c r="W39">
        <v>1657</v>
      </c>
      <c r="X39">
        <v>1.02</v>
      </c>
    </row>
    <row r="40" spans="1:24" x14ac:dyDescent="0.3">
      <c r="A40" t="s">
        <v>23</v>
      </c>
      <c r="B40">
        <v>30</v>
      </c>
      <c r="C40">
        <v>3195</v>
      </c>
      <c r="D40">
        <f t="shared" si="5"/>
        <v>1.8293999999999999</v>
      </c>
      <c r="W40">
        <v>1613</v>
      </c>
      <c r="X40">
        <v>1.02</v>
      </c>
    </row>
    <row r="41" spans="1:24" x14ac:dyDescent="0.3">
      <c r="A41" t="s">
        <v>23</v>
      </c>
      <c r="B41">
        <v>45</v>
      </c>
      <c r="C41">
        <v>3273.5</v>
      </c>
      <c r="D41">
        <f t="shared" si="5"/>
        <v>1.8764999999999998</v>
      </c>
      <c r="F41">
        <f>RSQ(B38:B41,C38:C41)</f>
        <v>2.708013509364446E-3</v>
      </c>
      <c r="W41">
        <v>1706</v>
      </c>
      <c r="X41">
        <v>1.02</v>
      </c>
    </row>
    <row r="42" spans="1:24" x14ac:dyDescent="0.3">
      <c r="A42" t="s">
        <v>24</v>
      </c>
      <c r="B42" t="s">
        <v>16</v>
      </c>
      <c r="C42">
        <v>3479</v>
      </c>
      <c r="D42">
        <f t="shared" si="5"/>
        <v>1.9997999999999998</v>
      </c>
      <c r="W42">
        <v>1639</v>
      </c>
      <c r="X42">
        <v>1.02</v>
      </c>
    </row>
    <row r="43" spans="1:24" x14ac:dyDescent="0.3">
      <c r="A43" t="s">
        <v>24</v>
      </c>
      <c r="B43">
        <v>0</v>
      </c>
      <c r="C43">
        <v>3380</v>
      </c>
      <c r="D43">
        <f t="shared" si="5"/>
        <v>1.9404000000000001</v>
      </c>
      <c r="W43">
        <v>1634</v>
      </c>
      <c r="X43">
        <v>1.02</v>
      </c>
    </row>
    <row r="44" spans="1:24" x14ac:dyDescent="0.3">
      <c r="A44" t="s">
        <v>24</v>
      </c>
      <c r="B44">
        <v>15</v>
      </c>
      <c r="C44">
        <v>3451</v>
      </c>
      <c r="D44">
        <f t="shared" si="5"/>
        <v>1.9829999999999999</v>
      </c>
      <c r="W44">
        <v>1641</v>
      </c>
      <c r="X44">
        <v>1.02</v>
      </c>
    </row>
    <row r="45" spans="1:24" x14ac:dyDescent="0.3">
      <c r="A45" t="s">
        <v>24</v>
      </c>
      <c r="B45">
        <v>30</v>
      </c>
      <c r="C45">
        <v>3251</v>
      </c>
      <c r="D45">
        <f t="shared" si="5"/>
        <v>1.863</v>
      </c>
      <c r="W45">
        <v>1641</v>
      </c>
      <c r="X45">
        <v>1.02</v>
      </c>
    </row>
    <row r="46" spans="1:24" x14ac:dyDescent="0.3">
      <c r="A46" t="s">
        <v>24</v>
      </c>
      <c r="B46">
        <v>45</v>
      </c>
      <c r="C46">
        <v>3070</v>
      </c>
      <c r="D46">
        <f t="shared" si="5"/>
        <v>1.7544</v>
      </c>
      <c r="F46">
        <f>RSQ(B43:B46,C43:C46)</f>
        <v>0.76072969044157934</v>
      </c>
      <c r="W46">
        <v>1648</v>
      </c>
      <c r="X46">
        <v>1.02</v>
      </c>
    </row>
    <row r="47" spans="1:24" x14ac:dyDescent="0.3">
      <c r="A47" t="s">
        <v>37</v>
      </c>
      <c r="B47" t="s">
        <v>16</v>
      </c>
      <c r="C47" t="s">
        <v>47</v>
      </c>
      <c r="D47" t="s">
        <v>47</v>
      </c>
      <c r="W47">
        <v>1666</v>
      </c>
      <c r="X47">
        <v>1.02</v>
      </c>
    </row>
    <row r="48" spans="1:24" x14ac:dyDescent="0.3">
      <c r="A48" t="s">
        <v>37</v>
      </c>
      <c r="B48">
        <v>0</v>
      </c>
      <c r="C48" t="s">
        <v>47</v>
      </c>
      <c r="D48" t="s">
        <v>47</v>
      </c>
      <c r="W48">
        <v>1675</v>
      </c>
      <c r="X48">
        <v>1.02</v>
      </c>
    </row>
    <row r="49" spans="1:24" x14ac:dyDescent="0.3">
      <c r="A49" t="s">
        <v>37</v>
      </c>
      <c r="B49">
        <v>15</v>
      </c>
      <c r="C49" t="s">
        <v>47</v>
      </c>
      <c r="D49" t="s">
        <v>47</v>
      </c>
      <c r="W49">
        <v>1651</v>
      </c>
      <c r="X49">
        <v>1.02</v>
      </c>
    </row>
    <row r="50" spans="1:24" x14ac:dyDescent="0.3">
      <c r="A50" t="s">
        <v>37</v>
      </c>
      <c r="B50">
        <v>30</v>
      </c>
      <c r="C50" t="s">
        <v>47</v>
      </c>
      <c r="D50" t="s">
        <v>47</v>
      </c>
      <c r="W50">
        <v>1691</v>
      </c>
      <c r="X50">
        <v>1.02</v>
      </c>
    </row>
    <row r="51" spans="1:24" x14ac:dyDescent="0.3">
      <c r="A51" t="s">
        <v>37</v>
      </c>
      <c r="B51">
        <v>45</v>
      </c>
      <c r="C51" t="s">
        <v>47</v>
      </c>
      <c r="D51" t="s">
        <v>47</v>
      </c>
      <c r="F51" t="e">
        <f>RSQ(B48:B51,C48:C51)</f>
        <v>#DIV/0!</v>
      </c>
      <c r="W51">
        <v>1703</v>
      </c>
      <c r="X51">
        <v>1.02</v>
      </c>
    </row>
    <row r="52" spans="1:24" x14ac:dyDescent="0.3">
      <c r="A52" t="s">
        <v>38</v>
      </c>
      <c r="B52" t="s">
        <v>16</v>
      </c>
      <c r="C52" t="s">
        <v>47</v>
      </c>
      <c r="D52" t="s">
        <v>47</v>
      </c>
      <c r="W52">
        <v>1669</v>
      </c>
      <c r="X52">
        <v>1.02</v>
      </c>
    </row>
    <row r="53" spans="1:24" x14ac:dyDescent="0.3">
      <c r="A53" t="s">
        <v>38</v>
      </c>
      <c r="B53">
        <v>0</v>
      </c>
      <c r="C53" t="s">
        <v>47</v>
      </c>
      <c r="D53" t="s">
        <v>47</v>
      </c>
      <c r="W53">
        <v>1643</v>
      </c>
      <c r="X53">
        <v>1.02</v>
      </c>
    </row>
    <row r="54" spans="1:24" x14ac:dyDescent="0.3">
      <c r="A54" t="s">
        <v>38</v>
      </c>
      <c r="B54">
        <v>15</v>
      </c>
      <c r="C54" t="s">
        <v>47</v>
      </c>
      <c r="D54" t="s">
        <v>47</v>
      </c>
      <c r="W54">
        <v>1644</v>
      </c>
      <c r="X54">
        <v>1.02</v>
      </c>
    </row>
    <row r="55" spans="1:24" x14ac:dyDescent="0.3">
      <c r="A55" t="s">
        <v>38</v>
      </c>
      <c r="B55">
        <v>30</v>
      </c>
      <c r="C55" t="s">
        <v>47</v>
      </c>
      <c r="D55" t="s">
        <v>47</v>
      </c>
      <c r="W55">
        <v>2998</v>
      </c>
      <c r="X55">
        <v>1.8</v>
      </c>
    </row>
    <row r="56" spans="1:24" x14ac:dyDescent="0.3">
      <c r="A56" t="s">
        <v>38</v>
      </c>
      <c r="B56">
        <v>45</v>
      </c>
      <c r="C56" t="s">
        <v>47</v>
      </c>
      <c r="D56" t="s">
        <v>47</v>
      </c>
      <c r="F56" t="e">
        <f>RSQ(B53:B56,C53:C56)</f>
        <v>#DIV/0!</v>
      </c>
      <c r="W56">
        <v>2960</v>
      </c>
      <c r="X56">
        <v>1.8</v>
      </c>
    </row>
    <row r="57" spans="1:24" x14ac:dyDescent="0.3">
      <c r="A57" t="s">
        <v>39</v>
      </c>
      <c r="B57" t="s">
        <v>16</v>
      </c>
      <c r="C57">
        <v>2860</v>
      </c>
      <c r="D57">
        <f t="shared" si="5"/>
        <v>1.6283999999999998</v>
      </c>
      <c r="W57">
        <v>3016</v>
      </c>
      <c r="X57">
        <v>1.8</v>
      </c>
    </row>
    <row r="58" spans="1:24" x14ac:dyDescent="0.3">
      <c r="A58" t="s">
        <v>39</v>
      </c>
      <c r="B58">
        <v>0</v>
      </c>
      <c r="C58">
        <v>2977</v>
      </c>
      <c r="D58">
        <f t="shared" si="5"/>
        <v>1.6985999999999999</v>
      </c>
      <c r="W58">
        <v>3089</v>
      </c>
      <c r="X58">
        <v>1.8</v>
      </c>
    </row>
    <row r="59" spans="1:24" x14ac:dyDescent="0.3">
      <c r="A59" t="s">
        <v>39</v>
      </c>
      <c r="B59">
        <v>15</v>
      </c>
      <c r="C59">
        <v>3051</v>
      </c>
      <c r="D59">
        <f t="shared" si="5"/>
        <v>1.7429999999999999</v>
      </c>
      <c r="W59">
        <v>3078</v>
      </c>
      <c r="X59">
        <v>1.8</v>
      </c>
    </row>
    <row r="60" spans="1:24" x14ac:dyDescent="0.3">
      <c r="A60" t="s">
        <v>39</v>
      </c>
      <c r="B60">
        <v>30</v>
      </c>
      <c r="C60">
        <v>3023</v>
      </c>
      <c r="D60">
        <f t="shared" si="5"/>
        <v>1.7262</v>
      </c>
      <c r="W60">
        <v>3038</v>
      </c>
      <c r="X60">
        <v>1.8</v>
      </c>
    </row>
    <row r="61" spans="1:24" x14ac:dyDescent="0.3">
      <c r="A61" t="s">
        <v>39</v>
      </c>
      <c r="B61">
        <v>45</v>
      </c>
      <c r="C61">
        <v>3250</v>
      </c>
      <c r="D61">
        <f t="shared" si="5"/>
        <v>1.8623999999999998</v>
      </c>
      <c r="F61">
        <f>RSQ(B58:B61,C58:C61)</f>
        <v>0.71902893096216292</v>
      </c>
      <c r="W61">
        <v>3079</v>
      </c>
      <c r="X61">
        <v>1.8</v>
      </c>
    </row>
    <row r="62" spans="1:24" x14ac:dyDescent="0.3">
      <c r="A62" t="s">
        <v>25</v>
      </c>
      <c r="B62" t="s">
        <v>16</v>
      </c>
      <c r="C62">
        <v>3273.5</v>
      </c>
      <c r="D62">
        <f t="shared" si="5"/>
        <v>1.8764999999999998</v>
      </c>
      <c r="W62">
        <v>2957</v>
      </c>
      <c r="X62">
        <v>1.8</v>
      </c>
    </row>
    <row r="63" spans="1:24" x14ac:dyDescent="0.3">
      <c r="A63" t="s">
        <v>25</v>
      </c>
      <c r="B63">
        <v>0</v>
      </c>
      <c r="C63">
        <v>3138</v>
      </c>
      <c r="D63">
        <f t="shared" si="5"/>
        <v>1.7951999999999999</v>
      </c>
      <c r="W63">
        <v>2956</v>
      </c>
      <c r="X63">
        <v>1.8</v>
      </c>
    </row>
    <row r="64" spans="1:24" x14ac:dyDescent="0.3">
      <c r="A64" t="s">
        <v>25</v>
      </c>
      <c r="B64">
        <v>15</v>
      </c>
      <c r="C64">
        <v>3591.5</v>
      </c>
      <c r="D64">
        <f t="shared" si="5"/>
        <v>2.0672999999999995</v>
      </c>
      <c r="W64">
        <v>2968</v>
      </c>
      <c r="X64">
        <v>1.8</v>
      </c>
    </row>
    <row r="65" spans="1:24" x14ac:dyDescent="0.3">
      <c r="A65" t="s">
        <v>25</v>
      </c>
      <c r="B65">
        <v>30</v>
      </c>
      <c r="C65">
        <v>3365.3333333333335</v>
      </c>
      <c r="D65">
        <f t="shared" si="5"/>
        <v>1.9316000000000002</v>
      </c>
      <c r="W65">
        <v>3001</v>
      </c>
      <c r="X65">
        <v>1.8</v>
      </c>
    </row>
    <row r="66" spans="1:24" x14ac:dyDescent="0.3">
      <c r="A66" t="s">
        <v>25</v>
      </c>
      <c r="B66">
        <v>45</v>
      </c>
      <c r="C66">
        <v>3326.2</v>
      </c>
      <c r="D66">
        <f t="shared" si="5"/>
        <v>1.9081199999999998</v>
      </c>
      <c r="F66">
        <f>RSQ(B63:B66,C63:C66)</f>
        <v>5.5088594245019849E-2</v>
      </c>
      <c r="W66">
        <v>3019</v>
      </c>
      <c r="X66">
        <v>1.8</v>
      </c>
    </row>
    <row r="67" spans="1:24" x14ac:dyDescent="0.3">
      <c r="A67" t="s">
        <v>26</v>
      </c>
      <c r="B67" t="s">
        <v>16</v>
      </c>
      <c r="C67">
        <v>3262.5</v>
      </c>
      <c r="D67">
        <f t="shared" ref="D67:D121" si="14">(C67*0.0006)-0.0876</f>
        <v>1.8698999999999999</v>
      </c>
      <c r="W67">
        <v>3019</v>
      </c>
      <c r="X67">
        <v>1.8</v>
      </c>
    </row>
    <row r="68" spans="1:24" x14ac:dyDescent="0.3">
      <c r="A68" t="s">
        <v>26</v>
      </c>
      <c r="B68">
        <v>0</v>
      </c>
      <c r="C68">
        <v>3125.5</v>
      </c>
      <c r="D68">
        <f t="shared" si="14"/>
        <v>1.7876999999999998</v>
      </c>
      <c r="W68">
        <v>3025</v>
      </c>
      <c r="X68">
        <v>1.8</v>
      </c>
    </row>
    <row r="69" spans="1:24" x14ac:dyDescent="0.3">
      <c r="A69" t="s">
        <v>26</v>
      </c>
      <c r="B69">
        <v>15</v>
      </c>
      <c r="C69">
        <v>3503.3333333333335</v>
      </c>
      <c r="D69">
        <f t="shared" si="14"/>
        <v>2.0143999999999997</v>
      </c>
      <c r="W69">
        <v>3016</v>
      </c>
      <c r="X69">
        <v>1.8</v>
      </c>
    </row>
    <row r="70" spans="1:24" x14ac:dyDescent="0.3">
      <c r="A70" t="s">
        <v>26</v>
      </c>
      <c r="B70">
        <v>30</v>
      </c>
      <c r="C70">
        <v>3396</v>
      </c>
      <c r="D70">
        <f t="shared" si="14"/>
        <v>1.95</v>
      </c>
      <c r="W70">
        <v>3012</v>
      </c>
      <c r="X70">
        <v>1.8</v>
      </c>
    </row>
    <row r="71" spans="1:24" x14ac:dyDescent="0.3">
      <c r="A71" t="s">
        <v>26</v>
      </c>
      <c r="B71">
        <v>45</v>
      </c>
      <c r="C71">
        <v>3279.5</v>
      </c>
      <c r="D71">
        <f t="shared" si="14"/>
        <v>1.8800999999999999</v>
      </c>
      <c r="F71">
        <f>RSQ(B68:B71,C68:C71)</f>
        <v>7.9906689323797492E-2</v>
      </c>
      <c r="W71">
        <v>3040</v>
      </c>
      <c r="X71">
        <v>1.8</v>
      </c>
    </row>
    <row r="72" spans="1:24" x14ac:dyDescent="0.3">
      <c r="A72" t="s">
        <v>27</v>
      </c>
      <c r="B72" t="s">
        <v>16</v>
      </c>
      <c r="C72">
        <v>3464.5</v>
      </c>
      <c r="D72">
        <f t="shared" si="14"/>
        <v>1.9911000000000001</v>
      </c>
      <c r="W72">
        <v>2939</v>
      </c>
      <c r="X72">
        <v>1.8</v>
      </c>
    </row>
    <row r="73" spans="1:24" x14ac:dyDescent="0.3">
      <c r="A73" t="s">
        <v>27</v>
      </c>
      <c r="B73">
        <v>0</v>
      </c>
      <c r="C73">
        <v>3435</v>
      </c>
      <c r="D73">
        <f t="shared" si="14"/>
        <v>1.9734</v>
      </c>
      <c r="W73">
        <v>3033</v>
      </c>
      <c r="X73">
        <v>1.8</v>
      </c>
    </row>
    <row r="74" spans="1:24" x14ac:dyDescent="0.3">
      <c r="A74" t="s">
        <v>27</v>
      </c>
      <c r="B74">
        <v>15</v>
      </c>
      <c r="C74">
        <v>3348.3333333333335</v>
      </c>
      <c r="D74">
        <f t="shared" si="14"/>
        <v>1.9214</v>
      </c>
      <c r="W74">
        <v>2988</v>
      </c>
      <c r="X74">
        <v>1.8</v>
      </c>
    </row>
    <row r="75" spans="1:24" x14ac:dyDescent="0.3">
      <c r="A75" t="s">
        <v>27</v>
      </c>
      <c r="B75">
        <v>30</v>
      </c>
      <c r="C75">
        <v>3349.3333333333335</v>
      </c>
      <c r="D75">
        <f t="shared" si="14"/>
        <v>1.9219999999999999</v>
      </c>
      <c r="W75">
        <v>2959</v>
      </c>
      <c r="X75">
        <v>1.8</v>
      </c>
    </row>
    <row r="76" spans="1:24" x14ac:dyDescent="0.3">
      <c r="A76" t="s">
        <v>27</v>
      </c>
      <c r="B76">
        <v>45</v>
      </c>
      <c r="C76">
        <v>3396</v>
      </c>
      <c r="D76">
        <f t="shared" si="14"/>
        <v>1.95</v>
      </c>
      <c r="F76">
        <f>RSQ(B73:B76,C73:C76)</f>
        <v>0.12924929027300527</v>
      </c>
      <c r="W76">
        <v>3056</v>
      </c>
      <c r="X76">
        <v>1.8</v>
      </c>
    </row>
    <row r="77" spans="1:24" x14ac:dyDescent="0.3">
      <c r="A77" t="s">
        <v>28</v>
      </c>
      <c r="B77" t="s">
        <v>16</v>
      </c>
      <c r="C77">
        <v>3243</v>
      </c>
      <c r="D77">
        <f t="shared" si="14"/>
        <v>1.8581999999999999</v>
      </c>
      <c r="W77">
        <v>2988</v>
      </c>
      <c r="X77">
        <v>1.8</v>
      </c>
    </row>
    <row r="78" spans="1:24" x14ac:dyDescent="0.3">
      <c r="A78" t="s">
        <v>28</v>
      </c>
      <c r="B78">
        <v>0</v>
      </c>
      <c r="C78">
        <v>3279.5</v>
      </c>
      <c r="D78">
        <f t="shared" si="14"/>
        <v>1.8800999999999999</v>
      </c>
      <c r="W78">
        <v>2967</v>
      </c>
      <c r="X78">
        <v>1.8</v>
      </c>
    </row>
    <row r="79" spans="1:24" x14ac:dyDescent="0.3">
      <c r="A79" t="s">
        <v>28</v>
      </c>
      <c r="B79">
        <v>15</v>
      </c>
      <c r="C79">
        <v>3374</v>
      </c>
      <c r="D79">
        <f t="shared" si="14"/>
        <v>1.9368000000000001</v>
      </c>
      <c r="W79">
        <v>2973</v>
      </c>
      <c r="X79">
        <v>1.8</v>
      </c>
    </row>
    <row r="80" spans="1:24" x14ac:dyDescent="0.3">
      <c r="A80" t="s">
        <v>28</v>
      </c>
      <c r="B80">
        <v>30</v>
      </c>
      <c r="C80">
        <v>3493.5</v>
      </c>
      <c r="D80">
        <f t="shared" si="14"/>
        <v>2.0084999999999997</v>
      </c>
      <c r="W80">
        <v>2941</v>
      </c>
      <c r="X80">
        <v>1.8</v>
      </c>
    </row>
    <row r="81" spans="1:6" x14ac:dyDescent="0.3">
      <c r="A81" t="s">
        <v>28</v>
      </c>
      <c r="B81">
        <v>45</v>
      </c>
      <c r="C81">
        <v>3415.5</v>
      </c>
      <c r="D81">
        <f t="shared" si="14"/>
        <v>1.9616999999999998</v>
      </c>
      <c r="F81">
        <f>RSQ(B78:B81,C78:C81)</f>
        <v>0.58390494052225017</v>
      </c>
    </row>
    <row r="82" spans="1:6" x14ac:dyDescent="0.3">
      <c r="A82" t="s">
        <v>29</v>
      </c>
      <c r="B82" t="s">
        <v>16</v>
      </c>
      <c r="C82">
        <v>3268</v>
      </c>
      <c r="D82">
        <f t="shared" si="14"/>
        <v>1.8732</v>
      </c>
    </row>
    <row r="83" spans="1:6" x14ac:dyDescent="0.3">
      <c r="A83" t="s">
        <v>29</v>
      </c>
      <c r="B83">
        <v>0</v>
      </c>
      <c r="C83">
        <v>3244</v>
      </c>
      <c r="D83">
        <f t="shared" si="14"/>
        <v>1.8588</v>
      </c>
    </row>
    <row r="84" spans="1:6" x14ac:dyDescent="0.3">
      <c r="A84" t="s">
        <v>29</v>
      </c>
      <c r="B84">
        <v>15</v>
      </c>
      <c r="C84">
        <v>3408.5</v>
      </c>
      <c r="D84">
        <f t="shared" si="14"/>
        <v>1.9574999999999998</v>
      </c>
    </row>
    <row r="85" spans="1:6" x14ac:dyDescent="0.3">
      <c r="A85" t="s">
        <v>29</v>
      </c>
      <c r="B85">
        <v>30</v>
      </c>
      <c r="C85">
        <v>3297</v>
      </c>
      <c r="D85">
        <f t="shared" si="14"/>
        <v>1.8905999999999998</v>
      </c>
    </row>
    <row r="86" spans="1:6" x14ac:dyDescent="0.3">
      <c r="A86" t="s">
        <v>29</v>
      </c>
      <c r="B86">
        <v>45</v>
      </c>
      <c r="C86">
        <v>3247</v>
      </c>
      <c r="D86">
        <f t="shared" si="14"/>
        <v>1.8606</v>
      </c>
      <c r="F86">
        <f>RSQ(B83:B86,C83:C86)</f>
        <v>2.9639843284397914E-2</v>
      </c>
    </row>
    <row r="87" spans="1:6" x14ac:dyDescent="0.3">
      <c r="A87" t="s">
        <v>30</v>
      </c>
      <c r="B87" t="s">
        <v>16</v>
      </c>
      <c r="C87">
        <v>3479</v>
      </c>
      <c r="D87">
        <f t="shared" si="14"/>
        <v>1.9997999999999998</v>
      </c>
    </row>
    <row r="88" spans="1:6" x14ac:dyDescent="0.3">
      <c r="A88" t="s">
        <v>30</v>
      </c>
      <c r="B88">
        <v>0</v>
      </c>
      <c r="C88">
        <v>3445</v>
      </c>
      <c r="D88">
        <f t="shared" si="14"/>
        <v>1.9793999999999998</v>
      </c>
    </row>
    <row r="89" spans="1:6" x14ac:dyDescent="0.3">
      <c r="A89" t="s">
        <v>30</v>
      </c>
      <c r="B89">
        <v>15</v>
      </c>
      <c r="C89">
        <v>3420.5</v>
      </c>
      <c r="D89">
        <f t="shared" si="14"/>
        <v>1.9646999999999999</v>
      </c>
    </row>
    <row r="90" spans="1:6" x14ac:dyDescent="0.3">
      <c r="A90" t="s">
        <v>30</v>
      </c>
      <c r="B90">
        <v>30</v>
      </c>
      <c r="C90">
        <v>3428</v>
      </c>
      <c r="D90">
        <f t="shared" si="14"/>
        <v>1.9692000000000001</v>
      </c>
    </row>
    <row r="91" spans="1:6" x14ac:dyDescent="0.3">
      <c r="A91" t="s">
        <v>30</v>
      </c>
      <c r="B91">
        <v>45</v>
      </c>
      <c r="C91">
        <v>3356</v>
      </c>
      <c r="D91">
        <f t="shared" si="14"/>
        <v>1.9259999999999999</v>
      </c>
      <c r="F91">
        <f>RSQ(B88:B91,C88:C91)</f>
        <v>0.73956591573658403</v>
      </c>
    </row>
    <row r="92" spans="1:6" x14ac:dyDescent="0.3">
      <c r="A92" t="s">
        <v>31</v>
      </c>
      <c r="B92" t="s">
        <v>16</v>
      </c>
      <c r="C92">
        <v>4254.5</v>
      </c>
      <c r="D92">
        <f t="shared" si="14"/>
        <v>2.4650999999999996</v>
      </c>
    </row>
    <row r="93" spans="1:6" x14ac:dyDescent="0.3">
      <c r="A93" t="s">
        <v>31</v>
      </c>
      <c r="B93">
        <v>0</v>
      </c>
      <c r="C93">
        <v>4021</v>
      </c>
      <c r="D93">
        <f t="shared" si="14"/>
        <v>2.3249999999999997</v>
      </c>
    </row>
    <row r="94" spans="1:6" x14ac:dyDescent="0.3">
      <c r="A94" t="s">
        <v>31</v>
      </c>
      <c r="B94">
        <v>15</v>
      </c>
      <c r="C94">
        <v>3931.6666666666665</v>
      </c>
      <c r="D94">
        <f t="shared" si="14"/>
        <v>2.2713999999999994</v>
      </c>
    </row>
    <row r="95" spans="1:6" x14ac:dyDescent="0.3">
      <c r="A95" t="s">
        <v>31</v>
      </c>
      <c r="B95">
        <v>30</v>
      </c>
      <c r="C95">
        <v>3940</v>
      </c>
      <c r="D95">
        <f t="shared" si="14"/>
        <v>2.2763999999999998</v>
      </c>
    </row>
    <row r="96" spans="1:6" x14ac:dyDescent="0.3">
      <c r="A96" t="s">
        <v>31</v>
      </c>
      <c r="B96">
        <v>45</v>
      </c>
      <c r="C96">
        <v>3788.5</v>
      </c>
      <c r="D96">
        <f t="shared" si="14"/>
        <v>2.1854999999999998</v>
      </c>
      <c r="F96">
        <f>RSQ(B93:B96,C93:C96)</f>
        <v>0.84724810272289675</v>
      </c>
    </row>
    <row r="97" spans="1:6" x14ac:dyDescent="0.3">
      <c r="A97" t="s">
        <v>32</v>
      </c>
      <c r="B97" t="s">
        <v>16</v>
      </c>
      <c r="C97">
        <v>4351</v>
      </c>
      <c r="D97">
        <f t="shared" si="14"/>
        <v>2.5229999999999997</v>
      </c>
    </row>
    <row r="98" spans="1:6" x14ac:dyDescent="0.3">
      <c r="A98" t="s">
        <v>32</v>
      </c>
      <c r="B98">
        <v>0</v>
      </c>
      <c r="C98">
        <v>3892.5</v>
      </c>
      <c r="D98">
        <f t="shared" si="14"/>
        <v>2.2478999999999996</v>
      </c>
    </row>
    <row r="99" spans="1:6" x14ac:dyDescent="0.3">
      <c r="A99" t="s">
        <v>32</v>
      </c>
      <c r="B99">
        <v>15</v>
      </c>
      <c r="C99">
        <v>3821</v>
      </c>
      <c r="D99">
        <f t="shared" si="14"/>
        <v>2.2049999999999996</v>
      </c>
    </row>
    <row r="100" spans="1:6" x14ac:dyDescent="0.3">
      <c r="A100" t="s">
        <v>32</v>
      </c>
      <c r="B100">
        <v>30</v>
      </c>
      <c r="C100">
        <v>4065</v>
      </c>
      <c r="D100">
        <f t="shared" si="14"/>
        <v>2.3513999999999995</v>
      </c>
    </row>
    <row r="101" spans="1:6" x14ac:dyDescent="0.3">
      <c r="A101" t="s">
        <v>32</v>
      </c>
      <c r="B101">
        <v>45</v>
      </c>
      <c r="C101">
        <v>3736.3333333333335</v>
      </c>
      <c r="D101">
        <f t="shared" si="14"/>
        <v>2.1541999999999999</v>
      </c>
      <c r="F101">
        <f>RSQ(B98:B101,C98:C101)</f>
        <v>4.3080312544407508E-2</v>
      </c>
    </row>
    <row r="102" spans="1:6" x14ac:dyDescent="0.3">
      <c r="A102" t="s">
        <v>33</v>
      </c>
      <c r="B102" t="s">
        <v>16</v>
      </c>
      <c r="C102">
        <v>3298</v>
      </c>
      <c r="D102">
        <f t="shared" si="14"/>
        <v>1.8912</v>
      </c>
    </row>
    <row r="103" spans="1:6" x14ac:dyDescent="0.3">
      <c r="A103" t="s">
        <v>33</v>
      </c>
      <c r="B103">
        <v>0</v>
      </c>
      <c r="C103">
        <v>3598.5</v>
      </c>
      <c r="D103">
        <f t="shared" si="14"/>
        <v>2.0714999999999999</v>
      </c>
    </row>
    <row r="104" spans="1:6" x14ac:dyDescent="0.3">
      <c r="A104" t="s">
        <v>33</v>
      </c>
      <c r="B104">
        <v>15</v>
      </c>
      <c r="C104">
        <v>3636.5</v>
      </c>
      <c r="D104">
        <f t="shared" si="14"/>
        <v>2.0942999999999996</v>
      </c>
    </row>
    <row r="105" spans="1:6" x14ac:dyDescent="0.3">
      <c r="A105" t="s">
        <v>33</v>
      </c>
      <c r="B105">
        <v>30</v>
      </c>
      <c r="C105">
        <v>3549</v>
      </c>
      <c r="D105">
        <f t="shared" si="14"/>
        <v>2.0417999999999998</v>
      </c>
    </row>
    <row r="106" spans="1:6" x14ac:dyDescent="0.3">
      <c r="A106" t="s">
        <v>33</v>
      </c>
      <c r="B106">
        <v>45</v>
      </c>
      <c r="C106">
        <v>3749</v>
      </c>
      <c r="D106">
        <f t="shared" si="14"/>
        <v>2.1617999999999995</v>
      </c>
      <c r="F106">
        <f>RSQ(B103:B106,C103:C106)</f>
        <v>0.30508997547693339</v>
      </c>
    </row>
    <row r="107" spans="1:6" x14ac:dyDescent="0.3">
      <c r="A107" t="s">
        <v>34</v>
      </c>
      <c r="B107" t="s">
        <v>16</v>
      </c>
      <c r="C107">
        <v>3414</v>
      </c>
      <c r="D107">
        <f t="shared" si="14"/>
        <v>1.9608000000000001</v>
      </c>
    </row>
    <row r="108" spans="1:6" x14ac:dyDescent="0.3">
      <c r="A108" t="s">
        <v>34</v>
      </c>
      <c r="B108">
        <v>0</v>
      </c>
      <c r="C108">
        <v>3309.5</v>
      </c>
      <c r="D108">
        <f t="shared" si="14"/>
        <v>1.8980999999999999</v>
      </c>
    </row>
    <row r="109" spans="1:6" x14ac:dyDescent="0.3">
      <c r="A109" t="s">
        <v>34</v>
      </c>
      <c r="B109">
        <v>15</v>
      </c>
      <c r="C109">
        <v>3335</v>
      </c>
      <c r="D109">
        <f t="shared" si="14"/>
        <v>1.9134</v>
      </c>
    </row>
    <row r="110" spans="1:6" x14ac:dyDescent="0.3">
      <c r="A110" t="s">
        <v>34</v>
      </c>
      <c r="B110">
        <v>30</v>
      </c>
      <c r="C110">
        <v>3565</v>
      </c>
      <c r="D110">
        <f t="shared" si="14"/>
        <v>2.0513999999999997</v>
      </c>
    </row>
    <row r="111" spans="1:6" x14ac:dyDescent="0.3">
      <c r="A111" t="s">
        <v>34</v>
      </c>
      <c r="B111">
        <v>45</v>
      </c>
      <c r="C111">
        <v>3453.5</v>
      </c>
      <c r="D111">
        <f t="shared" si="14"/>
        <v>1.9844999999999999</v>
      </c>
      <c r="F111">
        <f>RSQ(B108:B111,C108:C111)</f>
        <v>0.52787444065020095</v>
      </c>
    </row>
    <row r="112" spans="1:6" x14ac:dyDescent="0.3">
      <c r="A112" t="s">
        <v>35</v>
      </c>
      <c r="B112" t="s">
        <v>16</v>
      </c>
      <c r="C112">
        <v>3705</v>
      </c>
      <c r="D112">
        <f t="shared" si="14"/>
        <v>2.1353999999999997</v>
      </c>
    </row>
    <row r="113" spans="1:6" x14ac:dyDescent="0.3">
      <c r="A113" t="s">
        <v>35</v>
      </c>
      <c r="B113">
        <v>0</v>
      </c>
      <c r="C113">
        <v>3392.5</v>
      </c>
      <c r="D113">
        <f t="shared" si="14"/>
        <v>1.9479</v>
      </c>
    </row>
    <row r="114" spans="1:6" x14ac:dyDescent="0.3">
      <c r="A114" t="s">
        <v>35</v>
      </c>
      <c r="B114">
        <v>15</v>
      </c>
      <c r="C114">
        <v>3561.5</v>
      </c>
      <c r="D114">
        <f t="shared" si="14"/>
        <v>2.0492999999999997</v>
      </c>
    </row>
    <row r="115" spans="1:6" x14ac:dyDescent="0.3">
      <c r="A115" t="s">
        <v>35</v>
      </c>
      <c r="B115">
        <v>30</v>
      </c>
      <c r="C115">
        <v>3380.5</v>
      </c>
      <c r="D115">
        <f t="shared" si="14"/>
        <v>1.9406999999999999</v>
      </c>
    </row>
    <row r="116" spans="1:6" x14ac:dyDescent="0.3">
      <c r="A116" t="s">
        <v>35</v>
      </c>
      <c r="B116">
        <v>45</v>
      </c>
      <c r="C116">
        <v>3404.5</v>
      </c>
      <c r="D116">
        <f t="shared" si="14"/>
        <v>1.9551000000000001</v>
      </c>
      <c r="F116">
        <f>RSQ(B113:B116,C113:C116)</f>
        <v>4.8425174180917838E-2</v>
      </c>
    </row>
    <row r="117" spans="1:6" x14ac:dyDescent="0.3">
      <c r="A117" t="s">
        <v>36</v>
      </c>
      <c r="B117" t="s">
        <v>16</v>
      </c>
      <c r="C117">
        <v>3477.5</v>
      </c>
      <c r="D117">
        <f t="shared" si="14"/>
        <v>1.9989000000000001</v>
      </c>
    </row>
    <row r="118" spans="1:6" x14ac:dyDescent="0.3">
      <c r="A118" t="s">
        <v>36</v>
      </c>
      <c r="B118">
        <v>0</v>
      </c>
      <c r="C118">
        <v>3547</v>
      </c>
      <c r="D118">
        <f t="shared" si="14"/>
        <v>2.0405999999999995</v>
      </c>
    </row>
    <row r="119" spans="1:6" x14ac:dyDescent="0.3">
      <c r="A119" t="s">
        <v>36</v>
      </c>
      <c r="B119">
        <v>15</v>
      </c>
      <c r="C119">
        <v>3607</v>
      </c>
      <c r="D119">
        <f t="shared" si="14"/>
        <v>2.0765999999999996</v>
      </c>
    </row>
    <row r="120" spans="1:6" x14ac:dyDescent="0.3">
      <c r="A120" t="s">
        <v>36</v>
      </c>
      <c r="B120">
        <v>30</v>
      </c>
      <c r="C120">
        <v>3524.5</v>
      </c>
      <c r="D120">
        <f t="shared" si="14"/>
        <v>2.0270999999999999</v>
      </c>
    </row>
    <row r="121" spans="1:6" x14ac:dyDescent="0.3">
      <c r="A121" t="s">
        <v>36</v>
      </c>
      <c r="B121">
        <v>45</v>
      </c>
      <c r="C121">
        <v>3468</v>
      </c>
      <c r="D121">
        <f t="shared" si="14"/>
        <v>1.9932000000000001</v>
      </c>
      <c r="F121">
        <f>RSQ(B118:B121,C118:C121)</f>
        <v>0.51468925485450678</v>
      </c>
    </row>
    <row r="126" spans="1:6" x14ac:dyDescent="0.3">
      <c r="F126" t="e">
        <f>RSQ(B123:B126,C123:C126)</f>
        <v>#DIV/0!</v>
      </c>
    </row>
    <row r="131" spans="6:6" x14ac:dyDescent="0.3">
      <c r="F131" t="e">
        <f>RSQ(B128:B131,C128:C131)</f>
        <v>#DIV/0!</v>
      </c>
    </row>
    <row r="136" spans="6:6" x14ac:dyDescent="0.3">
      <c r="F136" t="e">
        <f>RSQ(B133:B136,C133:C136)</f>
        <v>#DIV/0!</v>
      </c>
    </row>
    <row r="141" spans="6:6" x14ac:dyDescent="0.3">
      <c r="F141" t="e">
        <f>RSQ(B138:B141,C138:C141)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LICOR</vt:lpstr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Pagenkopp</dc:creator>
  <cp:lastModifiedBy>Derek Pagenkopp</cp:lastModifiedBy>
  <dcterms:created xsi:type="dcterms:W3CDTF">2019-10-08T06:38:17Z</dcterms:created>
  <dcterms:modified xsi:type="dcterms:W3CDTF">2019-11-20T06:14:42Z</dcterms:modified>
</cp:coreProperties>
</file>