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  <sheet state="visible" name="Projects" sheetId="2" r:id="rId5"/>
    <sheet state="visible" name="Trade Ugly" sheetId="3" r:id="rId6"/>
    <sheet state="visible" name="Log" sheetId="4" r:id="rId7"/>
    <sheet state="visible" name="Espionage" sheetId="5" r:id="rId8"/>
    <sheet state="visible" name="Special Units" sheetId="6" r:id="rId9"/>
    <sheet state="visible" name="Specialties" sheetId="7" r:id="rId10"/>
  </sheets>
  <definedNames>
    <definedName name="Technology">#REF!</definedName>
    <definedName localSheetId="0" name="Society">Template!$B$9</definedName>
    <definedName name="Religion">#REF!</definedName>
    <definedName name="Economics">#REF!</definedName>
    <definedName localSheetId="0" name="Technology">Template!$B$13</definedName>
    <definedName localSheetId="0" name="Espionage">Template!$B$10</definedName>
    <definedName name="AirForce">#REF!</definedName>
    <definedName localSheetId="0" name="Arcane">Template!$B$11</definedName>
    <definedName name="Size">#REF!</definedName>
    <definedName name="Army">#REF!</definedName>
    <definedName localSheetId="0" name="Politics">Template!$B$5</definedName>
    <definedName name="Navy">#REF!</definedName>
    <definedName localSheetId="0" name="Army">Template!$B$15</definedName>
    <definedName name="Military">#REF!</definedName>
    <definedName localSheetId="0" name="Military">Template!$B$7</definedName>
    <definedName localSheetId="0" name="AirForce">Template!$B$17</definedName>
    <definedName name="Society">#REF!</definedName>
    <definedName name="Politics">#REF!</definedName>
    <definedName localSheetId="0" name="Economics">Template!$B$8</definedName>
    <definedName localSheetId="0" name="Size">Template!$B$6</definedName>
    <definedName name="Arcane">#REF!</definedName>
    <definedName localSheetId="0" name="Navy">Template!$B$16</definedName>
    <definedName localSheetId="0" name="Religion">Template!$B$12</definedName>
    <definedName name="Espionage">#REF!</definedName>
    <definedName hidden="1" localSheetId="0" name="_xlnm._FilterDatabase">Template!$A$6:$A$13</definedName>
    <definedName hidden="1" localSheetId="0" name="Z_C44E356E_5505_4920_AEA5_0DE01EA7A27A_.wvu.FilterData">Template!$A$31:$K$115</definedName>
  </definedNames>
  <calcPr/>
  <customWorkbookViews>
    <customWorkbookView activeSheetId="0" maximized="1" windowHeight="0" windowWidth="0" guid="{C44E356E-5505-4920-AEA5-0DE01EA7A27A}" name="Giant Resource List Hidden"/>
  </customWorkbookViews>
</workbook>
</file>

<file path=xl/sharedStrings.xml><?xml version="1.0" encoding="utf-8"?>
<sst xmlns="http://schemas.openxmlformats.org/spreadsheetml/2006/main" count="385" uniqueCount="232">
  <si>
    <t>Ostwil</t>
  </si>
  <si>
    <t>Jake Guest</t>
  </si>
  <si>
    <t>7 Expert/3 Rogue/5 bard</t>
  </si>
  <si>
    <t>Updated on turn:</t>
  </si>
  <si>
    <t xml:space="preserve">Description: </t>
  </si>
  <si>
    <t>Trade Based City-State - N</t>
  </si>
  <si>
    <t>Current Turn</t>
  </si>
  <si>
    <t>Stat</t>
  </si>
  <si>
    <t>Rating</t>
  </si>
  <si>
    <t>+/-</t>
  </si>
  <si>
    <t>Notes</t>
  </si>
  <si>
    <t>Advisor</t>
  </si>
  <si>
    <t>Politics</t>
  </si>
  <si>
    <t>(+1)</t>
  </si>
  <si>
    <t>Size</t>
  </si>
  <si>
    <t xml:space="preserve">Population: </t>
  </si>
  <si>
    <t>Society &amp; Espionage Questions</t>
  </si>
  <si>
    <t>Orders to Vassals</t>
  </si>
  <si>
    <t>Military</t>
  </si>
  <si>
    <t>(See Player sheet)</t>
  </si>
  <si>
    <t>Nation</t>
  </si>
  <si>
    <t>Order</t>
  </si>
  <si>
    <t>Economics</t>
  </si>
  <si>
    <t>Trade</t>
  </si>
  <si>
    <t>See Player sheet for orders</t>
  </si>
  <si>
    <t xml:space="preserve">Society </t>
  </si>
  <si>
    <t>Espionage</t>
  </si>
  <si>
    <t>Gathering information</t>
  </si>
  <si>
    <t>Arcane</t>
  </si>
  <si>
    <t>Religion</t>
  </si>
  <si>
    <t>(+2)</t>
  </si>
  <si>
    <t>Technology</t>
  </si>
  <si>
    <t xml:space="preserve">Army </t>
  </si>
  <si>
    <t>Navy</t>
  </si>
  <si>
    <t>Fortification</t>
  </si>
  <si>
    <t>Previous Total moved here to make room for calculated total below</t>
  </si>
  <si>
    <t>Air Force</t>
  </si>
  <si>
    <t>Total Progress</t>
  </si>
  <si>
    <t>Base Income</t>
  </si>
  <si>
    <t>Trust</t>
  </si>
  <si>
    <t>Maintenance</t>
  </si>
  <si>
    <t>Other</t>
  </si>
  <si>
    <t>Income</t>
  </si>
  <si>
    <t>Treasury</t>
  </si>
  <si>
    <t>Towns</t>
  </si>
  <si>
    <t>Cities</t>
  </si>
  <si>
    <t>Committed Resources</t>
  </si>
  <si>
    <t>Sentient Creatures</t>
  </si>
  <si>
    <t>Projects</t>
  </si>
  <si>
    <t>Unfinished Only</t>
  </si>
  <si>
    <t xml:space="preserve">Trade post </t>
  </si>
  <si>
    <t xml:space="preserve">spcial forces </t>
  </si>
  <si>
    <t>Name</t>
  </si>
  <si>
    <t>Effect</t>
  </si>
  <si>
    <t>Cost (g)</t>
  </si>
  <si>
    <t>Resource(s)</t>
  </si>
  <si>
    <t>(O)ngoing (U)nfinished (S)uspended</t>
  </si>
  <si>
    <t>Initial Result</t>
  </si>
  <si>
    <t>Progress Per Turn</t>
  </si>
  <si>
    <t>Total Needed</t>
  </si>
  <si>
    <t>Turn Started</t>
  </si>
  <si>
    <t>Progress Meter (Calculated)</t>
  </si>
  <si>
    <t>Progress Bar (Calculated)</t>
  </si>
  <si>
    <t>Natively Produced</t>
  </si>
  <si>
    <t>Committed</t>
  </si>
  <si>
    <t>Not Used</t>
  </si>
  <si>
    <t>Total</t>
  </si>
  <si>
    <t>Project A</t>
  </si>
  <si>
    <t>Project B</t>
  </si>
  <si>
    <t>Project C</t>
  </si>
  <si>
    <t>Project D</t>
  </si>
  <si>
    <t>Project E</t>
  </si>
  <si>
    <t>Project F</t>
  </si>
  <si>
    <t>Project G</t>
  </si>
  <si>
    <t>Project H</t>
  </si>
  <si>
    <t>remove crime</t>
  </si>
  <si>
    <t>iImprove society</t>
  </si>
  <si>
    <t>1 Poison</t>
  </si>
  <si>
    <t>U</t>
  </si>
  <si>
    <t>Theedrdrim</t>
  </si>
  <si>
    <t>1 hardwood, 1 crop</t>
  </si>
  <si>
    <t>auditors</t>
  </si>
  <si>
    <t>1 pearl, 1 spirits</t>
  </si>
  <si>
    <t>Committed in Detail</t>
  </si>
  <si>
    <t>Type</t>
  </si>
  <si>
    <t>Tier</t>
  </si>
  <si>
    <t>Not Developed</t>
  </si>
  <si>
    <t>Available</t>
  </si>
  <si>
    <t>Positive</t>
  </si>
  <si>
    <t>Negative</t>
  </si>
  <si>
    <t>Manually enter above when done.</t>
  </si>
  <si>
    <t>Action 1</t>
  </si>
  <si>
    <t>Description</t>
  </si>
  <si>
    <t>Stat 1</t>
  </si>
  <si>
    <t>Stat 2</t>
  </si>
  <si>
    <t>Resource 1</t>
  </si>
  <si>
    <t>Resource 2</t>
  </si>
  <si>
    <t>(g) Spent</t>
  </si>
  <si>
    <t>Action 2</t>
  </si>
  <si>
    <t>Action 3</t>
  </si>
  <si>
    <t>Ongoing Projects</t>
  </si>
  <si>
    <t>Unfinished Projects</t>
  </si>
  <si>
    <t>Effect (on completion)</t>
  </si>
  <si>
    <t>Progress Bar</t>
  </si>
  <si>
    <t>Initial Action Total</t>
  </si>
  <si>
    <t>&lt;- Included in "Other" on Main tab (Cell B22)</t>
  </si>
  <si>
    <t>Suspended Projects</t>
  </si>
  <si>
    <t>Added Progress</t>
  </si>
  <si>
    <t>Through row</t>
  </si>
  <si>
    <t>Filter goes through row 200</t>
  </si>
  <si>
    <t>Y</t>
  </si>
  <si>
    <t>Ostwil/Ashen'gar</t>
  </si>
  <si>
    <t>1 Greenwood</t>
  </si>
  <si>
    <t>1 Marble</t>
  </si>
  <si>
    <t>Defended</t>
  </si>
  <si>
    <t>Ostwil/Voresh</t>
  </si>
  <si>
    <t>2g</t>
  </si>
  <si>
    <t>1 narcotics</t>
  </si>
  <si>
    <t>Ostwil/Ti'Vashni</t>
  </si>
  <si>
    <t>Defended 9 Extra HP,  paused by Ti'Vashni</t>
  </si>
  <si>
    <t>N</t>
  </si>
  <si>
    <t>Ostwil/Rohevan</t>
  </si>
  <si>
    <t>1g</t>
  </si>
  <si>
    <t>1 Iron</t>
  </si>
  <si>
    <t>Ostwil/HPE</t>
  </si>
  <si>
    <t>1 Pearl</t>
  </si>
  <si>
    <t>1 Livestock 1 Crop</t>
  </si>
  <si>
    <t>Ostwil/Morgaard</t>
  </si>
  <si>
    <t>1 LiveStock</t>
  </si>
  <si>
    <t>Athasian/Ostwil</t>
  </si>
  <si>
    <t>1 crops, 1 hardwood</t>
  </si>
  <si>
    <t>Jurai/Ostwil</t>
  </si>
  <si>
    <t>1 Marble, 1g</t>
  </si>
  <si>
    <t>1 Spirits</t>
  </si>
  <si>
    <t>Levain/Ostwil</t>
  </si>
  <si>
    <t>1 Glass</t>
  </si>
  <si>
    <t>1 Spice</t>
  </si>
  <si>
    <t>FINAL!!!!</t>
  </si>
  <si>
    <t>Turn</t>
  </si>
  <si>
    <t>Change</t>
  </si>
  <si>
    <t>Why</t>
  </si>
  <si>
    <t>Reference?</t>
  </si>
  <si>
    <t>Target</t>
  </si>
  <si>
    <t>Classification</t>
  </si>
  <si>
    <t>Resource Cost</t>
  </si>
  <si>
    <t>Gold Cost</t>
  </si>
  <si>
    <t>Counterespionage Projects</t>
  </si>
  <si>
    <t>blue</t>
  </si>
  <si>
    <t>plague prep</t>
  </si>
  <si>
    <t>Jurai</t>
  </si>
  <si>
    <t>Orange</t>
  </si>
  <si>
    <t>Blue</t>
  </si>
  <si>
    <t>Interior secret police</t>
  </si>
  <si>
    <t xml:space="preserve">Trust </t>
  </si>
  <si>
    <t>Voresh</t>
  </si>
  <si>
    <t>yellow</t>
  </si>
  <si>
    <t>Indigo</t>
  </si>
  <si>
    <t>Khazak-Dhur</t>
  </si>
  <si>
    <t>Athasian</t>
  </si>
  <si>
    <t>Stildar</t>
  </si>
  <si>
    <t>Yellow</t>
  </si>
  <si>
    <t>Level</t>
  </si>
  <si>
    <t>Outputs</t>
  </si>
  <si>
    <t>malim</t>
  </si>
  <si>
    <t>-</t>
  </si>
  <si>
    <t>Red</t>
  </si>
  <si>
    <t>Loyalty Rating: Ongoing open projects</t>
  </si>
  <si>
    <t>Karanex</t>
  </si>
  <si>
    <t>Green</t>
  </si>
  <si>
    <t>1g + 1L</t>
  </si>
  <si>
    <t>Test against hidden projects of weaker networks</t>
  </si>
  <si>
    <t>Morgaard</t>
  </si>
  <si>
    <t>Violet</t>
  </si>
  <si>
    <t>1g + 1L + 1F</t>
  </si>
  <si>
    <t>Gives spy ring 2 levels lower for adjacent nations</t>
  </si>
  <si>
    <t>Celistark</t>
  </si>
  <si>
    <t>2g +1L +1F</t>
  </si>
  <si>
    <t>Gives free test each round for that nation's intelligence reports</t>
  </si>
  <si>
    <t>Rohevan</t>
  </si>
  <si>
    <t>2g + 2L + 1F</t>
  </si>
  <si>
    <t>Gives spy ring 2 levels lower for all nations one is trading with</t>
  </si>
  <si>
    <t>Baktu</t>
  </si>
  <si>
    <t>2g + 3L +1F</t>
  </si>
  <si>
    <t>Allows you to place spy rings in non-nation organizations (up to espionage rating)</t>
  </si>
  <si>
    <t>Holy Primean Emprie</t>
  </si>
  <si>
    <t>2g +3L +1F +1*</t>
  </si>
  <si>
    <t>Spies amongst the gods, creates a spy ring in the divine courts to give access to their actions.</t>
  </si>
  <si>
    <t>Veraxis</t>
  </si>
  <si>
    <t xml:space="preserve">
</t>
  </si>
  <si>
    <t>*: Any Tier 3 Resource</t>
  </si>
  <si>
    <t>Ker'zerak</t>
  </si>
  <si>
    <t>Special Forces</t>
  </si>
  <si>
    <t>Fortifications</t>
  </si>
  <si>
    <t>Terrain</t>
  </si>
  <si>
    <t>Cost</t>
  </si>
  <si>
    <t>Special</t>
  </si>
  <si>
    <t>Location</t>
  </si>
  <si>
    <t>Condition</t>
  </si>
  <si>
    <t>Experience</t>
  </si>
  <si>
    <t>Gold Comitted</t>
  </si>
  <si>
    <t xml:space="preserve">Might </t>
  </si>
  <si>
    <t>Magnitude</t>
  </si>
  <si>
    <t>Doge Innocente Aveni</t>
  </si>
  <si>
    <t>Lv 17</t>
  </si>
  <si>
    <t>9 Expert/3 Rogue/5 bard</t>
  </si>
  <si>
    <t>+3</t>
  </si>
  <si>
    <t>Capital</t>
  </si>
  <si>
    <t>Elites Trade spies</t>
  </si>
  <si>
    <t>espionage</t>
  </si>
  <si>
    <t>land</t>
  </si>
  <si>
    <t>can learn 1 secrate from nation they are in</t>
  </si>
  <si>
    <t>0/5</t>
  </si>
  <si>
    <t>Battlegroups</t>
  </si>
  <si>
    <t>Might</t>
  </si>
  <si>
    <t>Damage</t>
  </si>
  <si>
    <t>Consistent Bonuses</t>
  </si>
  <si>
    <t>Location; Orders</t>
  </si>
  <si>
    <t>2g, 1 seafood, 1 iron</t>
  </si>
  <si>
    <t>+2</t>
  </si>
  <si>
    <t>Capital; Defend</t>
  </si>
  <si>
    <t>2g, 1 seafood, 1 hardwood</t>
  </si>
  <si>
    <t>Permanent Effects and Specialties</t>
  </si>
  <si>
    <t>Walls of Ostwil</t>
  </si>
  <si>
    <t>Ostwil has a level 3 fortification</t>
  </si>
  <si>
    <t xml:space="preserve">Megalopolis of Ostwil: </t>
  </si>
  <si>
    <t xml:space="preserve">The great megalopolis of Ostwil can convert up to 3 resources per turn at city rates. It has 5 slots
</t>
  </si>
  <si>
    <t xml:space="preserve">Has discovered all of their natural resources
</t>
  </si>
  <si>
    <t>Free trade hub</t>
  </si>
  <si>
    <t xml:space="preserve"> (+2 to trade route cap)</t>
  </si>
  <si>
    <t>New moving trade city</t>
  </si>
  <si>
    <t>decrease cost of trade routes bout 6points and adds 1 gold to every trade route</t>
  </si>
  <si>
    <t>Curused by Morgaard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</si>
</sst>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5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  <font>
      <color theme="1"/>
      <name val="Arial"/>
      <scheme val="minor"/>
    </font>
    <font>
      <sz val="10.0"/>
      <color rgb="FF000000"/>
      <name val="Arial"/>
    </font>
    <font>
      <sz val="12.0"/>
      <color theme="1"/>
      <name val="Arial"/>
      <scheme val="minor"/>
    </font>
    <font>
      <color theme="1"/>
      <name val="Arial"/>
    </font>
    <font/>
    <font>
      <color rgb="FF9900FF"/>
      <name val="Arial"/>
      <scheme val="minor"/>
    </font>
    <font>
      <b/>
      <color theme="1"/>
      <name val="Arial"/>
      <scheme val="minor"/>
    </font>
    <font>
      <sz val="11.0"/>
      <color rgb="FF980000"/>
      <name val="Arial"/>
    </font>
    <font>
      <b/>
      <color rgb="FF000000"/>
      <name val="Arial"/>
      <scheme val="minor"/>
    </font>
    <font>
      <color rgb="FF000000"/>
      <name val="Arial"/>
      <scheme val="minor"/>
    </font>
    <font>
      <b/>
      <color rgb="FF9900FF"/>
      <name val="Arial"/>
      <scheme val="minor"/>
    </font>
    <font>
      <b/>
      <color rgb="FF000000"/>
      <name val="Arial"/>
    </font>
    <font>
      <b/>
      <sz val="12.0"/>
      <color theme="1"/>
      <name val="Arial"/>
      <scheme val="minor"/>
    </font>
    <font>
      <b/>
      <sz val="12.0"/>
      <color theme="1"/>
      <name val="Arial"/>
    </font>
    <font>
      <b/>
      <color rgb="FF980000"/>
      <name val="Arial"/>
    </font>
    <font>
      <sz val="11.0"/>
      <color rgb="FF000000"/>
      <name val="Inconsolata"/>
    </font>
    <font>
      <b/>
      <color rgb="FF980000"/>
      <name val="Arial"/>
      <scheme val="minor"/>
    </font>
    <font>
      <b/>
      <color theme="1"/>
      <name val="Arial"/>
    </font>
    <font>
      <b/>
      <color rgb="FFFFFFFF"/>
      <name val="Arial"/>
    </font>
    <font>
      <b/>
      <color rgb="FFFFFFFF"/>
      <name val="Arial"/>
      <scheme val="minor"/>
    </font>
    <font>
      <b/>
      <sz val="14.0"/>
      <color theme="1"/>
      <name val="Arial"/>
    </font>
    <font>
      <b/>
      <sz val="14.0"/>
      <color theme="1"/>
      <name val="Arial"/>
      <scheme val="minor"/>
    </font>
  </fonts>
  <fills count="19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8E7CC3"/>
        <bgColor rgb="FF8E7CC3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B4A7D6"/>
        <bgColor rgb="FFB4A7D6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351C75"/>
        <bgColor rgb="FF351C75"/>
      </patternFill>
    </fill>
    <fill>
      <patternFill patternType="solid">
        <fgColor rgb="FFB0C90B"/>
        <bgColor rgb="FFB0C90B"/>
      </patternFill>
    </fill>
    <fill>
      <patternFill patternType="solid">
        <fgColor rgb="FFB7E1CD"/>
        <bgColor rgb="FFB7E1CD"/>
      </patternFill>
    </fill>
    <fill>
      <patternFill patternType="solid">
        <fgColor rgb="FFCC4125"/>
        <bgColor rgb="FFCC4125"/>
      </patternFill>
    </fill>
    <fill>
      <patternFill patternType="solid">
        <fgColor rgb="FFE6B8AF"/>
        <bgColor rgb="FFE6B8AF"/>
      </patternFill>
    </fill>
  </fills>
  <borders count="44">
    <border/>
    <border>
      <left style="thin">
        <color rgb="FF9900FF"/>
      </left>
      <top style="thin">
        <color rgb="FF9900FF"/>
      </top>
      <bottom style="thin">
        <color rgb="FF9900FF"/>
      </bottom>
    </border>
    <border>
      <right style="thin">
        <color rgb="FF9900FF"/>
      </right>
      <top style="thin">
        <color rgb="FF9900FF"/>
      </top>
      <bottom style="thin">
        <color rgb="FF9900FF"/>
      </bottom>
    </border>
    <border>
      <left style="thin">
        <color rgb="FF9900FF"/>
      </left>
      <right style="thin">
        <color rgb="FF9900FF"/>
      </right>
      <top style="thin">
        <color rgb="FF9900FF"/>
      </top>
      <bottom style="thin">
        <color rgb="FF9900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9900FF"/>
      </left>
      <right style="thin">
        <color rgb="FF9900FF"/>
      </right>
      <top style="thin">
        <color rgb="FF9900FF"/>
      </top>
    </border>
    <border>
      <left style="thin">
        <color rgb="FF9900FF"/>
      </left>
      <right style="thin">
        <color rgb="FF9900FF"/>
      </right>
    </border>
    <border>
      <left style="thin">
        <color rgb="FF9900FF"/>
      </left>
      <top style="thin">
        <color rgb="FF9900FF"/>
      </top>
    </border>
    <border>
      <right style="thin">
        <color rgb="FF9900FF"/>
      </right>
    </border>
    <border>
      <left style="thin">
        <color rgb="FF9900FF"/>
      </left>
    </border>
    <border>
      <left style="thin">
        <color rgb="FF9900FF"/>
      </left>
      <right style="thin">
        <color rgb="FF9900FF"/>
      </right>
      <bottom style="thin">
        <color rgb="FF9900FF"/>
      </bottom>
    </border>
    <border>
      <left style="thin">
        <color rgb="FF9900FF"/>
      </left>
      <bottom style="thin">
        <color rgb="FF9900FF"/>
      </bottom>
    </border>
    <border>
      <right style="thin">
        <color rgb="FF9900FF"/>
      </right>
      <bottom style="thin">
        <color rgb="FF9900FF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274E13"/>
      </left>
      <top style="thin">
        <color rgb="FF274E13"/>
      </top>
    </border>
    <border>
      <top style="thin">
        <color rgb="FF274E13"/>
      </top>
    </border>
    <border>
      <right style="thin">
        <color rgb="FF274E13"/>
      </right>
      <top style="thin">
        <color rgb="FF274E13"/>
      </top>
    </border>
    <border>
      <left style="thin">
        <color rgb="FF660000"/>
      </left>
      <top style="thin">
        <color rgb="FF660000"/>
      </top>
    </border>
    <border>
      <top style="thin">
        <color rgb="FF660000"/>
      </top>
    </border>
    <border>
      <right style="thin">
        <color rgb="FF660000"/>
      </right>
      <top style="thin">
        <color rgb="FF660000"/>
      </top>
    </border>
    <border>
      <left style="thin">
        <color rgb="FF274E13"/>
      </left>
    </border>
    <border>
      <right style="thin">
        <color rgb="FF274E13"/>
      </right>
    </border>
    <border>
      <left style="thin">
        <color rgb="FF660000"/>
      </left>
    </border>
    <border>
      <right style="thin">
        <color rgb="FF660000"/>
      </right>
    </border>
    <border>
      <left style="thin">
        <color rgb="FF274E13"/>
      </left>
      <bottom style="thin">
        <color rgb="FF274E13"/>
      </bottom>
    </border>
    <border>
      <bottom style="thin">
        <color rgb="FF274E13"/>
      </bottom>
    </border>
    <border>
      <right style="thin">
        <color rgb="FF274E13"/>
      </right>
      <bottom style="thin">
        <color rgb="FF274E13"/>
      </bottom>
    </border>
    <border>
      <left style="thin">
        <color rgb="FF660000"/>
      </left>
      <bottom style="thin">
        <color rgb="FF660000"/>
      </bottom>
    </border>
    <border>
      <bottom style="thin">
        <color rgb="FF660000"/>
      </bottom>
    </border>
    <border>
      <right style="thin">
        <color rgb="FF660000"/>
      </right>
      <bottom style="thin">
        <color rgb="FF66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right/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1"/>
    </xf>
    <xf borderId="1" fillId="2" fontId="1" numFmtId="0" xfId="0" applyAlignment="1" applyBorder="1" applyFill="1" applyFont="1">
      <alignment readingOrder="0" vertical="bottom"/>
    </xf>
    <xf borderId="2" fillId="2" fontId="2" numFmtId="0" xfId="0" applyAlignment="1" applyBorder="1" applyFont="1">
      <alignment readingOrder="0" vertical="bottom"/>
    </xf>
    <xf borderId="0" fillId="3" fontId="4" numFmtId="0" xfId="0" applyAlignment="1" applyFill="1" applyFont="1">
      <alignment readingOrder="0"/>
    </xf>
    <xf borderId="3" fillId="2" fontId="4" numFmtId="0" xfId="0" applyAlignment="1" applyBorder="1" applyFont="1">
      <alignment readingOrder="0"/>
    </xf>
    <xf borderId="3" fillId="2" fontId="3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4" fillId="0" fontId="5" numFmtId="0" xfId="0" applyBorder="1" applyFont="1"/>
    <xf borderId="5" fillId="0" fontId="6" numFmtId="0" xfId="0" applyAlignment="1" applyBorder="1" applyFont="1">
      <alignment vertical="bottom"/>
    </xf>
    <xf borderId="0" fillId="0" fontId="6" numFmtId="0" xfId="0" applyAlignment="1" applyFont="1">
      <alignment vertical="bottom"/>
    </xf>
    <xf quotePrefix="1" borderId="5" fillId="0" fontId="3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6" fillId="2" fontId="6" numFmtId="0" xfId="0" applyAlignment="1" applyBorder="1" applyFont="1">
      <alignment horizontal="center" readingOrder="0" vertical="bottom"/>
    </xf>
    <xf borderId="0" fillId="0" fontId="3" numFmtId="0" xfId="0" applyFont="1"/>
    <xf borderId="6" fillId="2" fontId="3" numFmtId="0" xfId="0" applyBorder="1" applyFont="1"/>
    <xf borderId="7" fillId="2" fontId="6" numFmtId="0" xfId="0" applyAlignment="1" applyBorder="1" applyFont="1">
      <alignment horizontal="center" readingOrder="0" vertical="bottom"/>
    </xf>
    <xf borderId="8" fillId="2" fontId="3" numFmtId="0" xfId="0" applyAlignment="1" applyBorder="1" applyFont="1">
      <alignment readingOrder="0"/>
    </xf>
    <xf borderId="9" fillId="2" fontId="3" numFmtId="0" xfId="0" applyBorder="1" applyFont="1"/>
    <xf borderId="10" fillId="2" fontId="3" numFmtId="0" xfId="0" applyBorder="1" applyFont="1"/>
    <xf borderId="0" fillId="4" fontId="3" numFmtId="0" xfId="0" applyAlignment="1" applyFill="1" applyFont="1">
      <alignment readingOrder="0"/>
    </xf>
    <xf borderId="0" fillId="4" fontId="3" numFmtId="0" xfId="0" applyFont="1"/>
    <xf borderId="9" fillId="2" fontId="3" numFmtId="0" xfId="0" applyAlignment="1" applyBorder="1" applyFont="1">
      <alignment readingOrder="0"/>
    </xf>
    <xf borderId="11" fillId="0" fontId="7" numFmtId="0" xfId="0" applyBorder="1" applyFont="1"/>
    <xf borderId="9" fillId="2" fontId="3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/>
    </xf>
    <xf borderId="10" fillId="2" fontId="4" numFmtId="0" xfId="0" applyAlignment="1" applyBorder="1" applyFont="1">
      <alignment readingOrder="0"/>
    </xf>
    <xf borderId="7" fillId="2" fontId="3" numFmtId="0" xfId="0" applyAlignment="1" applyBorder="1" applyFont="1">
      <alignment horizontal="center"/>
    </xf>
    <xf borderId="7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2" fontId="3" numFmtId="0" xfId="0" applyBorder="1" applyFont="1"/>
    <xf borderId="13" fillId="2" fontId="3" numFmtId="0" xfId="0" applyBorder="1" applyFont="1"/>
    <xf borderId="4" fillId="0" fontId="3" numFmtId="0" xfId="0" applyAlignment="1" applyBorder="1" applyFont="1">
      <alignment readingOrder="0"/>
    </xf>
    <xf borderId="0" fillId="0" fontId="3" numFmtId="0" xfId="0" applyAlignment="1" applyFont="1">
      <alignment horizontal="center"/>
    </xf>
    <xf borderId="4" fillId="2" fontId="3" numFmtId="0" xfId="0" applyAlignment="1" applyBorder="1" applyFont="1">
      <alignment readingOrder="0"/>
    </xf>
    <xf borderId="0" fillId="3" fontId="4" numFmtId="0" xfId="0" applyAlignment="1" applyFont="1">
      <alignment horizontal="center"/>
    </xf>
    <xf borderId="0" fillId="4" fontId="8" numFmtId="0" xfId="0" applyAlignment="1" applyFont="1">
      <alignment readingOrder="0"/>
    </xf>
    <xf borderId="4" fillId="2" fontId="3" numFmtId="0" xfId="0" applyBorder="1" applyFont="1"/>
    <xf borderId="3" fillId="2" fontId="8" numFmtId="0" xfId="0" applyAlignment="1" applyBorder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1" xfId="0" applyAlignment="1" applyFont="1" applyNumberFormat="1">
      <alignment horizontal="center"/>
    </xf>
    <xf borderId="3" fillId="2" fontId="3" numFmtId="1" xfId="0" applyAlignment="1" applyBorder="1" applyFont="1" applyNumberFormat="1">
      <alignment horizontal="center" readingOrder="0"/>
    </xf>
    <xf borderId="6" fillId="2" fontId="3" numFmtId="0" xfId="0" applyAlignment="1" applyBorder="1" applyFont="1">
      <alignment horizontal="center" readingOrder="0"/>
    </xf>
    <xf borderId="14" fillId="0" fontId="9" numFmtId="0" xfId="0" applyAlignment="1" applyBorder="1" applyFont="1">
      <alignment horizontal="center" readingOrder="0"/>
    </xf>
    <xf borderId="15" fillId="0" fontId="7" numFmtId="0" xfId="0" applyBorder="1" applyFont="1"/>
    <xf borderId="16" fillId="0" fontId="7" numFmtId="0" xfId="0" applyBorder="1" applyFont="1"/>
    <xf borderId="3" fillId="2" fontId="10" numFmtId="0" xfId="0" applyAlignment="1" applyBorder="1" applyFont="1">
      <alignment readingOrder="0"/>
    </xf>
    <xf borderId="0" fillId="5" fontId="9" numFmtId="0" xfId="0" applyAlignment="1" applyFill="1" applyFont="1">
      <alignment horizontal="center"/>
    </xf>
    <xf borderId="17" fillId="0" fontId="9" numFmtId="0" xfId="0" applyAlignment="1" applyBorder="1" applyFont="1">
      <alignment horizontal="center" readingOrder="0"/>
    </xf>
    <xf borderId="17" fillId="0" fontId="7" numFmtId="0" xfId="0" applyBorder="1" applyFont="1"/>
    <xf borderId="18" fillId="0" fontId="7" numFmtId="0" xfId="0" applyBorder="1" applyFont="1"/>
    <xf borderId="19" fillId="0" fontId="3" numFmtId="0" xfId="0" applyAlignment="1" applyBorder="1" applyFont="1">
      <alignment horizontal="center" readingOrder="0"/>
    </xf>
    <xf borderId="18" fillId="0" fontId="9" numFmtId="0" xfId="0" applyAlignment="1" applyBorder="1" applyFont="1">
      <alignment horizontal="center"/>
    </xf>
    <xf borderId="4" fillId="0" fontId="9" numFmtId="0" xfId="0" applyAlignment="1" applyBorder="1" applyFont="1">
      <alignment horizontal="center"/>
    </xf>
    <xf borderId="0" fillId="5" fontId="3" numFmtId="0" xfId="0" applyFont="1"/>
    <xf borderId="0" fillId="0" fontId="9" numFmtId="0" xfId="0" applyAlignment="1" applyFont="1">
      <alignment readingOrder="0"/>
    </xf>
    <xf borderId="0" fillId="0" fontId="1" numFmtId="0" xfId="0" applyAlignment="1" applyFont="1">
      <alignment horizontal="center" readingOrder="0" shrinkToFit="0" wrapText="1"/>
    </xf>
    <xf borderId="4" fillId="6" fontId="1" numFmtId="0" xfId="0" applyAlignment="1" applyBorder="1" applyFill="1" applyFont="1">
      <alignment horizontal="center" readingOrder="0" shrinkToFit="0" wrapText="1"/>
    </xf>
    <xf borderId="4" fillId="0" fontId="1" numFmtId="0" xfId="0" applyAlignment="1" applyBorder="1" applyFont="1">
      <alignment horizontal="center" readingOrder="0" shrinkToFit="0" wrapText="1"/>
    </xf>
    <xf borderId="20" fillId="0" fontId="1" numFmtId="0" xfId="0" applyAlignment="1" applyBorder="1" applyFont="1">
      <alignment horizontal="center" readingOrder="0" shrinkToFit="0" wrapText="1"/>
    </xf>
    <xf borderId="4" fillId="0" fontId="9" numFmtId="0" xfId="0" applyBorder="1" applyFont="1"/>
    <xf borderId="21" fillId="0" fontId="9" numFmtId="0" xfId="0" applyAlignment="1" applyBorder="1" applyFont="1">
      <alignment readingOrder="0"/>
    </xf>
    <xf borderId="20" fillId="0" fontId="9" numFmtId="0" xfId="0" applyAlignment="1" applyBorder="1" applyFont="1">
      <alignment readingOrder="0"/>
    </xf>
    <xf borderId="4" fillId="0" fontId="3" numFmtId="0" xfId="0" applyBorder="1" applyFont="1"/>
    <xf borderId="4" fillId="0" fontId="2" numFmtId="0" xfId="0" applyAlignment="1" applyBorder="1" applyFont="1">
      <alignment horizontal="center" readingOrder="0" shrinkToFit="0" wrapText="1"/>
    </xf>
    <xf borderId="4" fillId="0" fontId="2" numFmtId="0" xfId="0" applyAlignment="1" applyBorder="1" applyFont="1">
      <alignment horizontal="left" readingOrder="0" shrinkToFit="0" wrapText="1"/>
    </xf>
    <xf borderId="19" fillId="0" fontId="2" numFmtId="0" xfId="0" applyAlignment="1" applyBorder="1" applyFont="1">
      <alignment horizontal="left" readingOrder="0" shrinkToFit="0" wrapText="1"/>
    </xf>
    <xf borderId="3" fillId="2" fontId="2" numFmtId="0" xfId="0" applyAlignment="1" applyBorder="1" applyFont="1">
      <alignment horizontal="center" readingOrder="0" shrinkToFit="0" wrapText="1"/>
    </xf>
    <xf borderId="3" fillId="7" fontId="2" numFmtId="0" xfId="0" applyAlignment="1" applyBorder="1" applyFill="1" applyFont="1">
      <alignment horizontal="center" readingOrder="0" shrinkToFit="0" wrapText="1"/>
    </xf>
    <xf borderId="3" fillId="8" fontId="2" numFmtId="0" xfId="0" applyAlignment="1" applyBorder="1" applyFill="1" applyFont="1">
      <alignment horizontal="center" readingOrder="0" shrinkToFit="0" wrapText="1"/>
    </xf>
    <xf borderId="18" fillId="3" fontId="2" numFmtId="0" xfId="0" applyAlignment="1" applyBorder="1" applyFont="1">
      <alignment horizontal="left" readingOrder="0" shrinkToFit="0" wrapText="1"/>
    </xf>
    <xf borderId="2" fillId="2" fontId="3" numFmtId="0" xfId="0" applyBorder="1" applyFont="1"/>
    <xf borderId="3" fillId="9" fontId="3" numFmtId="0" xfId="0" applyBorder="1" applyFill="1" applyFont="1"/>
    <xf borderId="3" fillId="8" fontId="3" numFmtId="0" xfId="0" applyBorder="1" applyFont="1"/>
    <xf borderId="3" fillId="2" fontId="3" numFmtId="0" xfId="0" applyBorder="1" applyFont="1"/>
    <xf borderId="3" fillId="10" fontId="3" numFmtId="0" xfId="0" applyBorder="1" applyFill="1" applyFont="1"/>
    <xf borderId="3" fillId="2" fontId="2" numFmtId="0" xfId="0" applyAlignment="1" applyBorder="1" applyFont="1">
      <alignment horizontal="left" readingOrder="0" shrinkToFit="0" wrapText="1"/>
    </xf>
    <xf borderId="0" fillId="0" fontId="9" numFmtId="0" xfId="0" applyFont="1"/>
    <xf borderId="19" fillId="0" fontId="3" numFmtId="0" xfId="0" applyAlignment="1" applyBorder="1" applyFont="1">
      <alignment horizontal="left" readingOrder="0"/>
    </xf>
    <xf borderId="3" fillId="2" fontId="3" numFmtId="0" xfId="0" applyAlignment="1" applyBorder="1" applyFont="1">
      <alignment horizontal="center" readingOrder="0"/>
    </xf>
    <xf borderId="3" fillId="7" fontId="3" numFmtId="0" xfId="0" applyAlignment="1" applyBorder="1" applyFont="1">
      <alignment horizontal="center" readingOrder="0"/>
    </xf>
    <xf borderId="3" fillId="8" fontId="3" numFmtId="0" xfId="0" applyAlignment="1" applyBorder="1" applyFont="1">
      <alignment horizontal="center"/>
    </xf>
    <xf borderId="3" fillId="7" fontId="3" numFmtId="0" xfId="0" applyAlignment="1" applyBorder="1" applyFont="1">
      <alignment horizontal="center"/>
    </xf>
    <xf borderId="3" fillId="2" fontId="3" numFmtId="0" xfId="0" applyAlignment="1" applyBorder="1" applyFont="1">
      <alignment horizontal="center"/>
    </xf>
    <xf borderId="20" fillId="0" fontId="2" numFmtId="0" xfId="0" applyAlignment="1" applyBorder="1" applyFont="1">
      <alignment horizontal="center" readingOrder="0" shrinkToFit="0" wrapText="1"/>
    </xf>
    <xf borderId="20" fillId="0" fontId="2" numFmtId="0" xfId="0" applyAlignment="1" applyBorder="1" applyFont="1">
      <alignment horizontal="left" readingOrder="0" shrinkToFit="0" wrapText="1"/>
    </xf>
    <xf borderId="14" fillId="0" fontId="2" numFmtId="0" xfId="0" applyAlignment="1" applyBorder="1" applyFont="1">
      <alignment horizontal="left" readingOrder="0" shrinkToFit="0" wrapText="1"/>
    </xf>
    <xf borderId="6" fillId="2" fontId="2" numFmtId="0" xfId="0" applyAlignment="1" applyBorder="1" applyFont="1">
      <alignment horizontal="center" readingOrder="0" shrinkToFit="0" wrapText="1"/>
    </xf>
    <xf borderId="6" fillId="7" fontId="2" numFmtId="0" xfId="0" applyAlignment="1" applyBorder="1" applyFont="1">
      <alignment horizontal="center" readingOrder="0" shrinkToFit="0" wrapText="1"/>
    </xf>
    <xf borderId="6" fillId="8" fontId="2" numFmtId="0" xfId="0" applyAlignment="1" applyBorder="1" applyFont="1">
      <alignment horizontal="center" readingOrder="0" shrinkToFit="0" wrapText="1"/>
    </xf>
    <xf borderId="16" fillId="3" fontId="2" numFmtId="0" xfId="0" applyAlignment="1" applyBorder="1" applyFont="1">
      <alignment horizontal="left" readingOrder="0" shrinkToFit="0" wrapText="1"/>
    </xf>
    <xf borderId="19" fillId="0" fontId="3" numFmtId="0" xfId="0" applyAlignment="1" applyBorder="1" applyFont="1">
      <alignment horizontal="left"/>
    </xf>
    <xf borderId="3" fillId="10" fontId="8" numFmtId="0" xfId="0" applyAlignment="1" applyBorder="1" applyFont="1">
      <alignment readingOrder="0"/>
    </xf>
    <xf borderId="3" fillId="10" fontId="8" numFmtId="0" xfId="0" applyAlignment="1" applyBorder="1" applyFont="1">
      <alignment readingOrder="0" shrinkToFit="0" wrapText="1"/>
    </xf>
    <xf borderId="0" fillId="0" fontId="11" numFmtId="0" xfId="0" applyAlignment="1" applyFont="1">
      <alignment readingOrder="0"/>
    </xf>
    <xf borderId="0" fillId="0" fontId="11" numFmtId="0" xfId="0" applyAlignment="1" applyFont="1">
      <alignment readingOrder="0" shrinkToFit="0" wrapText="1"/>
    </xf>
    <xf borderId="4" fillId="0" fontId="12" numFmtId="0" xfId="0" applyAlignment="1" applyBorder="1" applyFont="1">
      <alignment readingOrder="0" shrinkToFit="0" wrapText="1"/>
    </xf>
    <xf borderId="4" fillId="0" fontId="12" numFmtId="0" xfId="0" applyAlignment="1" applyBorder="1" applyFont="1">
      <alignment readingOrder="0"/>
    </xf>
    <xf borderId="19" fillId="0" fontId="12" numFmtId="0" xfId="0" applyAlignment="1" applyBorder="1" applyFont="1">
      <alignment horizontal="left" readingOrder="0"/>
    </xf>
    <xf borderId="3" fillId="2" fontId="11" numFmtId="0" xfId="0" applyAlignment="1" applyBorder="1" applyFont="1">
      <alignment horizontal="center" readingOrder="0"/>
    </xf>
    <xf borderId="3" fillId="7" fontId="11" numFmtId="0" xfId="0" applyAlignment="1" applyBorder="1" applyFont="1">
      <alignment horizontal="center" readingOrder="0"/>
    </xf>
    <xf borderId="3" fillId="8" fontId="11" numFmtId="0" xfId="0" applyAlignment="1" applyBorder="1" applyFont="1">
      <alignment horizontal="center" readingOrder="0"/>
    </xf>
    <xf borderId="2" fillId="2" fontId="13" numFmtId="0" xfId="0" applyAlignment="1" applyBorder="1" applyFont="1">
      <alignment readingOrder="0"/>
    </xf>
    <xf borderId="3" fillId="9" fontId="13" numFmtId="0" xfId="0" applyAlignment="1" applyBorder="1" applyFont="1">
      <alignment readingOrder="0" shrinkToFit="0" wrapText="1"/>
    </xf>
    <xf borderId="0" fillId="0" fontId="13" numFmtId="0" xfId="0" applyAlignment="1" applyFont="1">
      <alignment readingOrder="0"/>
    </xf>
    <xf borderId="0" fillId="0" fontId="9" numFmtId="0" xfId="0" applyAlignment="1" applyFont="1">
      <alignment horizontal="center" readingOrder="0"/>
    </xf>
    <xf borderId="19" fillId="0" fontId="9" numFmtId="0" xfId="0" applyAlignment="1" applyBorder="1" applyFont="1">
      <alignment horizontal="center" readingOrder="0"/>
    </xf>
    <xf borderId="4" fillId="0" fontId="11" numFmtId="0" xfId="0" applyAlignment="1" applyBorder="1" applyFont="1">
      <alignment readingOrder="0" shrinkToFit="0" wrapText="1"/>
    </xf>
    <xf borderId="4" fillId="0" fontId="11" numFmtId="0" xfId="0" applyAlignment="1" applyBorder="1" applyFont="1">
      <alignment readingOrder="0"/>
    </xf>
    <xf borderId="4" fillId="0" fontId="14" numFmtId="0" xfId="0" applyAlignment="1" applyBorder="1" applyFont="1">
      <alignment vertical="bottom"/>
    </xf>
    <xf borderId="18" fillId="0" fontId="14" numFmtId="0" xfId="0" applyAlignment="1" applyBorder="1" applyFont="1">
      <alignment vertical="bottom"/>
    </xf>
    <xf borderId="4" fillId="0" fontId="9" numFmtId="0" xfId="0" applyAlignment="1" applyBorder="1" applyFont="1">
      <alignment readingOrder="0"/>
    </xf>
    <xf borderId="4" fillId="0" fontId="9" numFmtId="0" xfId="0" applyAlignment="1" applyBorder="1" applyFont="1">
      <alignment readingOrder="0" shrinkToFit="0" wrapText="1"/>
    </xf>
    <xf borderId="0" fillId="0" fontId="12" numFmtId="0" xfId="0" applyFont="1"/>
    <xf borderId="4" fillId="3" fontId="4" numFmtId="0" xfId="0" applyBorder="1" applyFont="1"/>
    <xf borderId="4" fillId="0" fontId="12" numFmtId="0" xfId="0" applyBorder="1" applyFont="1"/>
    <xf borderId="19" fillId="0" fontId="12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0" fillId="11" fontId="15" numFmtId="0" xfId="0" applyAlignment="1" applyFill="1" applyFont="1">
      <alignment readingOrder="0"/>
    </xf>
    <xf borderId="0" fillId="11" fontId="3" numFmtId="0" xfId="0" applyFont="1"/>
    <xf borderId="0" fillId="8" fontId="15" numFmtId="0" xfId="0" applyAlignment="1" applyFont="1">
      <alignment readingOrder="0"/>
    </xf>
    <xf borderId="0" fillId="8" fontId="3" numFmtId="0" xfId="0" applyFont="1"/>
    <xf borderId="0" fillId="11" fontId="16" numFmtId="0" xfId="0" applyAlignment="1" applyFont="1">
      <alignment vertical="bottom"/>
    </xf>
    <xf borderId="0" fillId="11" fontId="6" numFmtId="0" xfId="0" applyAlignment="1" applyFont="1">
      <alignment vertical="bottom"/>
    </xf>
    <xf borderId="0" fillId="8" fontId="16" numFmtId="0" xfId="0" applyAlignment="1" applyFont="1">
      <alignment vertical="bottom"/>
    </xf>
    <xf borderId="0" fillId="8" fontId="6" numFmtId="0" xfId="0" applyAlignment="1" applyFont="1">
      <alignment vertical="bottom"/>
    </xf>
    <xf borderId="22" fillId="11" fontId="3" numFmtId="0" xfId="0" applyBorder="1" applyFont="1"/>
    <xf borderId="23" fillId="0" fontId="7" numFmtId="0" xfId="0" applyBorder="1" applyFont="1"/>
    <xf borderId="24" fillId="0" fontId="7" numFmtId="0" xfId="0" applyBorder="1" applyFont="1"/>
    <xf borderId="25" fillId="8" fontId="3" numFmtId="0" xfId="0" applyBorder="1" applyFont="1"/>
    <xf borderId="26" fillId="0" fontId="7" numFmtId="0" xfId="0" applyBorder="1" applyFont="1"/>
    <xf borderId="27" fillId="0" fontId="7" numFmtId="0" xfId="0" applyBorder="1" applyFont="1"/>
    <xf borderId="0" fillId="0" fontId="13" numFmtId="0" xfId="0" applyAlignment="1" applyFont="1">
      <alignment readingOrder="0" shrinkToFit="0" wrapText="1"/>
    </xf>
    <xf borderId="28" fillId="0" fontId="7" numFmtId="0" xfId="0" applyBorder="1" applyFont="1"/>
    <xf borderId="29" fillId="0" fontId="7" numFmtId="0" xfId="0" applyBorder="1" applyFont="1"/>
    <xf borderId="30" fillId="0" fontId="7" numFmtId="0" xfId="0" applyBorder="1" applyFont="1"/>
    <xf borderId="31" fillId="0" fontId="7" numFmtId="0" xfId="0" applyBorder="1" applyFont="1"/>
    <xf borderId="0" fillId="0" fontId="8" numFmtId="0" xfId="0" applyFont="1"/>
    <xf borderId="32" fillId="0" fontId="7" numFmtId="0" xfId="0" applyBorder="1" applyFont="1"/>
    <xf borderId="33" fillId="0" fontId="7" numFmtId="0" xfId="0" applyBorder="1" applyFont="1"/>
    <xf borderId="34" fillId="0" fontId="7" numFmtId="0" xfId="0" applyBorder="1" applyFont="1"/>
    <xf borderId="35" fillId="0" fontId="7" numFmtId="0" xfId="0" applyBorder="1" applyFont="1"/>
    <xf borderId="36" fillId="0" fontId="7" numFmtId="0" xfId="0" applyBorder="1" applyFont="1"/>
    <xf borderId="37" fillId="0" fontId="7" numFmtId="0" xfId="0" applyBorder="1" applyFont="1"/>
    <xf borderId="0" fillId="11" fontId="6" numFmtId="0" xfId="0" applyAlignment="1" applyFont="1">
      <alignment readingOrder="0" vertical="bottom"/>
    </xf>
    <xf borderId="0" fillId="11" fontId="6" numFmtId="0" xfId="0" applyAlignment="1" applyFont="1">
      <alignment vertical="bottom"/>
    </xf>
    <xf borderId="0" fillId="8" fontId="6" numFmtId="0" xfId="0" applyAlignment="1" applyFont="1">
      <alignment readingOrder="0" vertical="bottom"/>
    </xf>
    <xf borderId="0" fillId="8" fontId="6" numFmtId="0" xfId="0" applyAlignment="1" applyFont="1">
      <alignment vertical="bottom"/>
    </xf>
    <xf borderId="0" fillId="8" fontId="3" numFmtId="0" xfId="0" applyAlignment="1" applyFont="1">
      <alignment readingOrder="0"/>
    </xf>
    <xf borderId="0" fillId="8" fontId="8" numFmtId="0" xfId="0" applyFont="1"/>
    <xf borderId="0" fillId="11" fontId="16" numFmtId="0" xfId="0" applyAlignment="1" applyFont="1">
      <alignment readingOrder="0" vertical="bottom"/>
    </xf>
    <xf borderId="0" fillId="8" fontId="16" numFmtId="0" xfId="0" applyAlignment="1" applyFont="1">
      <alignment readingOrder="0" vertical="bottom"/>
    </xf>
    <xf borderId="14" fillId="12" fontId="9" numFmtId="0" xfId="0" applyAlignment="1" applyBorder="1" applyFill="1" applyFont="1">
      <alignment readingOrder="0"/>
    </xf>
    <xf borderId="15" fillId="12" fontId="9" numFmtId="0" xfId="0" applyBorder="1" applyFont="1"/>
    <xf borderId="16" fillId="12" fontId="9" numFmtId="0" xfId="0" applyBorder="1" applyFont="1"/>
    <xf borderId="38" fillId="12" fontId="3" numFmtId="0" xfId="0" applyAlignment="1" applyBorder="1" applyFont="1">
      <alignment readingOrder="0"/>
    </xf>
    <xf borderId="5" fillId="12" fontId="3" numFmtId="0" xfId="0" applyAlignment="1" applyBorder="1" applyFont="1">
      <alignment readingOrder="0"/>
    </xf>
    <xf borderId="39" fillId="13" fontId="3" numFmtId="0" xfId="0" applyAlignment="1" applyBorder="1" applyFill="1" applyFont="1">
      <alignment readingOrder="0"/>
    </xf>
    <xf borderId="40" fillId="0" fontId="3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41" fillId="0" fontId="3" numFmtId="0" xfId="0" applyBorder="1" applyFont="1"/>
    <xf borderId="41" fillId="0" fontId="3" numFmtId="0" xfId="0" applyAlignment="1" applyBorder="1" applyFont="1">
      <alignment shrinkToFit="0" vertical="top" wrapText="1"/>
    </xf>
    <xf borderId="38" fillId="0" fontId="3" numFmtId="0" xfId="0" applyAlignment="1" applyBorder="1" applyFont="1">
      <alignment shrinkToFit="0" vertical="top" wrapText="1"/>
    </xf>
    <xf borderId="5" fillId="0" fontId="3" numFmtId="0" xfId="0" applyAlignment="1" applyBorder="1" applyFont="1">
      <alignment shrinkToFit="0" vertical="top" wrapText="1"/>
    </xf>
    <xf borderId="39" fillId="0" fontId="3" numFmtId="0" xfId="0" applyAlignment="1" applyBorder="1" applyFont="1">
      <alignment shrinkToFit="0" vertical="top" wrapText="1"/>
    </xf>
    <xf borderId="0" fillId="0" fontId="3" numFmtId="0" xfId="0" applyAlignment="1" applyFont="1">
      <alignment shrinkToFit="0" wrapText="1"/>
    </xf>
    <xf borderId="39" fillId="12" fontId="3" numFmtId="0" xfId="0" applyAlignment="1" applyBorder="1" applyFont="1">
      <alignment readingOrder="0"/>
    </xf>
    <xf borderId="0" fillId="0" fontId="17" numFmtId="0" xfId="0" applyAlignment="1" applyFont="1">
      <alignment vertical="bottom"/>
    </xf>
    <xf borderId="0" fillId="0" fontId="17" numFmtId="0" xfId="0" applyAlignment="1" applyFont="1">
      <alignment horizontal="right" readingOrder="0" vertical="bottom"/>
    </xf>
    <xf borderId="0" fillId="6" fontId="18" numFmtId="0" xfId="0" applyFont="1"/>
    <xf borderId="0" fillId="6" fontId="3" numFmtId="0" xfId="0" applyFont="1"/>
    <xf borderId="0" fillId="0" fontId="3" numFmtId="1" xfId="0" applyFont="1" applyNumberFormat="1"/>
    <xf borderId="0" fillId="3" fontId="18" numFmtId="0" xfId="0" applyFont="1"/>
    <xf borderId="0" fillId="0" fontId="19" numFmtId="0" xfId="0" applyAlignment="1" applyFont="1">
      <alignment readingOrder="0"/>
    </xf>
    <xf borderId="0" fillId="11" fontId="3" numFmtId="0" xfId="0" applyAlignment="1" applyFont="1">
      <alignment readingOrder="0"/>
    </xf>
    <xf borderId="0" fillId="11" fontId="3" numFmtId="1" xfId="0" applyFont="1" applyNumberFormat="1"/>
    <xf borderId="0" fillId="11" fontId="9" numFmtId="0" xfId="0" applyFont="1"/>
    <xf borderId="3" fillId="0" fontId="20" numFmtId="0" xfId="0" applyAlignment="1" applyBorder="1" applyFont="1">
      <alignment vertical="bottom"/>
    </xf>
    <xf borderId="2" fillId="0" fontId="20" numFmtId="0" xfId="0" applyAlignment="1" applyBorder="1" applyFont="1">
      <alignment vertical="bottom"/>
    </xf>
    <xf borderId="11" fillId="0" fontId="6" numFmtId="0" xfId="0" applyAlignment="1" applyBorder="1" applyFont="1">
      <alignment vertical="bottom"/>
    </xf>
    <xf borderId="13" fillId="0" fontId="6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4" fillId="14" fontId="21" numFmtId="0" xfId="0" applyAlignment="1" applyBorder="1" applyFill="1" applyFont="1">
      <alignment horizontal="center" vertical="bottom"/>
    </xf>
    <xf borderId="4" fillId="14" fontId="22" numFmtId="0" xfId="0" applyAlignment="1" applyBorder="1" applyFont="1">
      <alignment horizontal="center" readingOrder="0"/>
    </xf>
    <xf borderId="0" fillId="0" fontId="6" numFmtId="0" xfId="0" applyAlignment="1" applyFont="1">
      <alignment horizontal="center" vertical="bottom"/>
    </xf>
    <xf borderId="0" fillId="15" fontId="6" numFmtId="0" xfId="0" applyAlignment="1" applyFill="1" applyFont="1">
      <alignment horizontal="center" vertical="bottom"/>
    </xf>
    <xf borderId="42" fillId="0" fontId="6" numFmtId="0" xfId="0" applyAlignment="1" applyBorder="1" applyFont="1">
      <alignment shrinkToFit="0" vertical="bottom" wrapText="0"/>
    </xf>
    <xf borderId="42" fillId="0" fontId="6" numFmtId="0" xfId="0" applyAlignment="1" applyBorder="1" applyFont="1">
      <alignment vertical="bottom"/>
    </xf>
    <xf borderId="42" fillId="16" fontId="6" numFmtId="0" xfId="0" applyAlignment="1" applyBorder="1" applyFill="1" applyFont="1">
      <alignment shrinkToFit="0" vertical="bottom" wrapText="0"/>
    </xf>
    <xf borderId="0" fillId="0" fontId="6" numFmtId="0" xfId="0" applyAlignment="1" applyFont="1">
      <alignment horizontal="right" vertical="bottom"/>
    </xf>
    <xf borderId="19" fillId="17" fontId="23" numFmtId="0" xfId="0" applyAlignment="1" applyBorder="1" applyFill="1" applyFont="1">
      <alignment horizontal="center" vertical="bottom"/>
    </xf>
    <xf borderId="0" fillId="3" fontId="23" numFmtId="0" xfId="0" applyAlignment="1" applyFont="1">
      <alignment horizontal="center" vertical="bottom"/>
    </xf>
    <xf borderId="19" fillId="17" fontId="24" numFmtId="0" xfId="0" applyAlignment="1" applyBorder="1" applyFont="1">
      <alignment horizontal="center" readingOrder="0"/>
    </xf>
    <xf borderId="4" fillId="18" fontId="20" numFmtId="0" xfId="0" applyAlignment="1" applyBorder="1" applyFill="1" applyFont="1">
      <alignment horizontal="center" vertical="bottom"/>
    </xf>
    <xf borderId="18" fillId="18" fontId="20" numFmtId="0" xfId="0" applyAlignment="1" applyBorder="1" applyFont="1">
      <alignment horizontal="center" vertical="bottom"/>
    </xf>
    <xf borderId="4" fillId="18" fontId="20" numFmtId="0" xfId="0" applyAlignment="1" applyBorder="1" applyFont="1">
      <alignment readingOrder="0" vertical="bottom"/>
    </xf>
    <xf borderId="4" fillId="18" fontId="9" numFmtId="0" xfId="0" applyAlignment="1" applyBorder="1" applyFont="1">
      <alignment readingOrder="0"/>
    </xf>
    <xf borderId="4" fillId="18" fontId="9" numFmtId="0" xfId="0" applyAlignment="1" applyBorder="1" applyFont="1">
      <alignment horizontal="center" readingOrder="0"/>
    </xf>
    <xf borderId="4" fillId="2" fontId="4" numFmtId="0" xfId="0" applyAlignment="1" applyBorder="1" applyFont="1">
      <alignment horizontal="left" readingOrder="0" shrinkToFit="0" wrapText="1"/>
    </xf>
    <xf borderId="39" fillId="2" fontId="6" numFmtId="0" xfId="0" applyAlignment="1" applyBorder="1" applyFont="1">
      <alignment readingOrder="0" vertical="bottom"/>
    </xf>
    <xf borderId="4" fillId="2" fontId="4" numFmtId="0" xfId="0" applyAlignment="1" applyBorder="1" applyFont="1">
      <alignment readingOrder="0"/>
    </xf>
    <xf borderId="39" fillId="2" fontId="6" numFmtId="0" xfId="0" applyAlignment="1" applyBorder="1" applyFont="1">
      <alignment vertical="bottom"/>
    </xf>
    <xf quotePrefix="1" borderId="39" fillId="2" fontId="6" numFmtId="0" xfId="0" applyAlignment="1" applyBorder="1" applyFont="1">
      <alignment readingOrder="0" vertical="bottom"/>
    </xf>
    <xf borderId="4" fillId="2" fontId="6" numFmtId="0" xfId="0" applyAlignment="1" applyBorder="1" applyFont="1">
      <alignment vertical="bottom"/>
    </xf>
    <xf borderId="4" fillId="2" fontId="3" numFmtId="164" xfId="0" applyAlignment="1" applyBorder="1" applyFont="1" applyNumberFormat="1">
      <alignment readingOrder="0"/>
    </xf>
    <xf borderId="43" fillId="2" fontId="6" numFmtId="0" xfId="0" applyAlignment="1" applyBorder="1" applyFont="1">
      <alignment readingOrder="0" vertical="bottom"/>
    </xf>
    <xf borderId="19" fillId="2" fontId="3" numFmtId="0" xfId="0" applyBorder="1" applyFont="1"/>
    <xf borderId="40" fillId="0" fontId="3" numFmtId="0" xfId="0" applyBorder="1" applyFont="1"/>
    <xf borderId="43" fillId="2" fontId="6" numFmtId="0" xfId="0" applyAlignment="1" applyBorder="1" applyFont="1">
      <alignment vertical="bottom"/>
    </xf>
    <xf borderId="38" fillId="17" fontId="23" numFmtId="0" xfId="0" applyAlignment="1" applyBorder="1" applyFont="1">
      <alignment horizontal="center" vertical="bottom"/>
    </xf>
    <xf borderId="5" fillId="0" fontId="7" numFmtId="0" xfId="0" applyBorder="1" applyFont="1"/>
    <xf borderId="39" fillId="0" fontId="7" numFmtId="0" xfId="0" applyBorder="1" applyFont="1"/>
    <xf borderId="18" fillId="18" fontId="20" numFmtId="0" xfId="0" applyAlignment="1" applyBorder="1" applyFont="1">
      <alignment horizontal="center" readingOrder="0" vertical="bottom"/>
    </xf>
    <xf borderId="39" fillId="2" fontId="6" numFmtId="0" xfId="0" applyAlignment="1" applyBorder="1" applyFont="1">
      <alignment readingOrder="0" shrinkToFit="0" vertical="bottom" wrapText="1"/>
    </xf>
    <xf borderId="4" fillId="2" fontId="6" numFmtId="0" xfId="0" applyAlignment="1" applyBorder="1" applyFont="1">
      <alignment readingOrder="0" shrinkToFit="0" vertical="bottom" wrapText="1"/>
    </xf>
    <xf borderId="4" fillId="2" fontId="6" numFmtId="0" xfId="0" applyAlignment="1" applyBorder="1" applyFont="1">
      <alignment horizontal="right" vertical="bottom"/>
    </xf>
    <xf borderId="19" fillId="12" fontId="9" numFmtId="0" xfId="0" applyAlignment="1" applyBorder="1" applyFont="1">
      <alignment horizontal="center" readingOrder="0"/>
    </xf>
    <xf borderId="4" fillId="12" fontId="3" numFmtId="0" xfId="0" applyAlignment="1" applyBorder="1" applyFont="1">
      <alignment readingOrder="0"/>
    </xf>
    <xf borderId="4" fillId="2" fontId="3" numFmtId="0" xfId="0" applyAlignment="1" applyBorder="1" applyFont="1">
      <alignment readingOrder="0" shrinkToFit="0" vertical="top" wrapText="1"/>
    </xf>
    <xf borderId="4" fillId="2" fontId="3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0.63"/>
    <col customWidth="1" min="3" max="3" width="4.25"/>
    <col customWidth="1" min="4" max="4" width="14.5"/>
    <col customWidth="1" min="6" max="6" width="14.38"/>
    <col customWidth="1" min="9" max="9" width="13.5"/>
    <col customWidth="1" min="12" max="12" width="14.38"/>
    <col customWidth="1" min="13" max="13" width="11.13"/>
    <col customWidth="1" min="14" max="14" width="10.88"/>
    <col customWidth="1" min="15" max="15" width="10.5"/>
    <col customWidth="1" min="16" max="16" width="10.25"/>
  </cols>
  <sheetData>
    <row r="1">
      <c r="A1" s="1"/>
      <c r="B1" s="2"/>
      <c r="C1" s="3"/>
      <c r="D1" s="3"/>
      <c r="Q1" s="4"/>
      <c r="R1" s="4"/>
      <c r="S1" s="4"/>
      <c r="T1" s="4"/>
      <c r="U1" s="4"/>
      <c r="V1" s="4"/>
      <c r="W1" s="4"/>
    </row>
    <row r="2">
      <c r="A2" s="5" t="s">
        <v>0</v>
      </c>
      <c r="B2" s="6" t="s">
        <v>1</v>
      </c>
      <c r="C2" s="7"/>
      <c r="D2" s="8" t="s">
        <v>2</v>
      </c>
      <c r="E2" s="3" t="s">
        <v>3</v>
      </c>
      <c r="F2" s="9">
        <v>34.0</v>
      </c>
      <c r="G2" s="10" t="s">
        <v>4</v>
      </c>
      <c r="H2" s="9" t="s">
        <v>5</v>
      </c>
      <c r="K2" s="11" t="s">
        <v>6</v>
      </c>
      <c r="L2" s="12">
        <f>IFERROR(__xludf.DUMMYFUNCTION("importrange(""https://docs.google.com/spreadsheets/d/1I1HWmJXfIqffQrhoWTT8lv7yimj_mrQrYADwIswKedg/edit#gid=0"", ""Current Turn!C6"")"),40.0)</f>
        <v>40</v>
      </c>
      <c r="M2" s="12" t="str">
        <f>ifs(mod(Template!L2,4)=0,"Winter",mod(Template!L2+1,4)=0,"Fall",mod(Template!L2+2,4)=0,"Summer",mod(Template!L2+3,4)=0,"Spring")</f>
        <v>Winter</v>
      </c>
    </row>
    <row r="3">
      <c r="Q3" s="3"/>
    </row>
    <row r="4">
      <c r="A4" s="13" t="s">
        <v>7</v>
      </c>
      <c r="B4" s="14" t="s">
        <v>8</v>
      </c>
      <c r="C4" s="15" t="s">
        <v>9</v>
      </c>
      <c r="D4" s="16" t="s">
        <v>10</v>
      </c>
      <c r="E4" s="3" t="s">
        <v>11</v>
      </c>
      <c r="F4" s="16"/>
    </row>
    <row r="5">
      <c r="A5" s="14" t="s">
        <v>12</v>
      </c>
      <c r="B5" s="17">
        <v>3.0</v>
      </c>
      <c r="C5" s="3" t="s">
        <v>13</v>
      </c>
      <c r="D5" s="18" t="str">
        <f>If(B5&lt;3,"3 Actions",if(B5=5, "5 Actions", "4 Actions"))</f>
        <v>4 Actions</v>
      </c>
      <c r="E5" s="19"/>
    </row>
    <row r="6">
      <c r="A6" s="14" t="s">
        <v>14</v>
      </c>
      <c r="B6" s="20">
        <v>1.0</v>
      </c>
      <c r="D6" s="21" t="s">
        <v>15</v>
      </c>
      <c r="E6" s="22"/>
      <c r="G6" s="3" t="s">
        <v>16</v>
      </c>
      <c r="K6" s="3" t="s">
        <v>17</v>
      </c>
    </row>
    <row r="7">
      <c r="A7" s="14" t="s">
        <v>18</v>
      </c>
      <c r="B7" s="20">
        <v>3.0</v>
      </c>
      <c r="D7" s="23"/>
      <c r="E7" s="22"/>
      <c r="G7" s="24" t="s">
        <v>19</v>
      </c>
      <c r="H7" s="25"/>
      <c r="I7" s="25"/>
      <c r="K7" s="3" t="s">
        <v>20</v>
      </c>
      <c r="L7" s="3" t="s">
        <v>21</v>
      </c>
    </row>
    <row r="8">
      <c r="A8" s="14" t="s">
        <v>22</v>
      </c>
      <c r="B8" s="20">
        <v>5.0</v>
      </c>
      <c r="D8" s="23"/>
      <c r="E8" s="26" t="s">
        <v>23</v>
      </c>
      <c r="G8" s="25"/>
      <c r="H8" s="25"/>
      <c r="I8" s="25"/>
      <c r="K8" s="19"/>
      <c r="L8" s="24" t="s">
        <v>24</v>
      </c>
      <c r="M8" s="25"/>
      <c r="N8" s="25"/>
      <c r="O8" s="25"/>
      <c r="P8" s="25"/>
    </row>
    <row r="9">
      <c r="A9" s="14" t="s">
        <v>25</v>
      </c>
      <c r="B9" s="20">
        <v>4.0</v>
      </c>
      <c r="D9" s="23"/>
      <c r="E9" s="22"/>
      <c r="G9" s="25"/>
      <c r="H9" s="25"/>
      <c r="I9" s="25"/>
      <c r="K9" s="27"/>
      <c r="L9" s="25"/>
      <c r="M9" s="25"/>
      <c r="N9" s="25"/>
      <c r="O9" s="25"/>
      <c r="P9" s="25"/>
    </row>
    <row r="10">
      <c r="A10" s="14" t="s">
        <v>26</v>
      </c>
      <c r="B10" s="20">
        <v>4.0</v>
      </c>
      <c r="D10" s="23"/>
      <c r="E10" s="28" t="s">
        <v>27</v>
      </c>
      <c r="G10" s="25"/>
      <c r="H10" s="25"/>
      <c r="I10" s="25"/>
      <c r="K10" s="19"/>
      <c r="L10" s="25"/>
      <c r="M10" s="25"/>
      <c r="N10" s="25"/>
      <c r="O10" s="25"/>
      <c r="P10" s="25"/>
    </row>
    <row r="11">
      <c r="A11" s="14" t="s">
        <v>28</v>
      </c>
      <c r="B11" s="20">
        <v>3.0</v>
      </c>
      <c r="D11" s="23"/>
      <c r="E11" s="26"/>
      <c r="G11" s="25"/>
      <c r="H11" s="25"/>
      <c r="I11" s="25"/>
      <c r="K11" s="27"/>
      <c r="L11" s="25"/>
      <c r="M11" s="25"/>
      <c r="N11" s="25"/>
      <c r="O11" s="25"/>
      <c r="P11" s="25"/>
    </row>
    <row r="12">
      <c r="A12" s="14" t="s">
        <v>29</v>
      </c>
      <c r="B12" s="20">
        <v>2.0</v>
      </c>
      <c r="C12" s="29" t="s">
        <v>30</v>
      </c>
      <c r="D12" s="30"/>
      <c r="E12" s="22"/>
      <c r="G12" s="25"/>
      <c r="H12" s="25"/>
      <c r="I12" s="25"/>
      <c r="K12" s="19"/>
      <c r="L12" s="25"/>
      <c r="M12" s="25"/>
      <c r="N12" s="25"/>
      <c r="O12" s="25"/>
      <c r="P12" s="25"/>
    </row>
    <row r="13">
      <c r="A13" s="14" t="s">
        <v>31</v>
      </c>
      <c r="B13" s="20">
        <v>3.0</v>
      </c>
      <c r="D13" s="23"/>
      <c r="E13" s="26"/>
      <c r="G13" s="25"/>
      <c r="H13" s="25"/>
      <c r="I13" s="25"/>
      <c r="K13" s="27"/>
      <c r="L13" s="25"/>
      <c r="M13" s="25"/>
      <c r="N13" s="25"/>
      <c r="O13" s="25"/>
      <c r="P13" s="25"/>
    </row>
    <row r="14">
      <c r="B14" s="31"/>
      <c r="D14" s="23"/>
      <c r="E14" s="22"/>
      <c r="G14" s="25"/>
      <c r="H14" s="25"/>
      <c r="I14" s="25"/>
      <c r="K14" s="19"/>
      <c r="L14" s="25"/>
      <c r="M14" s="25"/>
      <c r="N14" s="25"/>
      <c r="O14" s="25"/>
      <c r="P14" s="25"/>
    </row>
    <row r="15">
      <c r="A15" s="3" t="s">
        <v>32</v>
      </c>
      <c r="B15" s="32">
        <v>1.0</v>
      </c>
      <c r="D15" s="23"/>
      <c r="E15" s="26"/>
      <c r="G15" s="25"/>
      <c r="H15" s="25"/>
      <c r="I15" s="25"/>
      <c r="K15" s="27"/>
      <c r="L15" s="25"/>
      <c r="M15" s="25"/>
      <c r="N15" s="25"/>
      <c r="O15" s="25"/>
      <c r="P15" s="25"/>
    </row>
    <row r="16">
      <c r="A16" s="3" t="s">
        <v>33</v>
      </c>
      <c r="B16" s="32">
        <v>3.0</v>
      </c>
      <c r="D16" s="23"/>
      <c r="E16" s="26" t="s">
        <v>34</v>
      </c>
      <c r="G16" s="25"/>
      <c r="H16" s="25"/>
      <c r="I16" s="25"/>
      <c r="K16" s="19"/>
      <c r="L16" s="25"/>
      <c r="M16" s="25"/>
      <c r="N16" s="25"/>
      <c r="O16" s="25"/>
      <c r="P16" s="25"/>
      <c r="AG16" s="3" t="s">
        <v>35</v>
      </c>
    </row>
    <row r="17">
      <c r="A17" s="3" t="s">
        <v>36</v>
      </c>
      <c r="B17" s="33">
        <v>0.0</v>
      </c>
      <c r="D17" s="34"/>
      <c r="E17" s="35"/>
      <c r="G17" s="25"/>
      <c r="H17" s="25"/>
      <c r="I17" s="25"/>
      <c r="K17" s="27"/>
      <c r="L17" s="25"/>
      <c r="M17" s="25"/>
      <c r="N17" s="25"/>
      <c r="O17" s="25"/>
      <c r="P17" s="25"/>
      <c r="AH17" s="36" t="s">
        <v>37</v>
      </c>
    </row>
    <row r="18">
      <c r="B18" s="37"/>
      <c r="G18" s="25"/>
      <c r="H18" s="25"/>
      <c r="I18" s="25"/>
      <c r="AH18" s="38">
        <v>6.0</v>
      </c>
    </row>
    <row r="19">
      <c r="A19" s="3" t="s">
        <v>38</v>
      </c>
      <c r="B19" s="39">
        <f>B8</f>
        <v>5</v>
      </c>
      <c r="G19" s="24"/>
      <c r="H19" s="25"/>
      <c r="I19" s="40"/>
      <c r="AH19" s="41"/>
    </row>
    <row r="20">
      <c r="A20" s="3" t="s">
        <v>23</v>
      </c>
      <c r="B20" s="37">
        <f>'Trade Ugly'!W66</f>
        <v>20.5</v>
      </c>
      <c r="F20" s="3" t="s">
        <v>39</v>
      </c>
      <c r="AH20" s="41"/>
    </row>
    <row r="21">
      <c r="A21" s="3" t="s">
        <v>40</v>
      </c>
      <c r="B21" s="37">
        <f>-2*B6</f>
        <v>-2</v>
      </c>
      <c r="F21" s="42">
        <v>4.0</v>
      </c>
      <c r="AH21" s="41"/>
    </row>
    <row r="22">
      <c r="A22" s="3" t="s">
        <v>41</v>
      </c>
      <c r="B22" s="43">
        <f>-(Espionage!E14+Espionage!I14+'Special Units'!J14+'Special Units'!J29+Projects!D24)</f>
        <v>-32</v>
      </c>
      <c r="AH22" s="41"/>
    </row>
    <row r="23">
      <c r="A23" s="3" t="s">
        <v>42</v>
      </c>
      <c r="B23" s="44">
        <f>sum(B19:B22)</f>
        <v>-8.5</v>
      </c>
      <c r="AH23" s="41"/>
    </row>
    <row r="24">
      <c r="A24" s="3" t="s">
        <v>43</v>
      </c>
      <c r="B24" s="45">
        <f>102+B23</f>
        <v>93.5</v>
      </c>
      <c r="AH24" s="41"/>
    </row>
    <row r="25">
      <c r="A25" s="3"/>
      <c r="B25" s="37"/>
      <c r="C25" s="3"/>
      <c r="D25" s="3"/>
      <c r="AH25" s="41"/>
    </row>
    <row r="26">
      <c r="A26" s="3" t="s">
        <v>44</v>
      </c>
      <c r="B26" s="46">
        <v>1.0</v>
      </c>
    </row>
    <row r="27">
      <c r="A27" s="3" t="s">
        <v>45</v>
      </c>
      <c r="B27" s="33">
        <v>1.0</v>
      </c>
      <c r="Q27" s="3"/>
    </row>
    <row r="28">
      <c r="M28" s="47" t="s">
        <v>46</v>
      </c>
      <c r="N28" s="48"/>
      <c r="O28" s="48"/>
      <c r="P28" s="48"/>
      <c r="Q28" s="48"/>
      <c r="R28" s="48"/>
      <c r="S28" s="48"/>
      <c r="T28" s="48"/>
      <c r="U28" s="48"/>
      <c r="V28" s="48"/>
      <c r="W28" s="49"/>
    </row>
    <row r="29">
      <c r="A29" s="3" t="s">
        <v>47</v>
      </c>
      <c r="B29" s="50"/>
      <c r="M29" s="51"/>
      <c r="N29" s="51"/>
      <c r="O29" s="51"/>
      <c r="P29" s="52" t="s">
        <v>48</v>
      </c>
      <c r="Q29" s="53"/>
      <c r="R29" s="53"/>
      <c r="S29" s="53"/>
      <c r="T29" s="53"/>
      <c r="U29" s="53"/>
      <c r="V29" s="53"/>
      <c r="W29" s="54"/>
      <c r="AE29" s="55" t="s">
        <v>49</v>
      </c>
      <c r="AF29" s="53"/>
      <c r="AG29" s="53"/>
      <c r="AH29" s="54"/>
    </row>
    <row r="30">
      <c r="M30" s="51"/>
      <c r="N30" s="51"/>
      <c r="O30" s="51"/>
      <c r="P30" s="56" t="str">
        <f t="array" ref="P30:W30">Transpose(Z31:Z38)</f>
        <v>remove crime</v>
      </c>
      <c r="Q30" s="57" t="s">
        <v>50</v>
      </c>
      <c r="R30" s="57" t="s">
        <v>51</v>
      </c>
      <c r="S30" s="57"/>
      <c r="T30" s="57"/>
      <c r="U30" s="57"/>
      <c r="V30" s="57"/>
      <c r="W30" s="57"/>
      <c r="Y30" s="58"/>
      <c r="Z30" s="36" t="s">
        <v>52</v>
      </c>
      <c r="AA30" s="36" t="s">
        <v>53</v>
      </c>
      <c r="AB30" s="36" t="s">
        <v>54</v>
      </c>
      <c r="AC30" s="36" t="s">
        <v>55</v>
      </c>
      <c r="AD30" s="36" t="s">
        <v>56</v>
      </c>
      <c r="AE30" s="36" t="s">
        <v>57</v>
      </c>
      <c r="AF30" s="36" t="s">
        <v>58</v>
      </c>
      <c r="AG30" s="36" t="s">
        <v>59</v>
      </c>
      <c r="AH30" s="59" t="s">
        <v>37</v>
      </c>
      <c r="AI30" s="36" t="s">
        <v>60</v>
      </c>
      <c r="AJ30" s="36" t="s">
        <v>61</v>
      </c>
      <c r="AK30" s="3" t="s">
        <v>62</v>
      </c>
    </row>
    <row r="31">
      <c r="A31" s="60"/>
      <c r="D31" s="61" t="str">
        <f>IFERROR(__xludf.DUMMYFUNCTION("importrange(""https://docs.google.com/spreadsheets/d/1LwX3O8H-KIb9ZFPrgFtyJ-0GsL2JTwo2-viXFpvA67I/edit#gid=0"", ""Sheet1!A1:C100"")"),"Name")</f>
        <v>Name</v>
      </c>
      <c r="E31" s="62" t="str">
        <f>IFERROR(__xludf.DUMMYFUNCTION("""COMPUTED_VALUE"""),"Type")</f>
        <v>Type</v>
      </c>
      <c r="F31" s="62" t="str">
        <f>IFERROR(__xludf.DUMMYFUNCTION("""COMPUTED_VALUE"""),"Tier")</f>
        <v>Tier</v>
      </c>
      <c r="G31" s="63" t="s">
        <v>63</v>
      </c>
      <c r="H31" s="63" t="s">
        <v>23</v>
      </c>
      <c r="I31" s="63" t="s">
        <v>64</v>
      </c>
      <c r="J31" s="63" t="s">
        <v>65</v>
      </c>
      <c r="K31" s="62" t="s">
        <v>66</v>
      </c>
      <c r="L31" s="64" t="str">
        <f t="shared" ref="L31:L130" si="1">D31</f>
        <v>Name</v>
      </c>
      <c r="M31" s="65" t="s">
        <v>26</v>
      </c>
      <c r="N31" s="65" t="s">
        <v>40</v>
      </c>
      <c r="O31" s="65" t="s">
        <v>18</v>
      </c>
      <c r="P31" s="66" t="s">
        <v>67</v>
      </c>
      <c r="Q31" s="66" t="s">
        <v>68</v>
      </c>
      <c r="R31" s="66" t="s">
        <v>69</v>
      </c>
      <c r="S31" s="66" t="s">
        <v>70</v>
      </c>
      <c r="T31" s="66" t="s">
        <v>71</v>
      </c>
      <c r="U31" s="66" t="s">
        <v>72</v>
      </c>
      <c r="V31" s="66" t="s">
        <v>73</v>
      </c>
      <c r="W31" s="66" t="s">
        <v>74</v>
      </c>
      <c r="Y31" s="67" t="str">
        <f t="array" ref="Y31:Y38">transpose(P31:W31)</f>
        <v>Project A</v>
      </c>
      <c r="Z31" s="38" t="s">
        <v>75</v>
      </c>
      <c r="AA31" s="38" t="s">
        <v>76</v>
      </c>
      <c r="AB31" s="38">
        <v>1.0</v>
      </c>
      <c r="AC31" s="38" t="s">
        <v>77</v>
      </c>
      <c r="AD31" s="38" t="s">
        <v>78</v>
      </c>
      <c r="AE31" s="38">
        <v>13.0</v>
      </c>
      <c r="AF31" s="38">
        <v>9.0</v>
      </c>
      <c r="AG31" s="38">
        <v>30.0</v>
      </c>
      <c r="AH31" s="36">
        <v>21.0</v>
      </c>
      <c r="AI31" s="38">
        <v>34.0</v>
      </c>
      <c r="AJ31" s="67" t="str">
        <f t="shared" ref="AJ31:AJ38" si="2">AH31&amp;"/"&amp;AG31</f>
        <v>21/30</v>
      </c>
      <c r="AK31" s="67" t="str">
        <f>IFERROR(__xludf.DUMMYFUNCTION("SPARKLINE(AH31,{""charttype"",""bar"";""max"",AG31;""min"",0;""color1"",""#c764c1""})"),"")</f>
        <v/>
      </c>
    </row>
    <row r="32">
      <c r="A32" s="4"/>
      <c r="D32" s="68" t="str">
        <f>IFERROR(__xludf.DUMMYFUNCTION("""COMPUTED_VALUE"""),"Adamant")</f>
        <v>Adamant</v>
      </c>
      <c r="E32" s="69" t="str">
        <f>IFERROR(__xludf.DUMMYFUNCTION("""COMPUTED_VALUE"""),"Strat")</f>
        <v>Strat</v>
      </c>
      <c r="F32" s="70">
        <f>IFERROR(__xludf.DUMMYFUNCTION("""COMPUTED_VALUE"""),3.0)</f>
        <v>3</v>
      </c>
      <c r="G32" s="71"/>
      <c r="H32" s="72"/>
      <c r="I32" s="71"/>
      <c r="J32" s="73"/>
      <c r="K32" s="74">
        <f t="shared" ref="K32:K130" si="3">Sum(G32:J32)</f>
        <v>0</v>
      </c>
      <c r="L32" s="67" t="str">
        <f t="shared" si="1"/>
        <v>Adamant</v>
      </c>
      <c r="M32" s="75"/>
      <c r="N32" s="76"/>
      <c r="O32" s="77"/>
      <c r="P32" s="78"/>
      <c r="Q32" s="79"/>
      <c r="R32" s="80"/>
      <c r="S32" s="79"/>
      <c r="T32" s="78"/>
      <c r="U32" s="79"/>
      <c r="V32" s="78"/>
      <c r="W32" s="79"/>
      <c r="Y32" s="67" t="s">
        <v>68</v>
      </c>
      <c r="Z32" s="38" t="s">
        <v>50</v>
      </c>
      <c r="AA32" s="38" t="s">
        <v>79</v>
      </c>
      <c r="AB32" s="38">
        <v>15.0</v>
      </c>
      <c r="AC32" s="38" t="s">
        <v>80</v>
      </c>
      <c r="AD32" s="38" t="s">
        <v>78</v>
      </c>
      <c r="AE32" s="38">
        <v>19.0</v>
      </c>
      <c r="AF32" s="38">
        <v>15.0</v>
      </c>
      <c r="AG32" s="38">
        <v>35.0</v>
      </c>
      <c r="AH32" s="67">
        <f t="shared" ref="AH32:AH38" si="4">($L$2-AI32)*AF32+AE32</f>
        <v>49</v>
      </c>
      <c r="AI32" s="38">
        <v>38.0</v>
      </c>
      <c r="AJ32" s="67" t="str">
        <f t="shared" si="2"/>
        <v>49/35</v>
      </c>
      <c r="AK32" s="67" t="str">
        <f>IFERROR(__xludf.DUMMYFUNCTION("SPARKLINE(AH32,{""charttype"",""bar"";""max"",AG32;""min"",0;""color1"",""#c764c1""})"),"")</f>
        <v/>
      </c>
    </row>
    <row r="33">
      <c r="A33" s="4"/>
      <c r="D33" s="68" t="str">
        <f>IFERROR(__xludf.DUMMYFUNCTION("""COMPUTED_VALUE"""),"Baubles")</f>
        <v>Baubles</v>
      </c>
      <c r="E33" s="69" t="str">
        <f>IFERROR(__xludf.DUMMYFUNCTION("""COMPUTED_VALUE"""),"Lux")</f>
        <v>Lux</v>
      </c>
      <c r="F33" s="70">
        <f>IFERROR(__xludf.DUMMYFUNCTION("""COMPUTED_VALUE"""),2.0)</f>
        <v>2</v>
      </c>
      <c r="G33" s="71"/>
      <c r="H33" s="72"/>
      <c r="I33" s="71"/>
      <c r="J33" s="73"/>
      <c r="K33" s="74">
        <f t="shared" si="3"/>
        <v>0</v>
      </c>
      <c r="L33" s="67" t="str">
        <f t="shared" si="1"/>
        <v>Baubles</v>
      </c>
      <c r="M33" s="75"/>
      <c r="N33" s="76"/>
      <c r="O33" s="77"/>
      <c r="P33" s="78"/>
      <c r="Q33" s="79"/>
      <c r="R33" s="80"/>
      <c r="S33" s="79"/>
      <c r="T33" s="78"/>
      <c r="U33" s="79"/>
      <c r="V33" s="78"/>
      <c r="W33" s="79"/>
      <c r="Y33" s="67" t="s">
        <v>69</v>
      </c>
      <c r="Z33" s="38" t="s">
        <v>51</v>
      </c>
      <c r="AA33" s="38" t="s">
        <v>81</v>
      </c>
      <c r="AB33" s="38">
        <v>10.0</v>
      </c>
      <c r="AC33" s="38" t="s">
        <v>82</v>
      </c>
      <c r="AD33" s="38" t="s">
        <v>78</v>
      </c>
      <c r="AE33" s="38">
        <v>17.0</v>
      </c>
      <c r="AF33" s="38">
        <v>12.0</v>
      </c>
      <c r="AG33" s="38">
        <v>35.0</v>
      </c>
      <c r="AH33" s="67">
        <f t="shared" si="4"/>
        <v>41</v>
      </c>
      <c r="AI33" s="38">
        <v>38.0</v>
      </c>
      <c r="AJ33" s="67" t="str">
        <f t="shared" si="2"/>
        <v>41/35</v>
      </c>
      <c r="AK33" s="67" t="str">
        <f>IFERROR(__xludf.DUMMYFUNCTION("SPARKLINE(AH33,{""charttype"",""bar"";""max"",AG33;""min"",0;""color1"",""#c764c1""})"),"")</f>
        <v/>
      </c>
    </row>
    <row r="34">
      <c r="A34" s="4"/>
      <c r="D34" s="68" t="str">
        <f>IFERROR(__xludf.DUMMYFUNCTION("""COMPUTED_VALUE"""),"Beer")</f>
        <v>Beer</v>
      </c>
      <c r="E34" s="69" t="str">
        <f>IFERROR(__xludf.DUMMYFUNCTION("""COMPUTED_VALUE"""),"Lux")</f>
        <v>Lux</v>
      </c>
      <c r="F34" s="70">
        <f>IFERROR(__xludf.DUMMYFUNCTION("""COMPUTED_VALUE"""),1.0)</f>
        <v>1</v>
      </c>
      <c r="G34" s="71"/>
      <c r="H34" s="72"/>
      <c r="I34" s="71"/>
      <c r="J34" s="73"/>
      <c r="K34" s="74">
        <f t="shared" si="3"/>
        <v>0</v>
      </c>
      <c r="L34" s="67" t="str">
        <f t="shared" si="1"/>
        <v>Beer</v>
      </c>
      <c r="M34" s="75"/>
      <c r="N34" s="76"/>
      <c r="O34" s="77"/>
      <c r="P34" s="78"/>
      <c r="Q34" s="79"/>
      <c r="R34" s="80"/>
      <c r="S34" s="79"/>
      <c r="T34" s="78"/>
      <c r="U34" s="79"/>
      <c r="V34" s="78"/>
      <c r="W34" s="79"/>
      <c r="Y34" s="67" t="s">
        <v>70</v>
      </c>
      <c r="Z34" s="41"/>
      <c r="AA34" s="41"/>
      <c r="AB34" s="41"/>
      <c r="AC34" s="41"/>
      <c r="AD34" s="41"/>
      <c r="AE34" s="41"/>
      <c r="AF34" s="41"/>
      <c r="AG34" s="41"/>
      <c r="AH34" s="67">
        <f t="shared" si="4"/>
        <v>0</v>
      </c>
      <c r="AI34" s="41"/>
      <c r="AJ34" s="67" t="str">
        <f t="shared" si="2"/>
        <v>0/</v>
      </c>
      <c r="AK34" s="67" t="str">
        <f t="shared" ref="AK34:AK38" si="5">SPARKLINE(AH34,{"charttype","bar";"max",AG34;"min",0;"color1","#c764c1"})</f>
        <v>#VALUE!</v>
      </c>
    </row>
    <row r="35">
      <c r="A35" s="4"/>
      <c r="D35" s="68" t="str">
        <f>IFERROR(__xludf.DUMMYFUNCTION("""COMPUTED_VALUE"""),"Bloodstone")</f>
        <v>Bloodstone</v>
      </c>
      <c r="E35" s="69" t="str">
        <f>IFERROR(__xludf.DUMMYFUNCTION("""COMPUTED_VALUE"""),"Strat")</f>
        <v>Strat</v>
      </c>
      <c r="F35" s="70">
        <f>IFERROR(__xludf.DUMMYFUNCTION("""COMPUTED_VALUE"""),2.0)</f>
        <v>2</v>
      </c>
      <c r="G35" s="71"/>
      <c r="H35" s="72"/>
      <c r="I35" s="71"/>
      <c r="J35" s="73"/>
      <c r="K35" s="74">
        <f t="shared" si="3"/>
        <v>0</v>
      </c>
      <c r="L35" s="67" t="str">
        <f t="shared" si="1"/>
        <v>Bloodstone</v>
      </c>
      <c r="M35" s="75"/>
      <c r="N35" s="76"/>
      <c r="O35" s="77"/>
      <c r="P35" s="78"/>
      <c r="Q35" s="79"/>
      <c r="R35" s="80"/>
      <c r="S35" s="79"/>
      <c r="T35" s="78"/>
      <c r="U35" s="79"/>
      <c r="V35" s="78"/>
      <c r="W35" s="79"/>
      <c r="Y35" s="67" t="s">
        <v>71</v>
      </c>
      <c r="Z35" s="41"/>
      <c r="AA35" s="41"/>
      <c r="AB35" s="41"/>
      <c r="AC35" s="41"/>
      <c r="AD35" s="41"/>
      <c r="AE35" s="41"/>
      <c r="AF35" s="41"/>
      <c r="AG35" s="41"/>
      <c r="AH35" s="67">
        <f t="shared" si="4"/>
        <v>0</v>
      </c>
      <c r="AI35" s="41"/>
      <c r="AJ35" s="67" t="str">
        <f t="shared" si="2"/>
        <v>0/</v>
      </c>
      <c r="AK35" s="67" t="str">
        <f t="shared" si="5"/>
        <v>#VALUE!</v>
      </c>
    </row>
    <row r="36">
      <c r="A36" s="4"/>
      <c r="D36" s="68" t="str">
        <f>IFERROR(__xludf.DUMMYFUNCTION("""COMPUTED_VALUE"""),"Brass")</f>
        <v>Brass</v>
      </c>
      <c r="E36" s="69" t="str">
        <f>IFERROR(__xludf.DUMMYFUNCTION("""COMPUTED_VALUE"""),"Lux/Strat")</f>
        <v>Lux/Strat</v>
      </c>
      <c r="F36" s="70">
        <f>IFERROR(__xludf.DUMMYFUNCTION("""COMPUTED_VALUE"""),2.0)</f>
        <v>2</v>
      </c>
      <c r="G36" s="71"/>
      <c r="H36" s="72"/>
      <c r="I36" s="71"/>
      <c r="J36" s="73"/>
      <c r="K36" s="74">
        <f t="shared" si="3"/>
        <v>0</v>
      </c>
      <c r="L36" s="67" t="str">
        <f t="shared" si="1"/>
        <v>Brass</v>
      </c>
      <c r="M36" s="75"/>
      <c r="N36" s="76"/>
      <c r="O36" s="77"/>
      <c r="P36" s="78"/>
      <c r="Q36" s="79"/>
      <c r="R36" s="80"/>
      <c r="S36" s="79"/>
      <c r="T36" s="78"/>
      <c r="U36" s="79"/>
      <c r="V36" s="78"/>
      <c r="W36" s="79"/>
      <c r="Y36" s="67" t="s">
        <v>72</v>
      </c>
      <c r="Z36" s="41"/>
      <c r="AA36" s="41"/>
      <c r="AB36" s="41"/>
      <c r="AC36" s="41"/>
      <c r="AD36" s="41"/>
      <c r="AE36" s="41"/>
      <c r="AF36" s="41"/>
      <c r="AG36" s="41"/>
      <c r="AH36" s="67">
        <f t="shared" si="4"/>
        <v>0</v>
      </c>
      <c r="AI36" s="41"/>
      <c r="AJ36" s="67" t="str">
        <f t="shared" si="2"/>
        <v>0/</v>
      </c>
      <c r="AK36" s="67" t="str">
        <f t="shared" si="5"/>
        <v>#VALUE!</v>
      </c>
    </row>
    <row r="37">
      <c r="A37" s="4"/>
      <c r="D37" s="68" t="str">
        <f>IFERROR(__xludf.DUMMYFUNCTION("""COMPUTED_VALUE"""),"Bronze")</f>
        <v>Bronze</v>
      </c>
      <c r="E37" s="69" t="str">
        <f>IFERROR(__xludf.DUMMYFUNCTION("""COMPUTED_VALUE"""),"Lux/Strat")</f>
        <v>Lux/Strat</v>
      </c>
      <c r="F37" s="70">
        <f>IFERROR(__xludf.DUMMYFUNCTION("""COMPUTED_VALUE"""),2.0)</f>
        <v>2</v>
      </c>
      <c r="G37" s="71"/>
      <c r="H37" s="72"/>
      <c r="I37" s="71"/>
      <c r="J37" s="73"/>
      <c r="K37" s="74">
        <f t="shared" si="3"/>
        <v>0</v>
      </c>
      <c r="L37" s="67" t="str">
        <f t="shared" si="1"/>
        <v>Bronze</v>
      </c>
      <c r="M37" s="75"/>
      <c r="N37" s="76"/>
      <c r="O37" s="77"/>
      <c r="P37" s="78"/>
      <c r="Q37" s="79"/>
      <c r="R37" s="80"/>
      <c r="S37" s="79"/>
      <c r="T37" s="78"/>
      <c r="U37" s="79"/>
      <c r="V37" s="78"/>
      <c r="W37" s="79"/>
      <c r="Y37" s="67" t="s">
        <v>73</v>
      </c>
      <c r="Z37" s="41"/>
      <c r="AA37" s="41"/>
      <c r="AB37" s="41"/>
      <c r="AC37" s="41"/>
      <c r="AD37" s="41"/>
      <c r="AE37" s="41"/>
      <c r="AF37" s="41"/>
      <c r="AG37" s="41"/>
      <c r="AH37" s="67">
        <f t="shared" si="4"/>
        <v>0</v>
      </c>
      <c r="AI37" s="41"/>
      <c r="AJ37" s="67" t="str">
        <f t="shared" si="2"/>
        <v>0/</v>
      </c>
      <c r="AK37" s="67" t="str">
        <f t="shared" si="5"/>
        <v>#VALUE!</v>
      </c>
    </row>
    <row r="38">
      <c r="A38" s="4"/>
      <c r="D38" s="68" t="str">
        <f>IFERROR(__xludf.DUMMYFUNCTION("""COMPUTED_VALUE"""),"Cheese")</f>
        <v>Cheese</v>
      </c>
      <c r="E38" s="69" t="str">
        <f>IFERROR(__xludf.DUMMYFUNCTION("""COMPUTED_VALUE"""),"Food")</f>
        <v>Food</v>
      </c>
      <c r="F38" s="70">
        <f>IFERROR(__xludf.DUMMYFUNCTION("""COMPUTED_VALUE"""),1.0)</f>
        <v>1</v>
      </c>
      <c r="G38" s="71"/>
      <c r="H38" s="72"/>
      <c r="I38" s="71"/>
      <c r="J38" s="73"/>
      <c r="K38" s="74">
        <f t="shared" si="3"/>
        <v>0</v>
      </c>
      <c r="L38" s="67" t="str">
        <f t="shared" si="1"/>
        <v>Cheese</v>
      </c>
      <c r="M38" s="75"/>
      <c r="N38" s="76"/>
      <c r="O38" s="77"/>
      <c r="P38" s="78"/>
      <c r="Q38" s="79"/>
      <c r="R38" s="80"/>
      <c r="S38" s="79"/>
      <c r="T38" s="78"/>
      <c r="U38" s="79"/>
      <c r="V38" s="78"/>
      <c r="W38" s="79"/>
      <c r="Y38" s="67" t="s">
        <v>74</v>
      </c>
      <c r="Z38" s="41"/>
      <c r="AA38" s="41"/>
      <c r="AB38" s="41"/>
      <c r="AC38" s="41"/>
      <c r="AD38" s="41"/>
      <c r="AE38" s="41"/>
      <c r="AF38" s="41"/>
      <c r="AG38" s="41"/>
      <c r="AH38" s="67">
        <f t="shared" si="4"/>
        <v>0</v>
      </c>
      <c r="AI38" s="41"/>
      <c r="AJ38" s="67" t="str">
        <f t="shared" si="2"/>
        <v>0/</v>
      </c>
      <c r="AK38" s="67" t="str">
        <f t="shared" si="5"/>
        <v>#VALUE!</v>
      </c>
    </row>
    <row r="39">
      <c r="A39" s="4"/>
      <c r="D39" s="68" t="str">
        <f>IFERROR(__xludf.DUMMYFUNCTION("""COMPUTED_VALUE"""),"Cinnabar")</f>
        <v>Cinnabar</v>
      </c>
      <c r="E39" s="69" t="str">
        <f>IFERROR(__xludf.DUMMYFUNCTION("""COMPUTED_VALUE"""),"Lux")</f>
        <v>Lux</v>
      </c>
      <c r="F39" s="70">
        <f>IFERROR(__xludf.DUMMYFUNCTION("""COMPUTED_VALUE"""),2.0)</f>
        <v>2</v>
      </c>
      <c r="G39" s="71"/>
      <c r="H39" s="72"/>
      <c r="I39" s="71"/>
      <c r="J39" s="73"/>
      <c r="K39" s="74">
        <f t="shared" si="3"/>
        <v>0</v>
      </c>
      <c r="L39" s="67" t="str">
        <f t="shared" si="1"/>
        <v>Cinnabar</v>
      </c>
      <c r="M39" s="75"/>
      <c r="N39" s="76"/>
      <c r="O39" s="77"/>
      <c r="P39" s="78"/>
      <c r="Q39" s="79"/>
      <c r="R39" s="80"/>
      <c r="S39" s="79"/>
      <c r="T39" s="78"/>
      <c r="U39" s="79"/>
      <c r="V39" s="78"/>
      <c r="W39" s="79"/>
    </row>
    <row r="40">
      <c r="A40" s="4"/>
      <c r="D40" s="68" t="str">
        <f>IFERROR(__xludf.DUMMYFUNCTION("""COMPUTED_VALUE"""),"Coal")</f>
        <v>Coal</v>
      </c>
      <c r="E40" s="69" t="str">
        <f>IFERROR(__xludf.DUMMYFUNCTION("""COMPUTED_VALUE"""),"Lux")</f>
        <v>Lux</v>
      </c>
      <c r="F40" s="70">
        <f>IFERROR(__xludf.DUMMYFUNCTION("""COMPUTED_VALUE"""),2.0)</f>
        <v>2</v>
      </c>
      <c r="G40" s="71"/>
      <c r="H40" s="72"/>
      <c r="I40" s="71"/>
      <c r="J40" s="73"/>
      <c r="K40" s="74">
        <f t="shared" si="3"/>
        <v>0</v>
      </c>
      <c r="L40" s="67" t="str">
        <f t="shared" si="1"/>
        <v>Coal</v>
      </c>
      <c r="M40" s="75"/>
      <c r="N40" s="76"/>
      <c r="O40" s="77"/>
      <c r="P40" s="78"/>
      <c r="Q40" s="79"/>
      <c r="R40" s="80"/>
      <c r="S40" s="79"/>
      <c r="T40" s="78"/>
      <c r="U40" s="79"/>
      <c r="V40" s="78"/>
      <c r="W40" s="79"/>
    </row>
    <row r="41">
      <c r="A41" s="4"/>
      <c r="D41" s="68" t="str">
        <f>IFERROR(__xludf.DUMMYFUNCTION("""COMPUTED_VALUE"""),"Cocoa")</f>
        <v>Cocoa</v>
      </c>
      <c r="E41" s="69" t="str">
        <f>IFERROR(__xludf.DUMMYFUNCTION("""COMPUTED_VALUE"""),"Lux")</f>
        <v>Lux</v>
      </c>
      <c r="F41" s="70">
        <f>IFERROR(__xludf.DUMMYFUNCTION("""COMPUTED_VALUE"""),2.0)</f>
        <v>2</v>
      </c>
      <c r="G41" s="71"/>
      <c r="H41" s="72"/>
      <c r="I41" s="71"/>
      <c r="J41" s="73"/>
      <c r="K41" s="74">
        <f t="shared" si="3"/>
        <v>0</v>
      </c>
      <c r="L41" s="67" t="str">
        <f t="shared" si="1"/>
        <v>Cocoa</v>
      </c>
      <c r="M41" s="75"/>
      <c r="N41" s="76"/>
      <c r="O41" s="77"/>
      <c r="P41" s="78"/>
      <c r="Q41" s="79"/>
      <c r="R41" s="80"/>
      <c r="S41" s="79"/>
      <c r="T41" s="78"/>
      <c r="U41" s="79"/>
      <c r="V41" s="78"/>
      <c r="W41" s="79"/>
    </row>
    <row r="42">
      <c r="A42" s="4"/>
      <c r="D42" s="68" t="str">
        <f>IFERROR(__xludf.DUMMYFUNCTION("""COMPUTED_VALUE"""),"Coffee")</f>
        <v>Coffee</v>
      </c>
      <c r="E42" s="69" t="str">
        <f>IFERROR(__xludf.DUMMYFUNCTION("""COMPUTED_VALUE"""),"Lux")</f>
        <v>Lux</v>
      </c>
      <c r="F42" s="70">
        <f>IFERROR(__xludf.DUMMYFUNCTION("""COMPUTED_VALUE"""),2.0)</f>
        <v>2</v>
      </c>
      <c r="G42" s="71"/>
      <c r="H42" s="72"/>
      <c r="I42" s="71"/>
      <c r="J42" s="73"/>
      <c r="K42" s="74">
        <f t="shared" si="3"/>
        <v>0</v>
      </c>
      <c r="L42" s="67" t="str">
        <f t="shared" si="1"/>
        <v>Coffee</v>
      </c>
      <c r="M42" s="75"/>
      <c r="N42" s="76"/>
      <c r="O42" s="77"/>
      <c r="P42" s="78"/>
      <c r="Q42" s="79"/>
      <c r="R42" s="80"/>
      <c r="S42" s="79"/>
      <c r="T42" s="78"/>
      <c r="U42" s="79"/>
      <c r="V42" s="78"/>
      <c r="W42" s="79"/>
    </row>
    <row r="43">
      <c r="A43" s="4"/>
      <c r="D43" s="68" t="str">
        <f>IFERROR(__xludf.DUMMYFUNCTION("""COMPUTED_VALUE"""),"Cold Iron")</f>
        <v>Cold Iron</v>
      </c>
      <c r="E43" s="69" t="str">
        <f>IFERROR(__xludf.DUMMYFUNCTION("""COMPUTED_VALUE"""),"Strat")</f>
        <v>Strat</v>
      </c>
      <c r="F43" s="70">
        <f>IFERROR(__xludf.DUMMYFUNCTION("""COMPUTED_VALUE"""),2.0)</f>
        <v>2</v>
      </c>
      <c r="G43" s="71"/>
      <c r="H43" s="72"/>
      <c r="I43" s="71"/>
      <c r="J43" s="73"/>
      <c r="K43" s="74">
        <f t="shared" si="3"/>
        <v>0</v>
      </c>
      <c r="L43" s="67" t="str">
        <f t="shared" si="1"/>
        <v>Cold Iron</v>
      </c>
      <c r="M43" s="75"/>
      <c r="N43" s="76"/>
      <c r="O43" s="77"/>
      <c r="P43" s="78"/>
      <c r="Q43" s="79"/>
      <c r="R43" s="80"/>
      <c r="S43" s="79"/>
      <c r="T43" s="78"/>
      <c r="U43" s="79"/>
      <c r="V43" s="78"/>
      <c r="W43" s="79"/>
    </row>
    <row r="44">
      <c r="A44" s="4"/>
      <c r="D44" s="68" t="str">
        <f>IFERROR(__xludf.DUMMYFUNCTION("""COMPUTED_VALUE"""),"Copper")</f>
        <v>Copper</v>
      </c>
      <c r="E44" s="69" t="str">
        <f>IFERROR(__xludf.DUMMYFUNCTION("""COMPUTED_VALUE"""),"Lux/Strat")</f>
        <v>Lux/Strat</v>
      </c>
      <c r="F44" s="70">
        <f>IFERROR(__xludf.DUMMYFUNCTION("""COMPUTED_VALUE"""),1.0)</f>
        <v>1</v>
      </c>
      <c r="G44" s="71"/>
      <c r="H44" s="72"/>
      <c r="I44" s="71"/>
      <c r="J44" s="73"/>
      <c r="K44" s="74">
        <f t="shared" si="3"/>
        <v>0</v>
      </c>
      <c r="L44" s="67" t="str">
        <f t="shared" si="1"/>
        <v>Copper</v>
      </c>
      <c r="M44" s="75"/>
      <c r="N44" s="76"/>
      <c r="O44" s="77"/>
      <c r="P44" s="78"/>
      <c r="Q44" s="79"/>
      <c r="R44" s="80"/>
      <c r="S44" s="79"/>
      <c r="T44" s="78"/>
      <c r="U44" s="79"/>
      <c r="V44" s="78"/>
      <c r="W44" s="79"/>
    </row>
    <row r="45">
      <c r="A45" s="4"/>
      <c r="D45" s="68" t="str">
        <f>IFERROR(__xludf.DUMMYFUNCTION("""COMPUTED_VALUE"""),"Coral")</f>
        <v>Coral</v>
      </c>
      <c r="E45" s="69" t="str">
        <f>IFERROR(__xludf.DUMMYFUNCTION("""COMPUTED_VALUE"""),"Lux")</f>
        <v>Lux</v>
      </c>
      <c r="F45" s="70">
        <f>IFERROR(__xludf.DUMMYFUNCTION("""COMPUTED_VALUE"""),1.0)</f>
        <v>1</v>
      </c>
      <c r="G45" s="71"/>
      <c r="H45" s="72"/>
      <c r="I45" s="71"/>
      <c r="J45" s="73"/>
      <c r="K45" s="74">
        <f t="shared" si="3"/>
        <v>0</v>
      </c>
      <c r="L45" s="67" t="str">
        <f t="shared" si="1"/>
        <v>Coral</v>
      </c>
      <c r="M45" s="75"/>
      <c r="N45" s="76"/>
      <c r="O45" s="77"/>
      <c r="P45" s="78"/>
      <c r="Q45" s="79"/>
      <c r="R45" s="80"/>
      <c r="S45" s="79"/>
      <c r="T45" s="78"/>
      <c r="U45" s="79"/>
      <c r="V45" s="78"/>
      <c r="W45" s="79"/>
      <c r="AA45" s="59" t="s">
        <v>66</v>
      </c>
      <c r="AB45" s="81">
        <f>sum(AB31:AB38)</f>
        <v>26</v>
      </c>
    </row>
    <row r="46">
      <c r="A46" s="4"/>
      <c r="D46" s="68" t="str">
        <f>IFERROR(__xludf.DUMMYFUNCTION("""COMPUTED_VALUE"""),"Crops")</f>
        <v>Crops</v>
      </c>
      <c r="E46" s="69" t="str">
        <f>IFERROR(__xludf.DUMMYFUNCTION("""COMPUTED_VALUE"""),"Food")</f>
        <v>Food</v>
      </c>
      <c r="F46" s="70">
        <f>IFERROR(__xludf.DUMMYFUNCTION("""COMPUTED_VALUE"""),1.0)</f>
        <v>1</v>
      </c>
      <c r="G46" s="71"/>
      <c r="H46" s="72">
        <v>1.0</v>
      </c>
      <c r="I46" s="71"/>
      <c r="J46" s="73"/>
      <c r="K46" s="74">
        <f t="shared" si="3"/>
        <v>1</v>
      </c>
      <c r="L46" s="67" t="str">
        <f t="shared" si="1"/>
        <v>Crops</v>
      </c>
      <c r="M46" s="75"/>
      <c r="N46" s="76"/>
      <c r="O46" s="77"/>
      <c r="P46" s="78"/>
      <c r="Q46" s="79"/>
      <c r="R46" s="80"/>
      <c r="S46" s="79"/>
      <c r="T46" s="78"/>
      <c r="U46" s="79"/>
      <c r="V46" s="78"/>
      <c r="W46" s="79"/>
    </row>
    <row r="47">
      <c r="A47" s="4"/>
      <c r="D47" s="68" t="str">
        <f>IFERROR(__xludf.DUMMYFUNCTION("""COMPUTED_VALUE"""),"Cursed Stone")</f>
        <v>Cursed Stone</v>
      </c>
      <c r="E47" s="69" t="str">
        <f>IFERROR(__xludf.DUMMYFUNCTION("""COMPUTED_VALUE"""),"Strat")</f>
        <v>Strat</v>
      </c>
      <c r="F47" s="70">
        <f>IFERROR(__xludf.DUMMYFUNCTION("""COMPUTED_VALUE"""),2.0)</f>
        <v>2</v>
      </c>
      <c r="G47" s="71"/>
      <c r="H47" s="72"/>
      <c r="I47" s="71"/>
      <c r="J47" s="73"/>
      <c r="K47" s="74">
        <f t="shared" si="3"/>
        <v>0</v>
      </c>
      <c r="L47" s="67" t="str">
        <f t="shared" si="1"/>
        <v>Cursed Stone</v>
      </c>
      <c r="M47" s="75"/>
      <c r="N47" s="76"/>
      <c r="O47" s="77"/>
      <c r="P47" s="78"/>
      <c r="Q47" s="79"/>
      <c r="R47" s="80"/>
      <c r="S47" s="79"/>
      <c r="T47" s="78"/>
      <c r="U47" s="79"/>
      <c r="V47" s="78"/>
      <c r="W47" s="79"/>
    </row>
    <row r="48">
      <c r="A48" s="4"/>
      <c r="D48" s="68" t="str">
        <f>IFERROR(__xludf.DUMMYFUNCTION("""COMPUTED_VALUE"""),"Cursed Wood")</f>
        <v>Cursed Wood</v>
      </c>
      <c r="E48" s="69" t="str">
        <f>IFERROR(__xludf.DUMMYFUNCTION("""COMPUTED_VALUE"""),"Strat")</f>
        <v>Strat</v>
      </c>
      <c r="F48" s="70">
        <f>IFERROR(__xludf.DUMMYFUNCTION("""COMPUTED_VALUE"""),2.0)</f>
        <v>2</v>
      </c>
      <c r="G48" s="71"/>
      <c r="H48" s="72"/>
      <c r="I48" s="71"/>
      <c r="J48" s="73"/>
      <c r="K48" s="74">
        <f t="shared" si="3"/>
        <v>0</v>
      </c>
      <c r="L48" s="67" t="str">
        <f t="shared" si="1"/>
        <v>Cursed Wood</v>
      </c>
      <c r="M48" s="75"/>
      <c r="N48" s="76"/>
      <c r="O48" s="77"/>
      <c r="P48" s="78"/>
      <c r="Q48" s="79"/>
      <c r="R48" s="80"/>
      <c r="S48" s="79"/>
      <c r="T48" s="78"/>
      <c r="U48" s="79"/>
      <c r="V48" s="78"/>
      <c r="W48" s="79"/>
    </row>
    <row r="49">
      <c r="A49" s="4"/>
      <c r="D49" s="68" t="str">
        <f>IFERROR(__xludf.DUMMYFUNCTION("""COMPUTED_VALUE"""),"Darkwood")</f>
        <v>Darkwood</v>
      </c>
      <c r="E49" s="69" t="str">
        <f>IFERROR(__xludf.DUMMYFUNCTION("""COMPUTED_VALUE"""),"Strat")</f>
        <v>Strat</v>
      </c>
      <c r="F49" s="70">
        <f>IFERROR(__xludf.DUMMYFUNCTION("""COMPUTED_VALUE"""),2.0)</f>
        <v>2</v>
      </c>
      <c r="G49" s="71"/>
      <c r="H49" s="72"/>
      <c r="I49" s="71"/>
      <c r="J49" s="73"/>
      <c r="K49" s="74">
        <f t="shared" si="3"/>
        <v>0</v>
      </c>
      <c r="L49" s="67" t="str">
        <f t="shared" si="1"/>
        <v>Darkwood</v>
      </c>
      <c r="M49" s="75"/>
      <c r="N49" s="76"/>
      <c r="O49" s="77"/>
      <c r="P49" s="78"/>
      <c r="Q49" s="79"/>
      <c r="R49" s="80"/>
      <c r="S49" s="79"/>
      <c r="T49" s="78"/>
      <c r="U49" s="79"/>
      <c r="V49" s="78"/>
      <c r="W49" s="79"/>
    </row>
    <row r="50">
      <c r="A50" s="4"/>
      <c r="D50" s="68" t="str">
        <f>IFERROR(__xludf.DUMMYFUNCTION("""COMPUTED_VALUE"""),"Deathstone")</f>
        <v>Deathstone</v>
      </c>
      <c r="E50" s="69" t="str">
        <f>IFERROR(__xludf.DUMMYFUNCTION("""COMPUTED_VALUE"""),"Lux")</f>
        <v>Lux</v>
      </c>
      <c r="F50" s="70">
        <f>IFERROR(__xludf.DUMMYFUNCTION("""COMPUTED_VALUE"""),3.0)</f>
        <v>3</v>
      </c>
      <c r="G50" s="71"/>
      <c r="H50" s="72"/>
      <c r="I50" s="71"/>
      <c r="J50" s="73"/>
      <c r="K50" s="74">
        <f t="shared" si="3"/>
        <v>0</v>
      </c>
      <c r="L50" s="67" t="str">
        <f t="shared" si="1"/>
        <v>Deathstone</v>
      </c>
      <c r="M50" s="75"/>
      <c r="N50" s="76"/>
      <c r="O50" s="77"/>
      <c r="P50" s="78"/>
      <c r="Q50" s="79"/>
      <c r="R50" s="80"/>
      <c r="S50" s="79"/>
      <c r="T50" s="78"/>
      <c r="U50" s="79"/>
      <c r="V50" s="78"/>
      <c r="W50" s="79"/>
    </row>
    <row r="51">
      <c r="A51" s="4"/>
      <c r="D51" s="68" t="str">
        <f>IFERROR(__xludf.DUMMYFUNCTION("""COMPUTED_VALUE"""),"Diamonds")</f>
        <v>Diamonds</v>
      </c>
      <c r="E51" s="69" t="str">
        <f>IFERROR(__xludf.DUMMYFUNCTION("""COMPUTED_VALUE"""),"Lux")</f>
        <v>Lux</v>
      </c>
      <c r="F51" s="70">
        <f>IFERROR(__xludf.DUMMYFUNCTION("""COMPUTED_VALUE"""),3.0)</f>
        <v>3</v>
      </c>
      <c r="G51" s="71"/>
      <c r="H51" s="72"/>
      <c r="I51" s="71"/>
      <c r="J51" s="73"/>
      <c r="K51" s="74">
        <f t="shared" si="3"/>
        <v>0</v>
      </c>
      <c r="L51" s="67" t="str">
        <f t="shared" si="1"/>
        <v>Diamonds</v>
      </c>
      <c r="M51" s="75"/>
      <c r="N51" s="76"/>
      <c r="O51" s="77"/>
      <c r="P51" s="78"/>
      <c r="Q51" s="79"/>
      <c r="R51" s="80"/>
      <c r="S51" s="79"/>
      <c r="T51" s="78"/>
      <c r="U51" s="79"/>
      <c r="V51" s="78"/>
      <c r="W51" s="79"/>
    </row>
    <row r="52">
      <c r="A52" s="4"/>
      <c r="D52" s="68" t="str">
        <f>IFERROR(__xludf.DUMMYFUNCTION("""COMPUTED_VALUE"""),"Dire Crops")</f>
        <v>Dire Crops</v>
      </c>
      <c r="E52" s="69" t="str">
        <f>IFERROR(__xludf.DUMMYFUNCTION("""COMPUTED_VALUE"""),"Food")</f>
        <v>Food</v>
      </c>
      <c r="F52" s="70">
        <f>IFERROR(__xludf.DUMMYFUNCTION("""COMPUTED_VALUE"""),2.0)</f>
        <v>2</v>
      </c>
      <c r="G52" s="71"/>
      <c r="H52" s="72"/>
      <c r="I52" s="71"/>
      <c r="J52" s="73"/>
      <c r="K52" s="74">
        <f t="shared" si="3"/>
        <v>0</v>
      </c>
      <c r="L52" s="67" t="str">
        <f t="shared" si="1"/>
        <v>Dire Crops</v>
      </c>
      <c r="M52" s="75"/>
      <c r="N52" s="76"/>
      <c r="O52" s="77"/>
      <c r="P52" s="78"/>
      <c r="Q52" s="79"/>
      <c r="R52" s="80"/>
      <c r="S52" s="79"/>
      <c r="T52" s="78"/>
      <c r="U52" s="79"/>
      <c r="V52" s="78"/>
      <c r="W52" s="79"/>
    </row>
    <row r="53">
      <c r="A53" s="4"/>
      <c r="D53" s="68" t="str">
        <f>IFERROR(__xludf.DUMMYFUNCTION("""COMPUTED_VALUE"""),"Dyes")</f>
        <v>Dyes</v>
      </c>
      <c r="E53" s="69" t="str">
        <f>IFERROR(__xludf.DUMMYFUNCTION("""COMPUTED_VALUE"""),"Lux")</f>
        <v>Lux</v>
      </c>
      <c r="F53" s="70">
        <f>IFERROR(__xludf.DUMMYFUNCTION("""COMPUTED_VALUE"""),2.0)</f>
        <v>2</v>
      </c>
      <c r="G53" s="71"/>
      <c r="H53" s="72">
        <v>1.0</v>
      </c>
      <c r="I53" s="71"/>
      <c r="J53" s="73"/>
      <c r="K53" s="74">
        <f t="shared" si="3"/>
        <v>1</v>
      </c>
      <c r="L53" s="67" t="str">
        <f t="shared" si="1"/>
        <v>Dyes</v>
      </c>
      <c r="M53" s="75"/>
      <c r="N53" s="76"/>
      <c r="O53" s="77"/>
      <c r="P53" s="78"/>
      <c r="Q53" s="79"/>
      <c r="R53" s="80"/>
      <c r="S53" s="79"/>
      <c r="T53" s="78"/>
      <c r="U53" s="79"/>
      <c r="V53" s="78"/>
      <c r="W53" s="79"/>
    </row>
    <row r="54">
      <c r="A54" s="4"/>
      <c r="D54" s="68" t="str">
        <f>IFERROR(__xludf.DUMMYFUNCTION("""COMPUTED_VALUE"""),"Eternium")</f>
        <v>Eternium</v>
      </c>
      <c r="E54" s="69" t="str">
        <f>IFERROR(__xludf.DUMMYFUNCTION("""COMPUTED_VALUE"""),"Lux/Strat")</f>
        <v>Lux/Strat</v>
      </c>
      <c r="F54" s="70">
        <f>IFERROR(__xludf.DUMMYFUNCTION("""COMPUTED_VALUE"""),3.0)</f>
        <v>3</v>
      </c>
      <c r="G54" s="71"/>
      <c r="H54" s="72"/>
      <c r="I54" s="71"/>
      <c r="J54" s="73"/>
      <c r="K54" s="74">
        <f t="shared" si="3"/>
        <v>0</v>
      </c>
      <c r="L54" s="67" t="str">
        <f t="shared" si="1"/>
        <v>Eternium</v>
      </c>
      <c r="M54" s="75"/>
      <c r="N54" s="76"/>
      <c r="O54" s="77"/>
      <c r="P54" s="78"/>
      <c r="Q54" s="79"/>
      <c r="R54" s="80"/>
      <c r="S54" s="79"/>
      <c r="T54" s="78"/>
      <c r="U54" s="79"/>
      <c r="V54" s="78"/>
      <c r="W54" s="79"/>
    </row>
    <row r="55">
      <c r="A55" s="4"/>
      <c r="D55" s="68" t="str">
        <f>IFERROR(__xludf.DUMMYFUNCTION("""COMPUTED_VALUE"""),"Faerzess")</f>
        <v>Faerzess</v>
      </c>
      <c r="E55" s="69" t="str">
        <f>IFERROR(__xludf.DUMMYFUNCTION("""COMPUTED_VALUE"""),"Lux/Strat")</f>
        <v>Lux/Strat</v>
      </c>
      <c r="F55" s="70">
        <f>IFERROR(__xludf.DUMMYFUNCTION("""COMPUTED_VALUE"""),3.0)</f>
        <v>3</v>
      </c>
      <c r="G55" s="71"/>
      <c r="H55" s="72"/>
      <c r="I55" s="71"/>
      <c r="J55" s="73"/>
      <c r="K55" s="74">
        <f t="shared" si="3"/>
        <v>0</v>
      </c>
      <c r="L55" s="67" t="str">
        <f t="shared" si="1"/>
        <v>Faerzess</v>
      </c>
      <c r="M55" s="75"/>
      <c r="N55" s="76"/>
      <c r="O55" s="77"/>
      <c r="P55" s="78"/>
      <c r="Q55" s="79"/>
      <c r="R55" s="80"/>
      <c r="S55" s="79"/>
      <c r="T55" s="78"/>
      <c r="U55" s="79"/>
      <c r="V55" s="78"/>
      <c r="W55" s="79"/>
    </row>
    <row r="56">
      <c r="A56" s="4"/>
      <c r="D56" s="68" t="str">
        <f>IFERROR(__xludf.DUMMYFUNCTION("""COMPUTED_VALUE"""),"Fine Clothes")</f>
        <v>Fine Clothes</v>
      </c>
      <c r="E56" s="69" t="str">
        <f>IFERROR(__xludf.DUMMYFUNCTION("""COMPUTED_VALUE"""),"Lux")</f>
        <v>Lux</v>
      </c>
      <c r="F56" s="70">
        <f>IFERROR(__xludf.DUMMYFUNCTION("""COMPUTED_VALUE"""),2.0)</f>
        <v>2</v>
      </c>
      <c r="G56" s="71"/>
      <c r="H56" s="72"/>
      <c r="I56" s="71"/>
      <c r="J56" s="73"/>
      <c r="K56" s="74">
        <f t="shared" si="3"/>
        <v>0</v>
      </c>
      <c r="L56" s="67" t="str">
        <f t="shared" si="1"/>
        <v>Fine Clothes</v>
      </c>
      <c r="M56" s="75"/>
      <c r="N56" s="76"/>
      <c r="O56" s="77"/>
      <c r="P56" s="78"/>
      <c r="Q56" s="79"/>
      <c r="R56" s="80"/>
      <c r="S56" s="79"/>
      <c r="T56" s="78"/>
      <c r="U56" s="79"/>
      <c r="V56" s="78"/>
      <c r="W56" s="79"/>
    </row>
    <row r="57">
      <c r="A57" s="4"/>
      <c r="D57" s="68" t="str">
        <f>IFERROR(__xludf.DUMMYFUNCTION("""COMPUTED_VALUE"""),"Fruit")</f>
        <v>Fruit</v>
      </c>
      <c r="E57" s="69" t="str">
        <f>IFERROR(__xludf.DUMMYFUNCTION("""COMPUTED_VALUE"""),"Food")</f>
        <v>Food</v>
      </c>
      <c r="F57" s="70">
        <f>IFERROR(__xludf.DUMMYFUNCTION("""COMPUTED_VALUE"""),1.0)</f>
        <v>1</v>
      </c>
      <c r="G57" s="71"/>
      <c r="H57" s="72"/>
      <c r="I57" s="71"/>
      <c r="J57" s="73"/>
      <c r="K57" s="74">
        <f t="shared" si="3"/>
        <v>0</v>
      </c>
      <c r="L57" s="67" t="str">
        <f t="shared" si="1"/>
        <v>Fruit</v>
      </c>
      <c r="M57" s="75"/>
      <c r="N57" s="76"/>
      <c r="O57" s="77"/>
      <c r="P57" s="78"/>
      <c r="Q57" s="79"/>
      <c r="R57" s="80"/>
      <c r="S57" s="79"/>
      <c r="T57" s="78"/>
      <c r="U57" s="79"/>
      <c r="V57" s="78"/>
      <c r="W57" s="79"/>
    </row>
    <row r="58">
      <c r="A58" s="4"/>
      <c r="D58" s="68" t="str">
        <f>IFERROR(__xludf.DUMMYFUNCTION("""COMPUTED_VALUE"""),"Fur")</f>
        <v>Fur</v>
      </c>
      <c r="E58" s="69" t="str">
        <f>IFERROR(__xludf.DUMMYFUNCTION("""COMPUTED_VALUE"""),"Lux")</f>
        <v>Lux</v>
      </c>
      <c r="F58" s="70">
        <f>IFERROR(__xludf.DUMMYFUNCTION("""COMPUTED_VALUE"""),1.0)</f>
        <v>1</v>
      </c>
      <c r="G58" s="71"/>
      <c r="H58" s="72"/>
      <c r="I58" s="71"/>
      <c r="J58" s="73"/>
      <c r="K58" s="74">
        <f t="shared" si="3"/>
        <v>0</v>
      </c>
      <c r="L58" s="67" t="str">
        <f t="shared" si="1"/>
        <v>Fur</v>
      </c>
      <c r="M58" s="75"/>
      <c r="N58" s="76"/>
      <c r="O58" s="77"/>
      <c r="P58" s="78"/>
      <c r="Q58" s="79"/>
      <c r="R58" s="80"/>
      <c r="S58" s="79"/>
      <c r="T58" s="78"/>
      <c r="U58" s="79"/>
      <c r="V58" s="78"/>
      <c r="W58" s="79"/>
    </row>
    <row r="59">
      <c r="A59" s="4"/>
      <c r="D59" s="68" t="str">
        <f>IFERROR(__xludf.DUMMYFUNCTION("""COMPUTED_VALUE"""),"Game (Hunting)")</f>
        <v>Game (Hunting)</v>
      </c>
      <c r="E59" s="69" t="str">
        <f>IFERROR(__xludf.DUMMYFUNCTION("""COMPUTED_VALUE"""),"Food")</f>
        <v>Food</v>
      </c>
      <c r="F59" s="70">
        <f>IFERROR(__xludf.DUMMYFUNCTION("""COMPUTED_VALUE"""),1.0)</f>
        <v>1</v>
      </c>
      <c r="G59" s="71"/>
      <c r="H59" s="72"/>
      <c r="I59" s="71"/>
      <c r="J59" s="73"/>
      <c r="K59" s="74">
        <f t="shared" si="3"/>
        <v>0</v>
      </c>
      <c r="L59" s="67" t="str">
        <f t="shared" si="1"/>
        <v>Game (Hunting)</v>
      </c>
      <c r="M59" s="75"/>
      <c r="N59" s="76"/>
      <c r="O59" s="77"/>
      <c r="P59" s="78"/>
      <c r="Q59" s="79"/>
      <c r="R59" s="80"/>
      <c r="S59" s="79"/>
      <c r="T59" s="78"/>
      <c r="U59" s="79"/>
      <c r="V59" s="78"/>
      <c r="W59" s="79"/>
    </row>
    <row r="60">
      <c r="A60" s="4"/>
      <c r="D60" s="68" t="str">
        <f>IFERROR(__xludf.DUMMYFUNCTION("""COMPUTED_VALUE"""),"Gems")</f>
        <v>Gems</v>
      </c>
      <c r="E60" s="69" t="str">
        <f>IFERROR(__xludf.DUMMYFUNCTION("""COMPUTED_VALUE"""),"Lux")</f>
        <v>Lux</v>
      </c>
      <c r="F60" s="70">
        <f>IFERROR(__xludf.DUMMYFUNCTION("""COMPUTED_VALUE"""),2.0)</f>
        <v>2</v>
      </c>
      <c r="G60" s="71"/>
      <c r="H60" s="72"/>
      <c r="I60" s="71"/>
      <c r="J60" s="73"/>
      <c r="K60" s="74">
        <f t="shared" si="3"/>
        <v>0</v>
      </c>
      <c r="L60" s="67" t="str">
        <f t="shared" si="1"/>
        <v>Gems</v>
      </c>
      <c r="M60" s="75"/>
      <c r="N60" s="76"/>
      <c r="O60" s="77"/>
      <c r="P60" s="78"/>
      <c r="Q60" s="79"/>
      <c r="R60" s="80"/>
      <c r="S60" s="79"/>
      <c r="T60" s="78"/>
      <c r="U60" s="79"/>
      <c r="V60" s="78"/>
      <c r="W60" s="79"/>
    </row>
    <row r="61">
      <c r="A61" s="4"/>
      <c r="D61" s="68" t="str">
        <f>IFERROR(__xludf.DUMMYFUNCTION("""COMPUTED_VALUE"""),"Glass")</f>
        <v>Glass</v>
      </c>
      <c r="E61" s="69" t="str">
        <f>IFERROR(__xludf.DUMMYFUNCTION("""COMPUTED_VALUE"""),"Lux")</f>
        <v>Lux</v>
      </c>
      <c r="F61" s="70">
        <f>IFERROR(__xludf.DUMMYFUNCTION("""COMPUTED_VALUE"""),2.0)</f>
        <v>2</v>
      </c>
      <c r="G61" s="71">
        <v>1.0</v>
      </c>
      <c r="H61" s="72">
        <v>-1.0</v>
      </c>
      <c r="I61" s="71"/>
      <c r="J61" s="73"/>
      <c r="K61" s="74">
        <f t="shared" si="3"/>
        <v>0</v>
      </c>
      <c r="L61" s="67" t="str">
        <f t="shared" si="1"/>
        <v>Glass</v>
      </c>
      <c r="M61" s="75"/>
      <c r="N61" s="76"/>
      <c r="O61" s="77"/>
      <c r="P61" s="78"/>
      <c r="Q61" s="79"/>
      <c r="R61" s="80"/>
      <c r="S61" s="79"/>
      <c r="T61" s="78"/>
      <c r="U61" s="79"/>
      <c r="V61" s="78"/>
      <c r="W61" s="79"/>
    </row>
    <row r="62">
      <c r="A62" s="4"/>
      <c r="D62" s="68" t="str">
        <f>IFERROR(__xludf.DUMMYFUNCTION("""COMPUTED_VALUE"""),"Gold")</f>
        <v>Gold</v>
      </c>
      <c r="E62" s="69" t="str">
        <f>IFERROR(__xludf.DUMMYFUNCTION("""COMPUTED_VALUE"""),"Lux")</f>
        <v>Lux</v>
      </c>
      <c r="F62" s="70">
        <f>IFERROR(__xludf.DUMMYFUNCTION("""COMPUTED_VALUE"""),3.0)</f>
        <v>3</v>
      </c>
      <c r="G62" s="71"/>
      <c r="H62" s="72"/>
      <c r="I62" s="71"/>
      <c r="J62" s="73"/>
      <c r="K62" s="74">
        <f t="shared" si="3"/>
        <v>0</v>
      </c>
      <c r="L62" s="67" t="str">
        <f t="shared" si="1"/>
        <v>Gold</v>
      </c>
      <c r="M62" s="75"/>
      <c r="N62" s="76"/>
      <c r="O62" s="77"/>
      <c r="P62" s="78"/>
      <c r="Q62" s="79"/>
      <c r="R62" s="80"/>
      <c r="S62" s="79"/>
      <c r="T62" s="78"/>
      <c r="U62" s="79"/>
      <c r="V62" s="78"/>
      <c r="W62" s="79"/>
    </row>
    <row r="63">
      <c r="A63" s="4"/>
      <c r="D63" s="68" t="str">
        <f>IFERROR(__xludf.DUMMYFUNCTION("""COMPUTED_VALUE"""),"Greenwood")</f>
        <v>Greenwood</v>
      </c>
      <c r="E63" s="69" t="str">
        <f>IFERROR(__xludf.DUMMYFUNCTION("""COMPUTED_VALUE"""),"Strat")</f>
        <v>Strat</v>
      </c>
      <c r="F63" s="70">
        <f>IFERROR(__xludf.DUMMYFUNCTION("""COMPUTED_VALUE"""),1.0)</f>
        <v>1</v>
      </c>
      <c r="G63" s="71">
        <v>1.0</v>
      </c>
      <c r="H63" s="72"/>
      <c r="I63" s="71"/>
      <c r="J63" s="73"/>
      <c r="K63" s="74">
        <f t="shared" si="3"/>
        <v>1</v>
      </c>
      <c r="L63" s="67" t="str">
        <f t="shared" si="1"/>
        <v>Greenwood</v>
      </c>
      <c r="M63" s="75"/>
      <c r="N63" s="76"/>
      <c r="O63" s="77"/>
      <c r="P63" s="78"/>
      <c r="Q63" s="79"/>
      <c r="R63" s="80"/>
      <c r="S63" s="79"/>
      <c r="T63" s="78"/>
      <c r="U63" s="79"/>
      <c r="V63" s="78"/>
      <c r="W63" s="79"/>
    </row>
    <row r="64">
      <c r="A64" s="4"/>
      <c r="D64" s="68" t="str">
        <f>IFERROR(__xludf.DUMMYFUNCTION("""COMPUTED_VALUE"""),"Gunpowder")</f>
        <v>Gunpowder</v>
      </c>
      <c r="E64" s="69" t="str">
        <f>IFERROR(__xludf.DUMMYFUNCTION("""COMPUTED_VALUE"""),"Strat")</f>
        <v>Strat</v>
      </c>
      <c r="F64" s="70">
        <f>IFERROR(__xludf.DUMMYFUNCTION("""COMPUTED_VALUE"""),3.0)</f>
        <v>3</v>
      </c>
      <c r="G64" s="71"/>
      <c r="H64" s="72"/>
      <c r="I64" s="71"/>
      <c r="J64" s="73"/>
      <c r="K64" s="74">
        <f t="shared" si="3"/>
        <v>0</v>
      </c>
      <c r="L64" s="67" t="str">
        <f t="shared" si="1"/>
        <v>Gunpowder</v>
      </c>
      <c r="M64" s="75"/>
      <c r="N64" s="76"/>
      <c r="O64" s="77"/>
      <c r="P64" s="78"/>
      <c r="Q64" s="79"/>
      <c r="R64" s="80"/>
      <c r="S64" s="79"/>
      <c r="T64" s="78"/>
      <c r="U64" s="79"/>
      <c r="V64" s="78"/>
      <c r="W64" s="79"/>
    </row>
    <row r="65">
      <c r="A65" s="4"/>
      <c r="D65" s="68" t="str">
        <f>IFERROR(__xludf.DUMMYFUNCTION("""COMPUTED_VALUE"""),"Hardwood")</f>
        <v>Hardwood</v>
      </c>
      <c r="E65" s="69" t="str">
        <f>IFERROR(__xludf.DUMMYFUNCTION("""COMPUTED_VALUE"""),"Strat")</f>
        <v>Strat</v>
      </c>
      <c r="F65" s="70">
        <f>IFERROR(__xludf.DUMMYFUNCTION("""COMPUTED_VALUE"""),1.0)</f>
        <v>1</v>
      </c>
      <c r="G65" s="71">
        <v>1.0</v>
      </c>
      <c r="H65" s="72">
        <v>1.0</v>
      </c>
      <c r="I65" s="71">
        <v>-2.0</v>
      </c>
      <c r="J65" s="73"/>
      <c r="K65" s="74">
        <f t="shared" si="3"/>
        <v>0</v>
      </c>
      <c r="L65" s="67" t="str">
        <f t="shared" si="1"/>
        <v>Hardwood</v>
      </c>
      <c r="M65" s="75"/>
      <c r="N65" s="76"/>
      <c r="O65" s="77"/>
      <c r="P65" s="78"/>
      <c r="Q65" s="79"/>
      <c r="R65" s="80"/>
      <c r="S65" s="79"/>
      <c r="T65" s="78"/>
      <c r="U65" s="79"/>
      <c r="V65" s="78"/>
      <c r="W65" s="79"/>
    </row>
    <row r="66">
      <c r="A66" s="4"/>
      <c r="D66" s="68" t="str">
        <f>IFERROR(__xludf.DUMMYFUNCTION("""COMPUTED_VALUE"""),"Healing Potions")</f>
        <v>Healing Potions</v>
      </c>
      <c r="E66" s="69" t="str">
        <f>IFERROR(__xludf.DUMMYFUNCTION("""COMPUTED_VALUE"""),"Strat")</f>
        <v>Strat</v>
      </c>
      <c r="F66" s="70">
        <f>IFERROR(__xludf.DUMMYFUNCTION("""COMPUTED_VALUE"""),2.0)</f>
        <v>2</v>
      </c>
      <c r="G66" s="71"/>
      <c r="H66" s="72"/>
      <c r="I66" s="71"/>
      <c r="J66" s="73"/>
      <c r="K66" s="74">
        <f t="shared" si="3"/>
        <v>0</v>
      </c>
      <c r="L66" s="67" t="str">
        <f t="shared" si="1"/>
        <v>Healing Potions</v>
      </c>
      <c r="M66" s="75"/>
      <c r="N66" s="76"/>
      <c r="O66" s="77"/>
      <c r="P66" s="78"/>
      <c r="Q66" s="79"/>
      <c r="R66" s="80"/>
      <c r="S66" s="79"/>
      <c r="T66" s="78"/>
      <c r="U66" s="79"/>
      <c r="V66" s="78"/>
      <c r="W66" s="79"/>
    </row>
    <row r="67">
      <c r="A67" s="4"/>
      <c r="D67" s="68" t="str">
        <f>IFERROR(__xludf.DUMMYFUNCTION("""COMPUTED_VALUE"""),"Herbs")</f>
        <v>Herbs</v>
      </c>
      <c r="E67" s="69" t="str">
        <f>IFERROR(__xludf.DUMMYFUNCTION("""COMPUTED_VALUE"""),"Lux")</f>
        <v>Lux</v>
      </c>
      <c r="F67" s="70">
        <f>IFERROR(__xludf.DUMMYFUNCTION("""COMPUTED_VALUE"""),1.0)</f>
        <v>1</v>
      </c>
      <c r="G67" s="71"/>
      <c r="H67" s="72"/>
      <c r="I67" s="71"/>
      <c r="J67" s="73"/>
      <c r="K67" s="74">
        <f t="shared" si="3"/>
        <v>0</v>
      </c>
      <c r="L67" s="67" t="str">
        <f t="shared" si="1"/>
        <v>Herbs</v>
      </c>
      <c r="M67" s="75"/>
      <c r="N67" s="76"/>
      <c r="O67" s="77"/>
      <c r="P67" s="78"/>
      <c r="Q67" s="79"/>
      <c r="R67" s="80"/>
      <c r="S67" s="79"/>
      <c r="T67" s="78"/>
      <c r="U67" s="79"/>
      <c r="V67" s="78"/>
      <c r="W67" s="79"/>
    </row>
    <row r="68">
      <c r="A68" s="4"/>
      <c r="D68" s="68" t="str">
        <f>IFERROR(__xludf.DUMMYFUNCTION("""COMPUTED_VALUE"""),"Holystone")</f>
        <v>Holystone</v>
      </c>
      <c r="E68" s="69" t="str">
        <f>IFERROR(__xludf.DUMMYFUNCTION("""COMPUTED_VALUE"""),"Lux")</f>
        <v>Lux</v>
      </c>
      <c r="F68" s="70">
        <f>IFERROR(__xludf.DUMMYFUNCTION("""COMPUTED_VALUE"""),3.0)</f>
        <v>3</v>
      </c>
      <c r="G68" s="71"/>
      <c r="H68" s="72"/>
      <c r="I68" s="71"/>
      <c r="J68" s="73"/>
      <c r="K68" s="74">
        <f t="shared" si="3"/>
        <v>0</v>
      </c>
      <c r="L68" s="67" t="str">
        <f t="shared" si="1"/>
        <v>Holystone</v>
      </c>
      <c r="M68" s="75"/>
      <c r="N68" s="76"/>
      <c r="O68" s="77"/>
      <c r="P68" s="78"/>
      <c r="Q68" s="79"/>
      <c r="R68" s="80"/>
      <c r="S68" s="79"/>
      <c r="T68" s="78"/>
      <c r="U68" s="79"/>
      <c r="V68" s="78"/>
      <c r="W68" s="79"/>
    </row>
    <row r="69">
      <c r="A69" s="4"/>
      <c r="D69" s="68" t="str">
        <f>IFERROR(__xludf.DUMMYFUNCTION("""COMPUTED_VALUE"""),"Honey")</f>
        <v>Honey</v>
      </c>
      <c r="E69" s="69" t="str">
        <f>IFERROR(__xludf.DUMMYFUNCTION("""COMPUTED_VALUE"""),"Food")</f>
        <v>Food</v>
      </c>
      <c r="F69" s="70">
        <f>IFERROR(__xludf.DUMMYFUNCTION("""COMPUTED_VALUE"""),2.0)</f>
        <v>2</v>
      </c>
      <c r="G69" s="71"/>
      <c r="H69" s="72"/>
      <c r="I69" s="71"/>
      <c r="J69" s="73"/>
      <c r="K69" s="74">
        <f t="shared" si="3"/>
        <v>0</v>
      </c>
      <c r="L69" s="67" t="str">
        <f t="shared" si="1"/>
        <v>Honey</v>
      </c>
      <c r="M69" s="75"/>
      <c r="N69" s="76"/>
      <c r="O69" s="77"/>
      <c r="P69" s="78"/>
      <c r="Q69" s="79"/>
      <c r="R69" s="80"/>
      <c r="S69" s="79"/>
      <c r="T69" s="78"/>
      <c r="U69" s="79"/>
      <c r="V69" s="78"/>
      <c r="W69" s="79"/>
    </row>
    <row r="70">
      <c r="A70" s="4"/>
      <c r="D70" s="68" t="str">
        <f>IFERROR(__xludf.DUMMYFUNCTION("""COMPUTED_VALUE"""),"Iced Cream")</f>
        <v>Iced Cream</v>
      </c>
      <c r="E70" s="69" t="str">
        <f>IFERROR(__xludf.DUMMYFUNCTION("""COMPUTED_VALUE"""),"Food/Lux")</f>
        <v>Food/Lux</v>
      </c>
      <c r="F70" s="70">
        <f>IFERROR(__xludf.DUMMYFUNCTION("""COMPUTED_VALUE"""),2.0)</f>
        <v>2</v>
      </c>
      <c r="G70" s="71"/>
      <c r="H70" s="72"/>
      <c r="I70" s="71"/>
      <c r="J70" s="73"/>
      <c r="K70" s="74">
        <f t="shared" si="3"/>
        <v>0</v>
      </c>
      <c r="L70" s="67" t="str">
        <f t="shared" si="1"/>
        <v>Iced Cream</v>
      </c>
      <c r="M70" s="75"/>
      <c r="N70" s="76"/>
      <c r="O70" s="77"/>
      <c r="P70" s="78"/>
      <c r="Q70" s="79"/>
      <c r="R70" s="80"/>
      <c r="S70" s="79"/>
      <c r="T70" s="78"/>
      <c r="U70" s="79"/>
      <c r="V70" s="78"/>
      <c r="W70" s="79"/>
    </row>
    <row r="71">
      <c r="A71" s="4"/>
      <c r="D71" s="68" t="str">
        <f>IFERROR(__xludf.DUMMYFUNCTION("""COMPUTED_VALUE"""),"Incense")</f>
        <v>Incense</v>
      </c>
      <c r="E71" s="69" t="str">
        <f>IFERROR(__xludf.DUMMYFUNCTION("""COMPUTED_VALUE"""),"Lux")</f>
        <v>Lux</v>
      </c>
      <c r="F71" s="70">
        <f>IFERROR(__xludf.DUMMYFUNCTION("""COMPUTED_VALUE"""),1.0)</f>
        <v>1</v>
      </c>
      <c r="G71" s="71"/>
      <c r="H71" s="72"/>
      <c r="I71" s="71"/>
      <c r="J71" s="73"/>
      <c r="K71" s="74">
        <f t="shared" si="3"/>
        <v>0</v>
      </c>
      <c r="L71" s="67" t="str">
        <f t="shared" si="1"/>
        <v>Incense</v>
      </c>
      <c r="M71" s="75"/>
      <c r="N71" s="76"/>
      <c r="O71" s="77"/>
      <c r="P71" s="78"/>
      <c r="Q71" s="79"/>
      <c r="R71" s="80"/>
      <c r="S71" s="79"/>
      <c r="T71" s="78"/>
      <c r="U71" s="79"/>
      <c r="V71" s="78"/>
      <c r="W71" s="79"/>
    </row>
    <row r="72">
      <c r="A72" s="4"/>
      <c r="D72" s="68" t="str">
        <f>IFERROR(__xludf.DUMMYFUNCTION("""COMPUTED_VALUE"""),"Iron")</f>
        <v>Iron</v>
      </c>
      <c r="E72" s="69" t="str">
        <f>IFERROR(__xludf.DUMMYFUNCTION("""COMPUTED_VALUE"""),"Strat")</f>
        <v>Strat</v>
      </c>
      <c r="F72" s="70">
        <f>IFERROR(__xludf.DUMMYFUNCTION("""COMPUTED_VALUE"""),1.0)</f>
        <v>1</v>
      </c>
      <c r="G72" s="71"/>
      <c r="H72" s="72">
        <v>1.0</v>
      </c>
      <c r="I72" s="71">
        <v>-1.0</v>
      </c>
      <c r="J72" s="73"/>
      <c r="K72" s="74">
        <f t="shared" si="3"/>
        <v>0</v>
      </c>
      <c r="L72" s="67" t="str">
        <f t="shared" si="1"/>
        <v>Iron</v>
      </c>
      <c r="M72" s="75"/>
      <c r="N72" s="76"/>
      <c r="O72" s="77"/>
      <c r="P72" s="78"/>
      <c r="Q72" s="79"/>
      <c r="R72" s="80"/>
      <c r="S72" s="79"/>
      <c r="T72" s="78"/>
      <c r="U72" s="79"/>
      <c r="V72" s="78"/>
      <c r="W72" s="79"/>
    </row>
    <row r="73">
      <c r="A73" s="4"/>
      <c r="D73" s="68" t="str">
        <f>IFERROR(__xludf.DUMMYFUNCTION("""COMPUTED_VALUE"""),"Ironwood")</f>
        <v>Ironwood</v>
      </c>
      <c r="E73" s="69" t="str">
        <f>IFERROR(__xludf.DUMMYFUNCTION("""COMPUTED_VALUE"""),"Strat")</f>
        <v>Strat</v>
      </c>
      <c r="F73" s="70">
        <f>IFERROR(__xludf.DUMMYFUNCTION("""COMPUTED_VALUE"""),2.0)</f>
        <v>2</v>
      </c>
      <c r="G73" s="71"/>
      <c r="H73" s="72"/>
      <c r="I73" s="71"/>
      <c r="J73" s="73"/>
      <c r="K73" s="74">
        <f t="shared" si="3"/>
        <v>0</v>
      </c>
      <c r="L73" s="67" t="str">
        <f t="shared" si="1"/>
        <v>Ironwood</v>
      </c>
      <c r="M73" s="75"/>
      <c r="N73" s="76"/>
      <c r="O73" s="77"/>
      <c r="P73" s="78"/>
      <c r="Q73" s="79"/>
      <c r="R73" s="80"/>
      <c r="S73" s="79"/>
      <c r="T73" s="78"/>
      <c r="U73" s="79"/>
      <c r="V73" s="78"/>
      <c r="W73" s="79"/>
    </row>
    <row r="74">
      <c r="A74" s="4"/>
      <c r="D74" s="68" t="str">
        <f>IFERROR(__xludf.DUMMYFUNCTION("""COMPUTED_VALUE"""),"Ivory")</f>
        <v>Ivory</v>
      </c>
      <c r="E74" s="69" t="str">
        <f>IFERROR(__xludf.DUMMYFUNCTION("""COMPUTED_VALUE"""),"Lux")</f>
        <v>Lux</v>
      </c>
      <c r="F74" s="70">
        <f>IFERROR(__xludf.DUMMYFUNCTION("""COMPUTED_VALUE"""),2.0)</f>
        <v>2</v>
      </c>
      <c r="G74" s="71"/>
      <c r="H74" s="72"/>
      <c r="I74" s="71"/>
      <c r="J74" s="73"/>
      <c r="K74" s="74">
        <f t="shared" si="3"/>
        <v>0</v>
      </c>
      <c r="L74" s="67" t="str">
        <f t="shared" si="1"/>
        <v>Ivory</v>
      </c>
      <c r="M74" s="75"/>
      <c r="N74" s="76"/>
      <c r="O74" s="77"/>
      <c r="P74" s="78"/>
      <c r="Q74" s="79"/>
      <c r="R74" s="80"/>
      <c r="S74" s="79"/>
      <c r="T74" s="78"/>
      <c r="U74" s="79"/>
      <c r="V74" s="78"/>
      <c r="W74" s="79"/>
    </row>
    <row r="75">
      <c r="A75" s="4"/>
      <c r="D75" s="68" t="str">
        <f>IFERROR(__xludf.DUMMYFUNCTION("""COMPUTED_VALUE"""),"Jewelry")</f>
        <v>Jewelry</v>
      </c>
      <c r="E75" s="69" t="str">
        <f>IFERROR(__xludf.DUMMYFUNCTION("""COMPUTED_VALUE"""),"Lux")</f>
        <v>Lux</v>
      </c>
      <c r="F75" s="70">
        <f>IFERROR(__xludf.DUMMYFUNCTION("""COMPUTED_VALUE"""),3.0)</f>
        <v>3</v>
      </c>
      <c r="G75" s="71"/>
      <c r="H75" s="72"/>
      <c r="I75" s="71"/>
      <c r="J75" s="73"/>
      <c r="K75" s="74">
        <f t="shared" si="3"/>
        <v>0</v>
      </c>
      <c r="L75" s="67" t="str">
        <f t="shared" si="1"/>
        <v>Jewelry</v>
      </c>
      <c r="M75" s="75"/>
      <c r="N75" s="76"/>
      <c r="O75" s="77"/>
      <c r="P75" s="78"/>
      <c r="Q75" s="79"/>
      <c r="R75" s="80"/>
      <c r="S75" s="79"/>
      <c r="T75" s="78"/>
      <c r="U75" s="79"/>
      <c r="V75" s="78"/>
      <c r="W75" s="79"/>
    </row>
    <row r="76">
      <c r="A76" s="4"/>
      <c r="D76" s="68" t="str">
        <f>IFERROR(__xludf.DUMMYFUNCTION("""COMPUTED_VALUE"""),"Lead")</f>
        <v>Lead</v>
      </c>
      <c r="E76" s="69" t="str">
        <f>IFERROR(__xludf.DUMMYFUNCTION("""COMPUTED_VALUE"""),"Lux")</f>
        <v>Lux</v>
      </c>
      <c r="F76" s="70">
        <f>IFERROR(__xludf.DUMMYFUNCTION("""COMPUTED_VALUE"""),1.0)</f>
        <v>1</v>
      </c>
      <c r="G76" s="71"/>
      <c r="H76" s="72"/>
      <c r="I76" s="71"/>
      <c r="J76" s="73"/>
      <c r="K76" s="74">
        <f t="shared" si="3"/>
        <v>0</v>
      </c>
      <c r="L76" s="67" t="str">
        <f t="shared" si="1"/>
        <v>Lead</v>
      </c>
      <c r="M76" s="75"/>
      <c r="N76" s="76"/>
      <c r="O76" s="77"/>
      <c r="P76" s="78"/>
      <c r="Q76" s="79"/>
      <c r="R76" s="80"/>
      <c r="S76" s="79"/>
      <c r="T76" s="78"/>
      <c r="U76" s="79"/>
      <c r="V76" s="78"/>
      <c r="W76" s="79"/>
    </row>
    <row r="77">
      <c r="A77" s="4"/>
      <c r="D77" s="68" t="str">
        <f>IFERROR(__xludf.DUMMYFUNCTION("""COMPUTED_VALUE"""),"Linite")</f>
        <v>Linite</v>
      </c>
      <c r="E77" s="69" t="str">
        <f>IFERROR(__xludf.DUMMYFUNCTION("""COMPUTED_VALUE"""),"Lux")</f>
        <v>Lux</v>
      </c>
      <c r="F77" s="70">
        <f>IFERROR(__xludf.DUMMYFUNCTION("""COMPUTED_VALUE"""),2.0)</f>
        <v>2</v>
      </c>
      <c r="G77" s="71"/>
      <c r="H77" s="72"/>
      <c r="I77" s="71"/>
      <c r="J77" s="73"/>
      <c r="K77" s="74">
        <f t="shared" si="3"/>
        <v>0</v>
      </c>
      <c r="L77" s="67" t="str">
        <f t="shared" si="1"/>
        <v>Linite</v>
      </c>
      <c r="M77" s="75"/>
      <c r="N77" s="76"/>
      <c r="O77" s="77"/>
      <c r="P77" s="78"/>
      <c r="Q77" s="79"/>
      <c r="R77" s="80"/>
      <c r="S77" s="79"/>
      <c r="T77" s="78"/>
      <c r="U77" s="79"/>
      <c r="V77" s="78"/>
      <c r="W77" s="79"/>
    </row>
    <row r="78">
      <c r="A78" s="4"/>
      <c r="D78" s="68" t="str">
        <f>IFERROR(__xludf.DUMMYFUNCTION("""COMPUTED_VALUE"""),"Livestock")</f>
        <v>Livestock</v>
      </c>
      <c r="E78" s="69" t="str">
        <f>IFERROR(__xludf.DUMMYFUNCTION("""COMPUTED_VALUE"""),"Food")</f>
        <v>Food</v>
      </c>
      <c r="F78" s="70">
        <f>IFERROR(__xludf.DUMMYFUNCTION("""COMPUTED_VALUE"""),1.0)</f>
        <v>1</v>
      </c>
      <c r="G78" s="71"/>
      <c r="H78" s="72"/>
      <c r="I78" s="71"/>
      <c r="J78" s="73"/>
      <c r="K78" s="74">
        <f t="shared" si="3"/>
        <v>0</v>
      </c>
      <c r="L78" s="67" t="str">
        <f t="shared" si="1"/>
        <v>Livestock</v>
      </c>
      <c r="M78" s="75"/>
      <c r="N78" s="76"/>
      <c r="O78" s="77"/>
      <c r="P78" s="78"/>
      <c r="Q78" s="79"/>
      <c r="R78" s="80"/>
      <c r="S78" s="79"/>
      <c r="T78" s="78"/>
      <c r="U78" s="79"/>
      <c r="V78" s="78"/>
      <c r="W78" s="79"/>
    </row>
    <row r="79">
      <c r="A79" s="4"/>
      <c r="D79" s="68" t="str">
        <f>IFERROR(__xludf.DUMMYFUNCTION("""COMPUTED_VALUE"""),"Lumber")</f>
        <v>Lumber</v>
      </c>
      <c r="E79" s="69" t="str">
        <f>IFERROR(__xludf.DUMMYFUNCTION("""COMPUTED_VALUE"""),"None")</f>
        <v>None</v>
      </c>
      <c r="F79" s="70">
        <f>IFERROR(__xludf.DUMMYFUNCTION("""COMPUTED_VALUE"""),0.0)</f>
        <v>0</v>
      </c>
      <c r="G79" s="71"/>
      <c r="H79" s="72"/>
      <c r="I79" s="71"/>
      <c r="J79" s="73"/>
      <c r="K79" s="74">
        <f t="shared" si="3"/>
        <v>0</v>
      </c>
      <c r="L79" s="67" t="str">
        <f t="shared" si="1"/>
        <v>Lumber</v>
      </c>
      <c r="M79" s="75"/>
      <c r="N79" s="76"/>
      <c r="O79" s="77"/>
      <c r="P79" s="78"/>
      <c r="Q79" s="79"/>
      <c r="R79" s="80"/>
      <c r="S79" s="79"/>
      <c r="T79" s="78"/>
      <c r="U79" s="79"/>
      <c r="V79" s="78"/>
      <c r="W79" s="79"/>
    </row>
    <row r="80">
      <c r="A80" s="4"/>
      <c r="D80" s="68" t="str">
        <f>IFERROR(__xludf.DUMMYFUNCTION("""COMPUTED_VALUE"""),"Marble")</f>
        <v>Marble</v>
      </c>
      <c r="E80" s="69" t="str">
        <f>IFERROR(__xludf.DUMMYFUNCTION("""COMPUTED_VALUE"""),"Lux")</f>
        <v>Lux</v>
      </c>
      <c r="F80" s="70">
        <f>IFERROR(__xludf.DUMMYFUNCTION("""COMPUTED_VALUE"""),1.0)</f>
        <v>1</v>
      </c>
      <c r="G80" s="71"/>
      <c r="H80" s="72">
        <v>2.0</v>
      </c>
      <c r="I80" s="71"/>
      <c r="J80" s="73"/>
      <c r="K80" s="74">
        <f t="shared" si="3"/>
        <v>2</v>
      </c>
      <c r="L80" s="67" t="str">
        <f t="shared" si="1"/>
        <v>Marble</v>
      </c>
      <c r="M80" s="75"/>
      <c r="N80" s="76"/>
      <c r="O80" s="77"/>
      <c r="P80" s="78"/>
      <c r="Q80" s="79"/>
      <c r="R80" s="80"/>
      <c r="S80" s="79"/>
      <c r="T80" s="78"/>
      <c r="U80" s="79"/>
      <c r="V80" s="78"/>
      <c r="W80" s="79"/>
    </row>
    <row r="81">
      <c r="A81" s="4"/>
      <c r="D81" s="68" t="str">
        <f>IFERROR(__xludf.DUMMYFUNCTION("""COMPUTED_VALUE"""),"Medicine")</f>
        <v>Medicine</v>
      </c>
      <c r="E81" s="69" t="str">
        <f>IFERROR(__xludf.DUMMYFUNCTION("""COMPUTED_VALUE"""),"Lux")</f>
        <v>Lux</v>
      </c>
      <c r="F81" s="70">
        <f>IFERROR(__xludf.DUMMYFUNCTION("""COMPUTED_VALUE"""),2.0)</f>
        <v>2</v>
      </c>
      <c r="G81" s="71"/>
      <c r="H81" s="72"/>
      <c r="I81" s="71"/>
      <c r="J81" s="73"/>
      <c r="K81" s="74">
        <f t="shared" si="3"/>
        <v>0</v>
      </c>
      <c r="L81" s="67" t="str">
        <f t="shared" si="1"/>
        <v>Medicine</v>
      </c>
      <c r="M81" s="75"/>
      <c r="N81" s="76"/>
      <c r="O81" s="77"/>
      <c r="P81" s="78"/>
      <c r="Q81" s="79"/>
      <c r="R81" s="80"/>
      <c r="S81" s="79"/>
      <c r="T81" s="78"/>
      <c r="U81" s="79"/>
      <c r="V81" s="78"/>
      <c r="W81" s="79"/>
    </row>
    <row r="82">
      <c r="A82" s="4"/>
      <c r="D82" s="68" t="str">
        <f>IFERROR(__xludf.DUMMYFUNCTION("""COMPUTED_VALUE"""),"Mithral")</f>
        <v>Mithral</v>
      </c>
      <c r="E82" s="69" t="str">
        <f>IFERROR(__xludf.DUMMYFUNCTION("""COMPUTED_VALUE"""),"Lux/Strat")</f>
        <v>Lux/Strat</v>
      </c>
      <c r="F82" s="70">
        <f>IFERROR(__xludf.DUMMYFUNCTION("""COMPUTED_VALUE"""),3.0)</f>
        <v>3</v>
      </c>
      <c r="G82" s="71"/>
      <c r="H82" s="72"/>
      <c r="I82" s="71"/>
      <c r="J82" s="73"/>
      <c r="K82" s="74">
        <f t="shared" si="3"/>
        <v>0</v>
      </c>
      <c r="L82" s="67" t="str">
        <f t="shared" si="1"/>
        <v>Mithral</v>
      </c>
      <c r="M82" s="75"/>
      <c r="N82" s="76"/>
      <c r="O82" s="77"/>
      <c r="P82" s="78"/>
      <c r="Q82" s="79"/>
      <c r="R82" s="80"/>
      <c r="S82" s="79"/>
      <c r="T82" s="78"/>
      <c r="U82" s="79"/>
      <c r="V82" s="78"/>
      <c r="W82" s="79"/>
    </row>
    <row r="83">
      <c r="A83" s="4"/>
      <c r="D83" s="68" t="str">
        <f>IFERROR(__xludf.DUMMYFUNCTION("""COMPUTED_VALUE"""),"Narcotics")</f>
        <v>Narcotics</v>
      </c>
      <c r="E83" s="69" t="str">
        <f>IFERROR(__xludf.DUMMYFUNCTION("""COMPUTED_VALUE"""),"Lux")</f>
        <v>Lux</v>
      </c>
      <c r="F83" s="70">
        <f>IFERROR(__xludf.DUMMYFUNCTION("""COMPUTED_VALUE"""),2.0)</f>
        <v>2</v>
      </c>
      <c r="G83" s="71"/>
      <c r="H83" s="72">
        <v>0.0</v>
      </c>
      <c r="I83" s="71"/>
      <c r="J83" s="73"/>
      <c r="K83" s="74">
        <f t="shared" si="3"/>
        <v>0</v>
      </c>
      <c r="L83" s="67" t="str">
        <f t="shared" si="1"/>
        <v>Narcotics</v>
      </c>
      <c r="M83" s="75"/>
      <c r="N83" s="76"/>
      <c r="O83" s="77"/>
      <c r="P83" s="78"/>
      <c r="Q83" s="79"/>
      <c r="R83" s="80"/>
      <c r="S83" s="79"/>
      <c r="T83" s="78"/>
      <c r="U83" s="79"/>
      <c r="V83" s="78"/>
      <c r="W83" s="79"/>
    </row>
    <row r="84">
      <c r="A84" s="4"/>
      <c r="D84" s="68" t="str">
        <f>IFERROR(__xludf.DUMMYFUNCTION("""COMPUTED_VALUE"""),"Olives")</f>
        <v>Olives</v>
      </c>
      <c r="E84" s="69" t="str">
        <f>IFERROR(__xludf.DUMMYFUNCTION("""COMPUTED_VALUE"""),"Food")</f>
        <v>Food</v>
      </c>
      <c r="F84" s="70">
        <f>IFERROR(__xludf.DUMMYFUNCTION("""COMPUTED_VALUE"""),1.0)</f>
        <v>1</v>
      </c>
      <c r="G84" s="71"/>
      <c r="H84" s="72"/>
      <c r="I84" s="71"/>
      <c r="J84" s="73"/>
      <c r="K84" s="74">
        <f t="shared" si="3"/>
        <v>0</v>
      </c>
      <c r="L84" s="67" t="str">
        <f t="shared" si="1"/>
        <v>Olives</v>
      </c>
      <c r="M84" s="75"/>
      <c r="N84" s="76"/>
      <c r="O84" s="77"/>
      <c r="P84" s="78"/>
      <c r="Q84" s="79"/>
      <c r="R84" s="80"/>
      <c r="S84" s="79"/>
      <c r="T84" s="78"/>
      <c r="U84" s="79"/>
      <c r="V84" s="78"/>
      <c r="W84" s="79"/>
    </row>
    <row r="85">
      <c r="A85" s="4"/>
      <c r="D85" s="68" t="str">
        <f>IFERROR(__xludf.DUMMYFUNCTION("""COMPUTED_VALUE"""),"Onyx")</f>
        <v>Onyx</v>
      </c>
      <c r="E85" s="69" t="str">
        <f>IFERROR(__xludf.DUMMYFUNCTION("""COMPUTED_VALUE"""),"Strat")</f>
        <v>Strat</v>
      </c>
      <c r="F85" s="70">
        <f>IFERROR(__xludf.DUMMYFUNCTION("""COMPUTED_VALUE"""),2.0)</f>
        <v>2</v>
      </c>
      <c r="G85" s="71"/>
      <c r="H85" s="72"/>
      <c r="I85" s="71"/>
      <c r="J85" s="73"/>
      <c r="K85" s="74">
        <f t="shared" si="3"/>
        <v>0</v>
      </c>
      <c r="L85" s="67" t="str">
        <f t="shared" si="1"/>
        <v>Onyx</v>
      </c>
      <c r="M85" s="75"/>
      <c r="N85" s="76"/>
      <c r="O85" s="77"/>
      <c r="P85" s="78"/>
      <c r="Q85" s="79"/>
      <c r="R85" s="80"/>
      <c r="S85" s="79"/>
      <c r="T85" s="78"/>
      <c r="U85" s="79"/>
      <c r="V85" s="78"/>
      <c r="W85" s="79"/>
    </row>
    <row r="86">
      <c r="A86" s="4"/>
      <c r="D86" s="68" t="str">
        <f>IFERROR(__xludf.DUMMYFUNCTION("""COMPUTED_VALUE"""),"Oricalculum")</f>
        <v>Oricalculum</v>
      </c>
      <c r="E86" s="69" t="str">
        <f>IFERROR(__xludf.DUMMYFUNCTION("""COMPUTED_VALUE"""),"Lux/Strat")</f>
        <v>Lux/Strat</v>
      </c>
      <c r="F86" s="70">
        <f>IFERROR(__xludf.DUMMYFUNCTION("""COMPUTED_VALUE"""),3.0)</f>
        <v>3</v>
      </c>
      <c r="G86" s="71"/>
      <c r="H86" s="72"/>
      <c r="I86" s="71"/>
      <c r="J86" s="73"/>
      <c r="K86" s="74">
        <f t="shared" si="3"/>
        <v>0</v>
      </c>
      <c r="L86" s="67" t="str">
        <f t="shared" si="1"/>
        <v>Oricalculum</v>
      </c>
      <c r="M86" s="75"/>
      <c r="N86" s="76"/>
      <c r="O86" s="77"/>
      <c r="P86" s="78"/>
      <c r="Q86" s="79"/>
      <c r="R86" s="80"/>
      <c r="S86" s="79"/>
      <c r="T86" s="78"/>
      <c r="U86" s="79"/>
      <c r="V86" s="78"/>
      <c r="W86" s="79"/>
    </row>
    <row r="87">
      <c r="A87" s="4"/>
      <c r="D87" s="68" t="str">
        <f>IFERROR(__xludf.DUMMYFUNCTION("""COMPUTED_VALUE"""),"Paper")</f>
        <v>Paper</v>
      </c>
      <c r="E87" s="69" t="str">
        <f>IFERROR(__xludf.DUMMYFUNCTION("""COMPUTED_VALUE"""),"Lux")</f>
        <v>Lux</v>
      </c>
      <c r="F87" s="70">
        <f>IFERROR(__xludf.DUMMYFUNCTION("""COMPUTED_VALUE"""),2.0)</f>
        <v>2</v>
      </c>
      <c r="G87" s="71"/>
      <c r="H87" s="72"/>
      <c r="I87" s="71"/>
      <c r="J87" s="73"/>
      <c r="K87" s="74">
        <f t="shared" si="3"/>
        <v>0</v>
      </c>
      <c r="L87" s="67" t="str">
        <f t="shared" si="1"/>
        <v>Paper</v>
      </c>
      <c r="M87" s="75"/>
      <c r="N87" s="76"/>
      <c r="O87" s="77"/>
      <c r="P87" s="78"/>
      <c r="Q87" s="79"/>
      <c r="R87" s="80"/>
      <c r="S87" s="79"/>
      <c r="T87" s="78"/>
      <c r="U87" s="79"/>
      <c r="V87" s="78"/>
      <c r="W87" s="79"/>
    </row>
    <row r="88">
      <c r="A88" s="4"/>
      <c r="D88" s="68" t="str">
        <f>IFERROR(__xludf.DUMMYFUNCTION("""COMPUTED_VALUE"""),"Parchment")</f>
        <v>Parchment</v>
      </c>
      <c r="E88" s="69" t="str">
        <f>IFERROR(__xludf.DUMMYFUNCTION("""COMPUTED_VALUE"""),"Lux")</f>
        <v>Lux</v>
      </c>
      <c r="F88" s="70">
        <f>IFERROR(__xludf.DUMMYFUNCTION("""COMPUTED_VALUE"""),1.0)</f>
        <v>1</v>
      </c>
      <c r="G88" s="71"/>
      <c r="H88" s="72"/>
      <c r="I88" s="71"/>
      <c r="J88" s="73"/>
      <c r="K88" s="74">
        <f t="shared" si="3"/>
        <v>0</v>
      </c>
      <c r="L88" s="67" t="str">
        <f t="shared" si="1"/>
        <v>Parchment</v>
      </c>
      <c r="M88" s="75"/>
      <c r="N88" s="76"/>
      <c r="O88" s="77"/>
      <c r="P88" s="78"/>
      <c r="Q88" s="79"/>
      <c r="R88" s="80"/>
      <c r="S88" s="79"/>
      <c r="T88" s="78"/>
      <c r="U88" s="79"/>
      <c r="V88" s="78"/>
      <c r="W88" s="79"/>
    </row>
    <row r="89">
      <c r="A89" s="4"/>
      <c r="D89" s="68" t="str">
        <f>IFERROR(__xludf.DUMMYFUNCTION("""COMPUTED_VALUE"""),"Pearl")</f>
        <v>Pearl</v>
      </c>
      <c r="E89" s="69" t="str">
        <f>IFERROR(__xludf.DUMMYFUNCTION("""COMPUTED_VALUE"""),"Lux ")</f>
        <v>Lux </v>
      </c>
      <c r="F89" s="70">
        <f>IFERROR(__xludf.DUMMYFUNCTION("""COMPUTED_VALUE"""),2.0)</f>
        <v>2</v>
      </c>
      <c r="G89" s="71">
        <v>2.0</v>
      </c>
      <c r="H89" s="72"/>
      <c r="I89" s="71"/>
      <c r="J89" s="73"/>
      <c r="K89" s="74">
        <f t="shared" si="3"/>
        <v>2</v>
      </c>
      <c r="L89" s="67" t="str">
        <f t="shared" si="1"/>
        <v>Pearl</v>
      </c>
      <c r="M89" s="75"/>
      <c r="N89" s="76"/>
      <c r="O89" s="77"/>
      <c r="P89" s="78"/>
      <c r="Q89" s="79"/>
      <c r="R89" s="80"/>
      <c r="S89" s="79"/>
      <c r="T89" s="78"/>
      <c r="U89" s="79"/>
      <c r="V89" s="78"/>
      <c r="W89" s="79"/>
    </row>
    <row r="90">
      <c r="A90" s="4"/>
      <c r="D90" s="68" t="str">
        <f>IFERROR(__xludf.DUMMYFUNCTION("""COMPUTED_VALUE"""),"Peat")</f>
        <v>Peat</v>
      </c>
      <c r="E90" s="69" t="str">
        <f>IFERROR(__xludf.DUMMYFUNCTION("""COMPUTED_VALUE"""),"Lux")</f>
        <v>Lux</v>
      </c>
      <c r="F90" s="70">
        <f>IFERROR(__xludf.DUMMYFUNCTION("""COMPUTED_VALUE"""),1.0)</f>
        <v>1</v>
      </c>
      <c r="G90" s="71"/>
      <c r="H90" s="72"/>
      <c r="I90" s="71"/>
      <c r="J90" s="73"/>
      <c r="K90" s="74">
        <f t="shared" si="3"/>
        <v>0</v>
      </c>
      <c r="L90" s="67" t="str">
        <f t="shared" si="1"/>
        <v>Peat</v>
      </c>
      <c r="M90" s="75"/>
      <c r="N90" s="76"/>
      <c r="O90" s="77"/>
      <c r="P90" s="78"/>
      <c r="Q90" s="79"/>
      <c r="R90" s="80"/>
      <c r="S90" s="79"/>
      <c r="T90" s="78"/>
      <c r="U90" s="79"/>
      <c r="V90" s="78"/>
      <c r="W90" s="79"/>
    </row>
    <row r="91">
      <c r="A91" s="4"/>
      <c r="D91" s="68" t="str">
        <f>IFERROR(__xludf.DUMMYFUNCTION("""COMPUTED_VALUE"""),"Phlogiston
(Helium)")</f>
        <v>Phlogiston
(Helium)</v>
      </c>
      <c r="E91" s="69" t="str">
        <f>IFERROR(__xludf.DUMMYFUNCTION("""COMPUTED_VALUE"""),"Strat")</f>
        <v>Strat</v>
      </c>
      <c r="F91" s="70">
        <f>IFERROR(__xludf.DUMMYFUNCTION("""COMPUTED_VALUE"""),3.0)</f>
        <v>3</v>
      </c>
      <c r="G91" s="71"/>
      <c r="H91" s="72"/>
      <c r="I91" s="71"/>
      <c r="J91" s="73"/>
      <c r="K91" s="74">
        <f t="shared" si="3"/>
        <v>0</v>
      </c>
      <c r="L91" s="67" t="str">
        <f t="shared" si="1"/>
        <v>Phlogiston
(Helium)</v>
      </c>
      <c r="M91" s="75"/>
      <c r="N91" s="76"/>
      <c r="O91" s="77"/>
      <c r="P91" s="78"/>
      <c r="Q91" s="79"/>
      <c r="R91" s="80"/>
      <c r="S91" s="79"/>
      <c r="T91" s="78"/>
      <c r="U91" s="79"/>
      <c r="V91" s="78"/>
      <c r="W91" s="79"/>
    </row>
    <row r="92">
      <c r="A92" s="4"/>
      <c r="D92" s="68" t="str">
        <f>IFERROR(__xludf.DUMMYFUNCTION("""COMPUTED_VALUE"""),"Poison")</f>
        <v>Poison</v>
      </c>
      <c r="E92" s="69" t="str">
        <f>IFERROR(__xludf.DUMMYFUNCTION("""COMPUTED_VALUE"""),"Strat")</f>
        <v>Strat</v>
      </c>
      <c r="F92" s="70">
        <f>IFERROR(__xludf.DUMMYFUNCTION("""COMPUTED_VALUE"""),2.0)</f>
        <v>2</v>
      </c>
      <c r="G92" s="71">
        <v>1.0</v>
      </c>
      <c r="H92" s="72"/>
      <c r="I92" s="71"/>
      <c r="J92" s="73"/>
      <c r="K92" s="74">
        <f t="shared" si="3"/>
        <v>1</v>
      </c>
      <c r="L92" s="67" t="str">
        <f t="shared" si="1"/>
        <v>Poison</v>
      </c>
      <c r="M92" s="75"/>
      <c r="N92" s="76"/>
      <c r="O92" s="77"/>
      <c r="P92" s="78"/>
      <c r="Q92" s="79"/>
      <c r="R92" s="80"/>
      <c r="S92" s="79"/>
      <c r="T92" s="78"/>
      <c r="U92" s="79"/>
      <c r="V92" s="78"/>
      <c r="W92" s="79"/>
    </row>
    <row r="93">
      <c r="A93" s="4"/>
      <c r="D93" s="68" t="str">
        <f>IFERROR(__xludf.DUMMYFUNCTION("""COMPUTED_VALUE"""),"Porcelain")</f>
        <v>Porcelain</v>
      </c>
      <c r="E93" s="69" t="str">
        <f>IFERROR(__xludf.DUMMYFUNCTION("""COMPUTED_VALUE"""),"Lux")</f>
        <v>Lux</v>
      </c>
      <c r="F93" s="70">
        <f>IFERROR(__xludf.DUMMYFUNCTION("""COMPUTED_VALUE"""),2.0)</f>
        <v>2</v>
      </c>
      <c r="G93" s="71"/>
      <c r="H93" s="72"/>
      <c r="I93" s="71"/>
      <c r="J93" s="73"/>
      <c r="K93" s="74">
        <f t="shared" si="3"/>
        <v>0</v>
      </c>
      <c r="L93" s="67" t="str">
        <f t="shared" si="1"/>
        <v>Porcelain</v>
      </c>
      <c r="M93" s="75"/>
      <c r="N93" s="76"/>
      <c r="O93" s="77"/>
      <c r="P93" s="78"/>
      <c r="Q93" s="79"/>
      <c r="R93" s="80"/>
      <c r="S93" s="79"/>
      <c r="T93" s="78"/>
      <c r="U93" s="79"/>
      <c r="V93" s="78"/>
      <c r="W93" s="79"/>
    </row>
    <row r="94">
      <c r="A94" s="4"/>
      <c r="D94" s="68" t="str">
        <f>IFERROR(__xludf.DUMMYFUNCTION("""COMPUTED_VALUE"""),"Residuum")</f>
        <v>Residuum</v>
      </c>
      <c r="E94" s="69" t="str">
        <f>IFERROR(__xludf.DUMMYFUNCTION("""COMPUTED_VALUE"""),"Lux")</f>
        <v>Lux</v>
      </c>
      <c r="F94" s="70">
        <f>IFERROR(__xludf.DUMMYFUNCTION("""COMPUTED_VALUE"""),2.0)</f>
        <v>2</v>
      </c>
      <c r="G94" s="71"/>
      <c r="H94" s="72"/>
      <c r="I94" s="71"/>
      <c r="J94" s="73"/>
      <c r="K94" s="74">
        <f t="shared" si="3"/>
        <v>0</v>
      </c>
      <c r="L94" s="67" t="str">
        <f t="shared" si="1"/>
        <v>Residuum</v>
      </c>
      <c r="M94" s="75"/>
      <c r="N94" s="76"/>
      <c r="O94" s="77"/>
      <c r="P94" s="78"/>
      <c r="Q94" s="79"/>
      <c r="R94" s="80"/>
      <c r="S94" s="79"/>
      <c r="T94" s="78"/>
      <c r="U94" s="79"/>
      <c r="V94" s="78"/>
      <c r="W94" s="79"/>
    </row>
    <row r="95">
      <c r="A95" s="4"/>
      <c r="D95" s="68" t="str">
        <f>IFERROR(__xludf.DUMMYFUNCTION("""COMPUTED_VALUE"""),"Riding Animals (Advanced)")</f>
        <v>Riding Animals (Advanced)</v>
      </c>
      <c r="E95" s="69" t="str">
        <f>IFERROR(__xludf.DUMMYFUNCTION("""COMPUTED_VALUE"""),"Strat/Food")</f>
        <v>Strat/Food</v>
      </c>
      <c r="F95" s="70">
        <f>IFERROR(__xludf.DUMMYFUNCTION("""COMPUTED_VALUE"""),2.0)</f>
        <v>2</v>
      </c>
      <c r="G95" s="71"/>
      <c r="H95" s="72"/>
      <c r="I95" s="71"/>
      <c r="J95" s="73"/>
      <c r="K95" s="74">
        <f t="shared" si="3"/>
        <v>0</v>
      </c>
      <c r="L95" s="67" t="str">
        <f t="shared" si="1"/>
        <v>Riding Animals (Advanced)</v>
      </c>
      <c r="M95" s="75"/>
      <c r="N95" s="76"/>
      <c r="O95" s="77"/>
      <c r="P95" s="78"/>
      <c r="Q95" s="79"/>
      <c r="R95" s="80"/>
      <c r="S95" s="79"/>
      <c r="T95" s="78"/>
      <c r="U95" s="79"/>
      <c r="V95" s="78"/>
      <c r="W95" s="79"/>
    </row>
    <row r="96">
      <c r="A96" s="4"/>
      <c r="D96" s="68" t="str">
        <f>IFERROR(__xludf.DUMMYFUNCTION("""COMPUTED_VALUE"""),"Riding Animals (Basic)")</f>
        <v>Riding Animals (Basic)</v>
      </c>
      <c r="E96" s="69" t="str">
        <f>IFERROR(__xludf.DUMMYFUNCTION("""COMPUTED_VALUE"""),"Strat/Food")</f>
        <v>Strat/Food</v>
      </c>
      <c r="F96" s="70">
        <f>IFERROR(__xludf.DUMMYFUNCTION("""COMPUTED_VALUE"""),1.0)</f>
        <v>1</v>
      </c>
      <c r="G96" s="71"/>
      <c r="H96" s="72"/>
      <c r="I96" s="71"/>
      <c r="J96" s="73"/>
      <c r="K96" s="74">
        <f t="shared" si="3"/>
        <v>0</v>
      </c>
      <c r="L96" s="67" t="str">
        <f t="shared" si="1"/>
        <v>Riding Animals (Basic)</v>
      </c>
      <c r="M96" s="75"/>
      <c r="N96" s="76"/>
      <c r="O96" s="77"/>
      <c r="P96" s="78"/>
      <c r="Q96" s="79"/>
      <c r="R96" s="80"/>
      <c r="S96" s="79"/>
      <c r="T96" s="78"/>
      <c r="U96" s="79"/>
      <c r="V96" s="78"/>
      <c r="W96" s="79"/>
    </row>
    <row r="97">
      <c r="A97" s="4"/>
      <c r="D97" s="68" t="str">
        <f>IFERROR(__xludf.DUMMYFUNCTION("""COMPUTED_VALUE"""),"Salt")</f>
        <v>Salt</v>
      </c>
      <c r="E97" s="69" t="str">
        <f>IFERROR(__xludf.DUMMYFUNCTION("""COMPUTED_VALUE"""),"Lux")</f>
        <v>Lux</v>
      </c>
      <c r="F97" s="70">
        <f>IFERROR(__xludf.DUMMYFUNCTION("""COMPUTED_VALUE"""),2.0)</f>
        <v>2</v>
      </c>
      <c r="G97" s="71"/>
      <c r="H97" s="72"/>
      <c r="I97" s="71"/>
      <c r="J97" s="73"/>
      <c r="K97" s="74">
        <f t="shared" si="3"/>
        <v>0</v>
      </c>
      <c r="L97" s="67" t="str">
        <f t="shared" si="1"/>
        <v>Salt</v>
      </c>
      <c r="M97" s="75"/>
      <c r="N97" s="76"/>
      <c r="O97" s="77"/>
      <c r="P97" s="78"/>
      <c r="Q97" s="79"/>
      <c r="R97" s="80"/>
      <c r="S97" s="79"/>
      <c r="T97" s="78"/>
      <c r="U97" s="79"/>
      <c r="V97" s="78"/>
      <c r="W97" s="79"/>
    </row>
    <row r="98">
      <c r="A98" s="4"/>
      <c r="D98" s="68" t="str">
        <f>IFERROR(__xludf.DUMMYFUNCTION("""COMPUTED_VALUE"""),"Scrolls")</f>
        <v>Scrolls</v>
      </c>
      <c r="E98" s="69" t="str">
        <f>IFERROR(__xludf.DUMMYFUNCTION("""COMPUTED_VALUE"""),"Strat")</f>
        <v>Strat</v>
      </c>
      <c r="F98" s="70">
        <f>IFERROR(__xludf.DUMMYFUNCTION("""COMPUTED_VALUE"""),2.0)</f>
        <v>2</v>
      </c>
      <c r="G98" s="71"/>
      <c r="H98" s="72"/>
      <c r="I98" s="71"/>
      <c r="J98" s="73"/>
      <c r="K98" s="74">
        <f t="shared" si="3"/>
        <v>0</v>
      </c>
      <c r="L98" s="67" t="str">
        <f t="shared" si="1"/>
        <v>Scrolls</v>
      </c>
      <c r="M98" s="75"/>
      <c r="N98" s="76"/>
      <c r="O98" s="77"/>
      <c r="P98" s="78"/>
      <c r="Q98" s="79"/>
      <c r="R98" s="80"/>
      <c r="S98" s="79"/>
      <c r="T98" s="78"/>
      <c r="U98" s="79"/>
      <c r="V98" s="78"/>
      <c r="W98" s="79"/>
    </row>
    <row r="99">
      <c r="A99" s="3"/>
      <c r="D99" s="36" t="str">
        <f>IFERROR(__xludf.DUMMYFUNCTION("""COMPUTED_VALUE"""),"Seafood")</f>
        <v>Seafood</v>
      </c>
      <c r="E99" s="36" t="str">
        <f>IFERROR(__xludf.DUMMYFUNCTION("""COMPUTED_VALUE"""),"Food")</f>
        <v>Food</v>
      </c>
      <c r="F99" s="82">
        <f>IFERROR(__xludf.DUMMYFUNCTION("""COMPUTED_VALUE"""),1.0)</f>
        <v>1</v>
      </c>
      <c r="G99" s="83">
        <v>3.0</v>
      </c>
      <c r="H99" s="84"/>
      <c r="I99" s="83">
        <v>-3.0</v>
      </c>
      <c r="J99" s="85"/>
      <c r="K99" s="74">
        <f t="shared" si="3"/>
        <v>0</v>
      </c>
      <c r="L99" s="67" t="str">
        <f t="shared" si="1"/>
        <v>Seafood</v>
      </c>
      <c r="M99" s="75"/>
      <c r="N99" s="76"/>
      <c r="O99" s="77"/>
      <c r="P99" s="78"/>
      <c r="Q99" s="79"/>
      <c r="R99" s="80"/>
      <c r="S99" s="79"/>
      <c r="T99" s="78"/>
      <c r="U99" s="79"/>
      <c r="V99" s="78"/>
      <c r="W99" s="79"/>
    </row>
    <row r="100">
      <c r="A100" s="3"/>
      <c r="D100" s="36" t="str">
        <f>IFERROR(__xludf.DUMMYFUNCTION("""COMPUTED_VALUE"""),"Silk")</f>
        <v>Silk</v>
      </c>
      <c r="E100" s="36" t="str">
        <f>IFERROR(__xludf.DUMMYFUNCTION("""COMPUTED_VALUE"""),"Lux")</f>
        <v>Lux</v>
      </c>
      <c r="F100" s="82">
        <f>IFERROR(__xludf.DUMMYFUNCTION("""COMPUTED_VALUE"""),2.0)</f>
        <v>2</v>
      </c>
      <c r="G100" s="83"/>
      <c r="H100" s="86"/>
      <c r="I100" s="87"/>
      <c r="J100" s="85"/>
      <c r="K100" s="74">
        <f t="shared" si="3"/>
        <v>0</v>
      </c>
      <c r="L100" s="67" t="str">
        <f t="shared" si="1"/>
        <v>Silk</v>
      </c>
      <c r="M100" s="75"/>
      <c r="N100" s="76"/>
      <c r="O100" s="77"/>
      <c r="P100" s="78"/>
      <c r="Q100" s="79"/>
      <c r="R100" s="80"/>
      <c r="S100" s="79"/>
      <c r="T100" s="78"/>
      <c r="U100" s="79"/>
      <c r="V100" s="78"/>
      <c r="W100" s="79"/>
    </row>
    <row r="101">
      <c r="A101" s="4"/>
      <c r="D101" s="68" t="str">
        <f>IFERROR(__xludf.DUMMYFUNCTION("""COMPUTED_VALUE"""),"Silver")</f>
        <v>Silver</v>
      </c>
      <c r="E101" s="69" t="str">
        <f>IFERROR(__xludf.DUMMYFUNCTION("""COMPUTED_VALUE"""),"Lux")</f>
        <v>Lux</v>
      </c>
      <c r="F101" s="70">
        <f>IFERROR(__xludf.DUMMYFUNCTION("""COMPUTED_VALUE"""),2.0)</f>
        <v>2</v>
      </c>
      <c r="G101" s="71"/>
      <c r="H101" s="72"/>
      <c r="I101" s="71"/>
      <c r="J101" s="73"/>
      <c r="K101" s="74">
        <f t="shared" si="3"/>
        <v>0</v>
      </c>
      <c r="L101" s="67" t="str">
        <f t="shared" si="1"/>
        <v>Silver</v>
      </c>
      <c r="M101" s="75"/>
      <c r="N101" s="76"/>
      <c r="O101" s="77"/>
      <c r="P101" s="78"/>
      <c r="Q101" s="79"/>
      <c r="R101" s="80"/>
      <c r="S101" s="79"/>
      <c r="T101" s="78"/>
      <c r="U101" s="79"/>
      <c r="V101" s="78"/>
      <c r="W101" s="79"/>
    </row>
    <row r="102">
      <c r="A102" s="4"/>
      <c r="D102" s="68" t="str">
        <f>IFERROR(__xludf.DUMMYFUNCTION("""COMPUTED_VALUE"""),"Slaves")</f>
        <v>Slaves</v>
      </c>
      <c r="E102" s="69" t="str">
        <f>IFERROR(__xludf.DUMMYFUNCTION("""COMPUTED_VALUE"""),"Lux/Strat")</f>
        <v>Lux/Strat</v>
      </c>
      <c r="F102" s="70">
        <f>IFERROR(__xludf.DUMMYFUNCTION("""COMPUTED_VALUE"""),1.0)</f>
        <v>1</v>
      </c>
      <c r="G102" s="71"/>
      <c r="H102" s="72"/>
      <c r="I102" s="71"/>
      <c r="J102" s="73"/>
      <c r="K102" s="74">
        <f t="shared" si="3"/>
        <v>0</v>
      </c>
      <c r="L102" s="67" t="str">
        <f t="shared" si="1"/>
        <v>Slaves</v>
      </c>
      <c r="M102" s="75"/>
      <c r="N102" s="76"/>
      <c r="O102" s="77"/>
      <c r="P102" s="78"/>
      <c r="Q102" s="79"/>
      <c r="R102" s="80"/>
      <c r="S102" s="79"/>
      <c r="T102" s="78"/>
      <c r="U102" s="79"/>
      <c r="V102" s="78"/>
      <c r="W102" s="79"/>
    </row>
    <row r="103">
      <c r="A103" s="4"/>
      <c r="D103" s="68" t="str">
        <f>IFERROR(__xludf.DUMMYFUNCTION("""COMPUTED_VALUE"""),"Spices")</f>
        <v>Spices</v>
      </c>
      <c r="E103" s="69" t="str">
        <f>IFERROR(__xludf.DUMMYFUNCTION("""COMPUTED_VALUE"""),"Lux")</f>
        <v>Lux</v>
      </c>
      <c r="F103" s="70">
        <f>IFERROR(__xludf.DUMMYFUNCTION("""COMPUTED_VALUE"""),2.0)</f>
        <v>2</v>
      </c>
      <c r="G103" s="71">
        <v>1.0</v>
      </c>
      <c r="H103" s="72">
        <v>1.0</v>
      </c>
      <c r="I103" s="71"/>
      <c r="J103" s="73"/>
      <c r="K103" s="74">
        <f t="shared" si="3"/>
        <v>2</v>
      </c>
      <c r="L103" s="67" t="str">
        <f t="shared" si="1"/>
        <v>Spices</v>
      </c>
      <c r="M103" s="75"/>
      <c r="N103" s="76"/>
      <c r="O103" s="77"/>
      <c r="P103" s="78"/>
      <c r="Q103" s="79"/>
      <c r="R103" s="80"/>
      <c r="S103" s="79"/>
      <c r="T103" s="78"/>
      <c r="U103" s="79"/>
      <c r="V103" s="78"/>
      <c r="W103" s="79"/>
    </row>
    <row r="104">
      <c r="A104" s="4"/>
      <c r="D104" s="68" t="str">
        <f>IFERROR(__xludf.DUMMYFUNCTION("""COMPUTED_VALUE"""),"Spirits")</f>
        <v>Spirits</v>
      </c>
      <c r="E104" s="69" t="str">
        <f>IFERROR(__xludf.DUMMYFUNCTION("""COMPUTED_VALUE"""),"Lux")</f>
        <v>Lux</v>
      </c>
      <c r="F104" s="70">
        <f>IFERROR(__xludf.DUMMYFUNCTION("""COMPUTED_VALUE"""),2.0)</f>
        <v>2</v>
      </c>
      <c r="G104" s="71"/>
      <c r="H104" s="72">
        <v>1.0</v>
      </c>
      <c r="I104" s="71"/>
      <c r="J104" s="73"/>
      <c r="K104" s="74">
        <f t="shared" si="3"/>
        <v>1</v>
      </c>
      <c r="L104" s="67" t="str">
        <f t="shared" si="1"/>
        <v>Spirits</v>
      </c>
      <c r="M104" s="75"/>
      <c r="N104" s="76"/>
      <c r="O104" s="77"/>
      <c r="P104" s="78"/>
      <c r="Q104" s="79"/>
      <c r="R104" s="80"/>
      <c r="S104" s="79"/>
      <c r="T104" s="78"/>
      <c r="U104" s="79"/>
      <c r="V104" s="78"/>
      <c r="W104" s="79"/>
    </row>
    <row r="105">
      <c r="A105" s="4"/>
      <c r="D105" s="68" t="str">
        <f>IFERROR(__xludf.DUMMYFUNCTION("""COMPUTED_VALUE"""),"Starwood")</f>
        <v>Starwood</v>
      </c>
      <c r="E105" s="69" t="str">
        <f>IFERROR(__xludf.DUMMYFUNCTION("""COMPUTED_VALUE"""),"Strat")</f>
        <v>Strat</v>
      </c>
      <c r="F105" s="70">
        <f>IFERROR(__xludf.DUMMYFUNCTION("""COMPUTED_VALUE"""),3.0)</f>
        <v>3</v>
      </c>
      <c r="G105" s="71"/>
      <c r="H105" s="72"/>
      <c r="I105" s="71"/>
      <c r="J105" s="73"/>
      <c r="K105" s="74">
        <f t="shared" si="3"/>
        <v>0</v>
      </c>
      <c r="L105" s="67" t="str">
        <f t="shared" si="1"/>
        <v>Starwood</v>
      </c>
      <c r="M105" s="75"/>
      <c r="N105" s="76"/>
      <c r="O105" s="77"/>
      <c r="P105" s="78"/>
      <c r="Q105" s="79"/>
      <c r="R105" s="80"/>
      <c r="S105" s="79"/>
      <c r="T105" s="78"/>
      <c r="U105" s="79"/>
      <c r="V105" s="78"/>
      <c r="W105" s="79"/>
    </row>
    <row r="106">
      <c r="A106" s="4"/>
      <c r="D106" s="68" t="str">
        <f>IFERROR(__xludf.DUMMYFUNCTION("""COMPUTED_VALUE"""),"Steel")</f>
        <v>Steel</v>
      </c>
      <c r="E106" s="69" t="str">
        <f>IFERROR(__xludf.DUMMYFUNCTION("""COMPUTED_VALUE"""),"Strat")</f>
        <v>Strat</v>
      </c>
      <c r="F106" s="70">
        <f>IFERROR(__xludf.DUMMYFUNCTION("""COMPUTED_VALUE"""),2.0)</f>
        <v>2</v>
      </c>
      <c r="G106" s="71"/>
      <c r="H106" s="72"/>
      <c r="I106" s="71"/>
      <c r="J106" s="73"/>
      <c r="K106" s="74">
        <f t="shared" si="3"/>
        <v>0</v>
      </c>
      <c r="L106" s="67" t="str">
        <f t="shared" si="1"/>
        <v>Steel</v>
      </c>
      <c r="M106" s="75"/>
      <c r="N106" s="76"/>
      <c r="O106" s="77"/>
      <c r="P106" s="78"/>
      <c r="Q106" s="79"/>
      <c r="R106" s="80"/>
      <c r="S106" s="79"/>
      <c r="T106" s="78"/>
      <c r="U106" s="79"/>
      <c r="V106" s="78"/>
      <c r="W106" s="79"/>
    </row>
    <row r="107">
      <c r="A107" s="4"/>
      <c r="D107" s="68" t="str">
        <f>IFERROR(__xludf.DUMMYFUNCTION("""COMPUTED_VALUE"""),"Stone")</f>
        <v>Stone</v>
      </c>
      <c r="E107" s="69" t="str">
        <f>IFERROR(__xludf.DUMMYFUNCTION("""COMPUTED_VALUE"""),"None")</f>
        <v>None</v>
      </c>
      <c r="F107" s="70">
        <f>IFERROR(__xludf.DUMMYFUNCTION("""COMPUTED_VALUE"""),0.0)</f>
        <v>0</v>
      </c>
      <c r="G107" s="71"/>
      <c r="H107" s="72"/>
      <c r="I107" s="71"/>
      <c r="J107" s="73"/>
      <c r="K107" s="74">
        <f t="shared" si="3"/>
        <v>0</v>
      </c>
      <c r="L107" s="67" t="str">
        <f t="shared" si="1"/>
        <v>Stone</v>
      </c>
      <c r="M107" s="75"/>
      <c r="N107" s="76"/>
      <c r="O107" s="77"/>
      <c r="P107" s="78"/>
      <c r="Q107" s="79"/>
      <c r="R107" s="80"/>
      <c r="S107" s="79"/>
      <c r="T107" s="78"/>
      <c r="U107" s="79"/>
      <c r="V107" s="78"/>
      <c r="W107" s="79"/>
    </row>
    <row r="108">
      <c r="A108" s="4"/>
      <c r="D108" s="68" t="str">
        <f>IFERROR(__xludf.DUMMYFUNCTION("""COMPUTED_VALUE"""),"Sugar")</f>
        <v>Sugar</v>
      </c>
      <c r="E108" s="69" t="str">
        <f>IFERROR(__xludf.DUMMYFUNCTION("""COMPUTED_VALUE"""),"Lux")</f>
        <v>Lux</v>
      </c>
      <c r="F108" s="70">
        <f>IFERROR(__xludf.DUMMYFUNCTION("""COMPUTED_VALUE"""),2.0)</f>
        <v>2</v>
      </c>
      <c r="G108" s="71"/>
      <c r="H108" s="72"/>
      <c r="I108" s="71"/>
      <c r="J108" s="73"/>
      <c r="K108" s="74">
        <f t="shared" si="3"/>
        <v>0</v>
      </c>
      <c r="L108" s="67" t="str">
        <f t="shared" si="1"/>
        <v>Sugar</v>
      </c>
      <c r="M108" s="75"/>
      <c r="N108" s="76"/>
      <c r="O108" s="77"/>
      <c r="P108" s="78"/>
      <c r="Q108" s="79"/>
      <c r="R108" s="80"/>
      <c r="S108" s="79"/>
      <c r="T108" s="78"/>
      <c r="U108" s="79"/>
      <c r="V108" s="78"/>
      <c r="W108" s="79"/>
    </row>
    <row r="109">
      <c r="A109" s="4"/>
      <c r="D109" s="68" t="str">
        <f>IFERROR(__xludf.DUMMYFUNCTION("""COMPUTED_VALUE"""),"Textiles")</f>
        <v>Textiles</v>
      </c>
      <c r="E109" s="69" t="str">
        <f>IFERROR(__xludf.DUMMYFUNCTION("""COMPUTED_VALUE"""),"Lux")</f>
        <v>Lux</v>
      </c>
      <c r="F109" s="70">
        <f>IFERROR(__xludf.DUMMYFUNCTION("""COMPUTED_VALUE"""),1.0)</f>
        <v>1</v>
      </c>
      <c r="G109" s="71"/>
      <c r="H109" s="72"/>
      <c r="I109" s="71"/>
      <c r="J109" s="73"/>
      <c r="K109" s="74">
        <f t="shared" si="3"/>
        <v>0</v>
      </c>
      <c r="L109" s="67" t="str">
        <f t="shared" si="1"/>
        <v>Textiles</v>
      </c>
      <c r="M109" s="75"/>
      <c r="N109" s="76"/>
      <c r="O109" s="77"/>
      <c r="P109" s="78"/>
      <c r="Q109" s="79"/>
      <c r="R109" s="80"/>
      <c r="S109" s="79"/>
      <c r="T109" s="78"/>
      <c r="U109" s="79"/>
      <c r="V109" s="78"/>
      <c r="W109" s="79"/>
    </row>
    <row r="110">
      <c r="A110" s="4"/>
      <c r="D110" s="68" t="str">
        <f>IFERROR(__xludf.DUMMYFUNCTION("""COMPUTED_VALUE"""),"Tin")</f>
        <v>Tin</v>
      </c>
      <c r="E110" s="69" t="str">
        <f>IFERROR(__xludf.DUMMYFUNCTION("""COMPUTED_VALUE"""),"Strat")</f>
        <v>Strat</v>
      </c>
      <c r="F110" s="70">
        <f>IFERROR(__xludf.DUMMYFUNCTION("""COMPUTED_VALUE"""),1.0)</f>
        <v>1</v>
      </c>
      <c r="G110" s="71"/>
      <c r="H110" s="72"/>
      <c r="I110" s="71"/>
      <c r="J110" s="73"/>
      <c r="K110" s="74">
        <f t="shared" si="3"/>
        <v>0</v>
      </c>
      <c r="L110" s="67" t="str">
        <f t="shared" si="1"/>
        <v>Tin</v>
      </c>
      <c r="M110" s="75"/>
      <c r="N110" s="76"/>
      <c r="O110" s="77"/>
      <c r="P110" s="78"/>
      <c r="Q110" s="79"/>
      <c r="R110" s="80"/>
      <c r="S110" s="79"/>
      <c r="T110" s="78"/>
      <c r="U110" s="79"/>
      <c r="V110" s="78"/>
      <c r="W110" s="79"/>
    </row>
    <row r="111">
      <c r="A111" s="4"/>
      <c r="D111" s="68" t="str">
        <f>IFERROR(__xludf.DUMMYFUNCTION("""COMPUTED_VALUE"""),"Tobacco")</f>
        <v>Tobacco</v>
      </c>
      <c r="E111" s="69" t="str">
        <f>IFERROR(__xludf.DUMMYFUNCTION("""COMPUTED_VALUE"""),"Lux")</f>
        <v>Lux</v>
      </c>
      <c r="F111" s="70">
        <f>IFERROR(__xludf.DUMMYFUNCTION("""COMPUTED_VALUE"""),1.0)</f>
        <v>1</v>
      </c>
      <c r="G111" s="71"/>
      <c r="H111" s="72"/>
      <c r="I111" s="71"/>
      <c r="J111" s="73"/>
      <c r="K111" s="74">
        <f t="shared" si="3"/>
        <v>0</v>
      </c>
      <c r="L111" s="67" t="str">
        <f t="shared" si="1"/>
        <v>Tobacco</v>
      </c>
      <c r="M111" s="75"/>
      <c r="N111" s="76"/>
      <c r="O111" s="77"/>
      <c r="P111" s="78"/>
      <c r="Q111" s="79"/>
      <c r="R111" s="80"/>
      <c r="S111" s="79"/>
      <c r="T111" s="78"/>
      <c r="U111" s="79"/>
      <c r="V111" s="78"/>
      <c r="W111" s="79"/>
    </row>
    <row r="112">
      <c r="A112" s="4"/>
      <c r="D112" s="68" t="str">
        <f>IFERROR(__xludf.DUMMYFUNCTION("""COMPUTED_VALUE"""),"Truffles")</f>
        <v>Truffles</v>
      </c>
      <c r="E112" s="69" t="str">
        <f>IFERROR(__xludf.DUMMYFUNCTION("""COMPUTED_VALUE"""),"Lux")</f>
        <v>Lux</v>
      </c>
      <c r="F112" s="70">
        <f>IFERROR(__xludf.DUMMYFUNCTION("""COMPUTED_VALUE"""),3.0)</f>
        <v>3</v>
      </c>
      <c r="G112" s="71"/>
      <c r="H112" s="72"/>
      <c r="I112" s="71"/>
      <c r="J112" s="73"/>
      <c r="K112" s="74">
        <f t="shared" si="3"/>
        <v>0</v>
      </c>
      <c r="L112" s="67" t="str">
        <f t="shared" si="1"/>
        <v>Truffles</v>
      </c>
      <c r="M112" s="75"/>
      <c r="N112" s="76"/>
      <c r="O112" s="77"/>
      <c r="P112" s="78"/>
      <c r="Q112" s="79"/>
      <c r="R112" s="80"/>
      <c r="S112" s="79"/>
      <c r="T112" s="78"/>
      <c r="U112" s="79"/>
      <c r="V112" s="78"/>
      <c r="W112" s="79"/>
    </row>
    <row r="113">
      <c r="A113" s="4"/>
      <c r="D113" s="68" t="str">
        <f>IFERROR(__xludf.DUMMYFUNCTION("""COMPUTED_VALUE"""),"Waterwood")</f>
        <v>Waterwood</v>
      </c>
      <c r="E113" s="69" t="str">
        <f>IFERROR(__xludf.DUMMYFUNCTION("""COMPUTED_VALUE"""),"Lux/Strat")</f>
        <v>Lux/Strat</v>
      </c>
      <c r="F113" s="70">
        <f>IFERROR(__xludf.DUMMYFUNCTION("""COMPUTED_VALUE"""),2.0)</f>
        <v>2</v>
      </c>
      <c r="G113" s="71"/>
      <c r="H113" s="72"/>
      <c r="I113" s="71"/>
      <c r="J113" s="73"/>
      <c r="K113" s="74">
        <f t="shared" si="3"/>
        <v>0</v>
      </c>
      <c r="L113" s="67" t="str">
        <f t="shared" si="1"/>
        <v>Waterwood</v>
      </c>
      <c r="M113" s="75"/>
      <c r="N113" s="76"/>
      <c r="O113" s="77"/>
      <c r="P113" s="78"/>
      <c r="Q113" s="79"/>
      <c r="R113" s="80"/>
      <c r="S113" s="79"/>
      <c r="T113" s="78"/>
      <c r="U113" s="79"/>
      <c r="V113" s="78"/>
      <c r="W113" s="79"/>
    </row>
    <row r="114">
      <c r="A114" s="4"/>
      <c r="D114" s="68" t="str">
        <f>IFERROR(__xludf.DUMMYFUNCTION("""COMPUTED_VALUE"""),"Wax")</f>
        <v>Wax</v>
      </c>
      <c r="E114" s="69" t="str">
        <f>IFERROR(__xludf.DUMMYFUNCTION("""COMPUTED_VALUE"""),"Lux")</f>
        <v>Lux</v>
      </c>
      <c r="F114" s="70">
        <f>IFERROR(__xludf.DUMMYFUNCTION("""COMPUTED_VALUE"""),1.0)</f>
        <v>1</v>
      </c>
      <c r="G114" s="71"/>
      <c r="H114" s="72">
        <v>0.0</v>
      </c>
      <c r="I114" s="71"/>
      <c r="J114" s="73"/>
      <c r="K114" s="74">
        <f t="shared" si="3"/>
        <v>0</v>
      </c>
      <c r="L114" s="67" t="str">
        <f t="shared" si="1"/>
        <v>Wax</v>
      </c>
      <c r="M114" s="75"/>
      <c r="N114" s="76"/>
      <c r="O114" s="77"/>
      <c r="P114" s="78"/>
      <c r="Q114" s="79"/>
      <c r="R114" s="80"/>
      <c r="S114" s="79"/>
      <c r="T114" s="78"/>
      <c r="U114" s="79"/>
      <c r="V114" s="78"/>
      <c r="W114" s="79"/>
    </row>
    <row r="115">
      <c r="A115" s="4"/>
      <c r="D115" s="88" t="str">
        <f>IFERROR(__xludf.DUMMYFUNCTION("""COMPUTED_VALUE"""),"Whales")</f>
        <v>Whales</v>
      </c>
      <c r="E115" s="89" t="str">
        <f>IFERROR(__xludf.DUMMYFUNCTION("""COMPUTED_VALUE"""),"Lux/Food")</f>
        <v>Lux/Food</v>
      </c>
      <c r="F115" s="90">
        <f>IFERROR(__xludf.DUMMYFUNCTION("""COMPUTED_VALUE"""),3.0)</f>
        <v>3</v>
      </c>
      <c r="G115" s="91"/>
      <c r="H115" s="92"/>
      <c r="I115" s="91"/>
      <c r="J115" s="93"/>
      <c r="K115" s="94">
        <f t="shared" si="3"/>
        <v>0</v>
      </c>
      <c r="L115" s="67" t="str">
        <f t="shared" si="1"/>
        <v>Whales</v>
      </c>
      <c r="M115" s="75"/>
      <c r="N115" s="76"/>
      <c r="O115" s="77"/>
      <c r="P115" s="78"/>
      <c r="Q115" s="79"/>
      <c r="R115" s="80"/>
      <c r="S115" s="79"/>
      <c r="T115" s="78"/>
      <c r="U115" s="79"/>
      <c r="V115" s="78"/>
      <c r="W115" s="79"/>
    </row>
    <row r="116">
      <c r="D116" s="67" t="str">
        <f>IFERROR(__xludf.DUMMYFUNCTION("""COMPUTED_VALUE"""),"Whipwood")</f>
        <v>Whipwood</v>
      </c>
      <c r="E116" s="67" t="str">
        <f>IFERROR(__xludf.DUMMYFUNCTION("""COMPUTED_VALUE"""),"Strat")</f>
        <v>Strat</v>
      </c>
      <c r="F116" s="95">
        <f>IFERROR(__xludf.DUMMYFUNCTION("""COMPUTED_VALUE"""),1.0)</f>
        <v>1</v>
      </c>
      <c r="G116" s="87"/>
      <c r="H116" s="84"/>
      <c r="I116" s="87"/>
      <c r="J116" s="85"/>
      <c r="K116" s="94">
        <f t="shared" si="3"/>
        <v>0</v>
      </c>
      <c r="L116" s="67" t="str">
        <f t="shared" si="1"/>
        <v>Whipwood</v>
      </c>
      <c r="M116" s="75"/>
      <c r="N116" s="76"/>
      <c r="O116" s="77"/>
      <c r="P116" s="78"/>
      <c r="Q116" s="79"/>
      <c r="R116" s="78"/>
      <c r="S116" s="79"/>
      <c r="T116" s="78"/>
      <c r="U116" s="79"/>
      <c r="V116" s="78"/>
      <c r="W116" s="79"/>
    </row>
    <row r="117">
      <c r="D117" s="67" t="str">
        <f>IFERROR(__xludf.DUMMYFUNCTION("""COMPUTED_VALUE"""),"Wine")</f>
        <v>Wine</v>
      </c>
      <c r="E117" s="67" t="str">
        <f>IFERROR(__xludf.DUMMYFUNCTION("""COMPUTED_VALUE"""),"Lux")</f>
        <v>Lux</v>
      </c>
      <c r="F117" s="95">
        <f>IFERROR(__xludf.DUMMYFUNCTION("""COMPUTED_VALUE"""),2.0)</f>
        <v>2</v>
      </c>
      <c r="G117" s="87"/>
      <c r="H117" s="86"/>
      <c r="I117" s="87"/>
      <c r="J117" s="85"/>
      <c r="K117" s="94">
        <f t="shared" si="3"/>
        <v>0</v>
      </c>
      <c r="L117" s="67" t="str">
        <f t="shared" si="1"/>
        <v>Wine</v>
      </c>
      <c r="M117" s="75"/>
      <c r="N117" s="76"/>
      <c r="O117" s="77"/>
      <c r="P117" s="78"/>
      <c r="Q117" s="96"/>
      <c r="R117" s="42"/>
      <c r="S117" s="97"/>
      <c r="T117" s="78"/>
      <c r="U117" s="79"/>
      <c r="V117" s="78"/>
      <c r="W117" s="79"/>
    </row>
    <row r="118">
      <c r="B118" s="98"/>
      <c r="C118" s="99"/>
      <c r="D118" s="100" t="str">
        <f>IFERROR(__xludf.DUMMYFUNCTION("""COMPUTED_VALUE"""),"World Tree")</f>
        <v>World Tree</v>
      </c>
      <c r="E118" s="101" t="str">
        <f>IFERROR(__xludf.DUMMYFUNCTION("""COMPUTED_VALUE"""),"Food/Lux/Strat")</f>
        <v>Food/Lux/Strat</v>
      </c>
      <c r="F118" s="102">
        <f>IFERROR(__xludf.DUMMYFUNCTION("""COMPUTED_VALUE"""),2.0)</f>
        <v>2</v>
      </c>
      <c r="G118" s="103"/>
      <c r="H118" s="104"/>
      <c r="I118" s="103"/>
      <c r="J118" s="105"/>
      <c r="K118" s="94">
        <f t="shared" si="3"/>
        <v>0</v>
      </c>
      <c r="L118" s="67" t="str">
        <f t="shared" si="1"/>
        <v>World Tree</v>
      </c>
      <c r="M118" s="106"/>
      <c r="N118" s="107"/>
      <c r="O118" s="77"/>
      <c r="P118" s="78"/>
      <c r="Q118" s="79"/>
      <c r="R118" s="78"/>
      <c r="S118" s="79"/>
      <c r="T118" s="42"/>
      <c r="U118" s="96"/>
      <c r="V118" s="42"/>
      <c r="W118" s="79"/>
    </row>
    <row r="119">
      <c r="B119" s="98"/>
      <c r="C119" s="99"/>
      <c r="D119" s="100" t="str">
        <f>IFERROR(__xludf.DUMMYFUNCTION("""COMPUTED_VALUE"""),"Darkwood Bows")</f>
        <v>Darkwood Bows</v>
      </c>
      <c r="E119" s="101" t="str">
        <f>IFERROR(__xludf.DUMMYFUNCTION("""COMPUTED_VALUE"""),"Strat")</f>
        <v>Strat</v>
      </c>
      <c r="F119" s="102">
        <f>IFERROR(__xludf.DUMMYFUNCTION("""COMPUTED_VALUE"""),2.0)</f>
        <v>2</v>
      </c>
      <c r="G119" s="103"/>
      <c r="H119" s="104"/>
      <c r="I119" s="103"/>
      <c r="J119" s="105"/>
      <c r="K119" s="94">
        <f t="shared" si="3"/>
        <v>0</v>
      </c>
      <c r="L119" s="67" t="str">
        <f t="shared" si="1"/>
        <v>Darkwood Bows</v>
      </c>
      <c r="M119" s="106"/>
      <c r="N119" s="107"/>
      <c r="O119" s="77"/>
      <c r="P119" s="78"/>
      <c r="Q119" s="79"/>
      <c r="R119" s="78"/>
      <c r="S119" s="79"/>
      <c r="T119" s="42"/>
      <c r="U119" s="96"/>
      <c r="V119" s="42"/>
      <c r="W119" s="79"/>
    </row>
    <row r="120">
      <c r="B120" s="98"/>
      <c r="C120" s="99"/>
      <c r="D120" s="100" t="str">
        <f>IFERROR(__xludf.DUMMYFUNCTION("""COMPUTED_VALUE"""),"Purification Substance")</f>
        <v>Purification Substance</v>
      </c>
      <c r="E120" s="101" t="str">
        <f>IFERROR(__xludf.DUMMYFUNCTION("""COMPUTED_VALUE"""),"Strat")</f>
        <v>Strat</v>
      </c>
      <c r="F120" s="102">
        <f>IFERROR(__xludf.DUMMYFUNCTION("""COMPUTED_VALUE"""),2.0)</f>
        <v>2</v>
      </c>
      <c r="G120" s="103"/>
      <c r="H120" s="104"/>
      <c r="I120" s="103"/>
      <c r="J120" s="105"/>
      <c r="K120" s="94">
        <f t="shared" si="3"/>
        <v>0</v>
      </c>
      <c r="L120" s="67" t="str">
        <f t="shared" si="1"/>
        <v>Purification Substance</v>
      </c>
      <c r="M120" s="106"/>
      <c r="N120" s="107"/>
      <c r="O120" s="77"/>
      <c r="P120" s="78"/>
      <c r="Q120" s="79"/>
      <c r="R120" s="78"/>
      <c r="S120" s="79"/>
      <c r="T120" s="42"/>
      <c r="U120" s="96"/>
      <c r="V120" s="42"/>
      <c r="W120" s="79"/>
    </row>
    <row r="121">
      <c r="B121" s="98"/>
      <c r="C121" s="99"/>
      <c r="D121" s="100" t="str">
        <f>IFERROR(__xludf.DUMMYFUNCTION("""COMPUTED_VALUE"""),"Magma Linite")</f>
        <v>Magma Linite</v>
      </c>
      <c r="E121" s="101" t="str">
        <f>IFERROR(__xludf.DUMMYFUNCTION("""COMPUTED_VALUE"""),"Lux")</f>
        <v>Lux</v>
      </c>
      <c r="F121" s="102">
        <f>IFERROR(__xludf.DUMMYFUNCTION("""COMPUTED_VALUE"""),3.0)</f>
        <v>3</v>
      </c>
      <c r="G121" s="103"/>
      <c r="H121" s="104"/>
      <c r="I121" s="103"/>
      <c r="J121" s="105"/>
      <c r="K121" s="94">
        <f t="shared" si="3"/>
        <v>0</v>
      </c>
      <c r="L121" s="67" t="str">
        <f t="shared" si="1"/>
        <v>Magma Linite</v>
      </c>
      <c r="M121" s="106"/>
      <c r="N121" s="107"/>
      <c r="O121" s="77"/>
      <c r="P121" s="78"/>
      <c r="Q121" s="79"/>
      <c r="R121" s="78"/>
      <c r="S121" s="79"/>
      <c r="T121" s="42"/>
      <c r="U121" s="96"/>
      <c r="V121" s="42"/>
      <c r="W121" s="79"/>
    </row>
    <row r="122">
      <c r="B122" s="98"/>
      <c r="C122" s="99"/>
      <c r="D122" s="100" t="str">
        <f>IFERROR(__xludf.DUMMYFUNCTION("""COMPUTED_VALUE"""),"Elite Slaves")</f>
        <v>Elite Slaves</v>
      </c>
      <c r="E122" s="101" t="str">
        <f>IFERROR(__xludf.DUMMYFUNCTION("""COMPUTED_VALUE"""),"Lux/Strat")</f>
        <v>Lux/Strat</v>
      </c>
      <c r="F122" s="102">
        <f>IFERROR(__xludf.DUMMYFUNCTION("""COMPUTED_VALUE"""),2.0)</f>
        <v>2</v>
      </c>
      <c r="G122" s="103"/>
      <c r="H122" s="104"/>
      <c r="I122" s="103"/>
      <c r="J122" s="105"/>
      <c r="K122" s="94">
        <f t="shared" si="3"/>
        <v>0</v>
      </c>
      <c r="L122" s="67" t="str">
        <f t="shared" si="1"/>
        <v>Elite Slaves</v>
      </c>
      <c r="M122" s="106"/>
      <c r="N122" s="107"/>
      <c r="O122" s="77"/>
      <c r="P122" s="78"/>
      <c r="Q122" s="79"/>
      <c r="R122" s="78"/>
      <c r="S122" s="79"/>
      <c r="T122" s="42"/>
      <c r="U122" s="96"/>
      <c r="V122" s="42"/>
      <c r="W122" s="79"/>
    </row>
    <row r="123">
      <c r="B123" s="98"/>
      <c r="C123" s="99"/>
      <c r="D123" s="100" t="str">
        <f>IFERROR(__xludf.DUMMYFUNCTION("""COMPUTED_VALUE"""),"Refined Residuum")</f>
        <v>Refined Residuum</v>
      </c>
      <c r="E123" s="101" t="str">
        <f>IFERROR(__xludf.DUMMYFUNCTION("""COMPUTED_VALUE"""),"Lux")</f>
        <v>Lux</v>
      </c>
      <c r="F123" s="102">
        <f>IFERROR(__xludf.DUMMYFUNCTION("""COMPUTED_VALUE"""),3.0)</f>
        <v>3</v>
      </c>
      <c r="G123" s="103"/>
      <c r="H123" s="104"/>
      <c r="I123" s="103"/>
      <c r="J123" s="105"/>
      <c r="K123" s="74">
        <f t="shared" si="3"/>
        <v>0</v>
      </c>
      <c r="L123" s="67" t="str">
        <f t="shared" si="1"/>
        <v>Refined Residuum</v>
      </c>
      <c r="M123" s="106"/>
      <c r="N123" s="107"/>
      <c r="O123" s="77"/>
      <c r="P123" s="78"/>
      <c r="Q123" s="79"/>
      <c r="R123" s="78"/>
      <c r="S123" s="79"/>
      <c r="T123" s="42"/>
      <c r="U123" s="96"/>
      <c r="V123" s="42"/>
      <c r="W123" s="79"/>
    </row>
    <row r="124">
      <c r="B124" s="98"/>
      <c r="C124" s="99"/>
      <c r="D124" s="100" t="str">
        <f>IFERROR(__xludf.DUMMYFUNCTION("""COMPUTED_VALUE"""),"Wishes/Miracles")</f>
        <v>Wishes/Miracles</v>
      </c>
      <c r="E124" s="101" t="str">
        <f>IFERROR(__xludf.DUMMYFUNCTION("""COMPUTED_VALUE"""),"Lux/Strat")</f>
        <v>Lux/Strat</v>
      </c>
      <c r="F124" s="102">
        <f>IFERROR(__xludf.DUMMYFUNCTION("""COMPUTED_VALUE"""),3.0)</f>
        <v>3</v>
      </c>
      <c r="G124" s="103"/>
      <c r="H124" s="104"/>
      <c r="I124" s="103"/>
      <c r="J124" s="105"/>
      <c r="K124" s="74">
        <f t="shared" si="3"/>
        <v>0</v>
      </c>
      <c r="L124" s="67" t="str">
        <f t="shared" si="1"/>
        <v>Wishes/Miracles</v>
      </c>
      <c r="M124" s="106"/>
      <c r="N124" s="107"/>
      <c r="O124" s="77"/>
      <c r="P124" s="78"/>
      <c r="Q124" s="79"/>
      <c r="R124" s="78"/>
      <c r="S124" s="79"/>
      <c r="T124" s="42"/>
      <c r="U124" s="96"/>
      <c r="V124" s="42"/>
      <c r="W124" s="79"/>
    </row>
    <row r="125">
      <c r="B125" s="98"/>
      <c r="C125" s="99"/>
      <c r="D125" s="100" t="str">
        <f>IFERROR(__xludf.DUMMYFUNCTION("""COMPUTED_VALUE"""),"Glacial Linite")</f>
        <v>Glacial Linite</v>
      </c>
      <c r="E125" s="101" t="str">
        <f>IFERROR(__xludf.DUMMYFUNCTION("""COMPUTED_VALUE"""),"Lux")</f>
        <v>Lux</v>
      </c>
      <c r="F125" s="102">
        <f>IFERROR(__xludf.DUMMYFUNCTION("""COMPUTED_VALUE"""),3.0)</f>
        <v>3</v>
      </c>
      <c r="G125" s="103"/>
      <c r="H125" s="104"/>
      <c r="I125" s="103"/>
      <c r="J125" s="105"/>
      <c r="K125" s="74">
        <f t="shared" si="3"/>
        <v>0</v>
      </c>
      <c r="L125" s="67" t="str">
        <f t="shared" si="1"/>
        <v>Glacial Linite</v>
      </c>
      <c r="M125" s="106"/>
      <c r="N125" s="107"/>
      <c r="O125" s="77"/>
      <c r="P125" s="78"/>
      <c r="Q125" s="79"/>
      <c r="R125" s="78"/>
      <c r="S125" s="79"/>
      <c r="T125" s="42"/>
      <c r="U125" s="96"/>
      <c r="V125" s="42"/>
      <c r="W125" s="79"/>
    </row>
    <row r="126">
      <c r="B126" s="98"/>
      <c r="C126" s="99"/>
      <c r="D126" s="100" t="str">
        <f>IFERROR(__xludf.DUMMYFUNCTION("""COMPUTED_VALUE"""),"Incense of Transcendence")</f>
        <v>Incense of Transcendence</v>
      </c>
      <c r="E126" s="101" t="str">
        <f>IFERROR(__xludf.DUMMYFUNCTION("""COMPUTED_VALUE"""),"strat")</f>
        <v>strat</v>
      </c>
      <c r="F126" s="102">
        <f>IFERROR(__xludf.DUMMYFUNCTION("""COMPUTED_VALUE"""),3.0)</f>
        <v>3</v>
      </c>
      <c r="G126" s="103"/>
      <c r="H126" s="104"/>
      <c r="I126" s="103"/>
      <c r="J126" s="105"/>
      <c r="K126" s="74">
        <f t="shared" si="3"/>
        <v>0</v>
      </c>
      <c r="L126" s="67" t="str">
        <f t="shared" si="1"/>
        <v>Incense of Transcendence</v>
      </c>
      <c r="M126" s="106"/>
      <c r="N126" s="107"/>
      <c r="O126" s="77"/>
      <c r="P126" s="78"/>
      <c r="Q126" s="79"/>
      <c r="R126" s="78"/>
      <c r="S126" s="79"/>
      <c r="T126" s="42"/>
      <c r="U126" s="96"/>
      <c r="V126" s="42"/>
      <c r="W126" s="79"/>
    </row>
    <row r="127">
      <c r="B127" s="98"/>
      <c r="C127" s="99"/>
      <c r="D127" s="100" t="str">
        <f>IFERROR(__xludf.DUMMYFUNCTION("""COMPUTED_VALUE"""),"tainted Pillar")</f>
        <v>tainted Pillar</v>
      </c>
      <c r="E127" s="101" t="str">
        <f>IFERROR(__xludf.DUMMYFUNCTION("""COMPUTED_VALUE"""),"strat")</f>
        <v>strat</v>
      </c>
      <c r="F127" s="102">
        <f>IFERROR(__xludf.DUMMYFUNCTION("""COMPUTED_VALUE"""),3.0)</f>
        <v>3</v>
      </c>
      <c r="G127" s="103"/>
      <c r="H127" s="104"/>
      <c r="I127" s="103"/>
      <c r="J127" s="105"/>
      <c r="K127" s="74">
        <f t="shared" si="3"/>
        <v>0</v>
      </c>
      <c r="L127" s="67" t="str">
        <f t="shared" si="1"/>
        <v>tainted Pillar</v>
      </c>
      <c r="M127" s="106"/>
      <c r="N127" s="107"/>
      <c r="O127" s="77"/>
      <c r="P127" s="78"/>
      <c r="Q127" s="79"/>
      <c r="R127" s="78"/>
      <c r="S127" s="79"/>
      <c r="T127" s="42"/>
      <c r="U127" s="96"/>
      <c r="V127" s="42"/>
      <c r="W127" s="79"/>
    </row>
    <row r="128">
      <c r="B128" s="98"/>
      <c r="C128" s="99"/>
      <c r="D128" s="100"/>
      <c r="E128" s="101"/>
      <c r="F128" s="102"/>
      <c r="G128" s="103"/>
      <c r="H128" s="104"/>
      <c r="I128" s="103"/>
      <c r="J128" s="105"/>
      <c r="K128" s="74">
        <f t="shared" si="3"/>
        <v>0</v>
      </c>
      <c r="L128" s="67" t="str">
        <f t="shared" si="1"/>
        <v/>
      </c>
      <c r="M128" s="106"/>
      <c r="N128" s="107"/>
      <c r="O128" s="77"/>
      <c r="P128" s="78"/>
      <c r="Q128" s="79"/>
      <c r="R128" s="78"/>
      <c r="S128" s="79"/>
      <c r="T128" s="42"/>
      <c r="U128" s="96"/>
      <c r="V128" s="42"/>
      <c r="W128" s="79"/>
    </row>
    <row r="129">
      <c r="B129" s="98"/>
      <c r="C129" s="99"/>
      <c r="D129" s="100"/>
      <c r="E129" s="101"/>
      <c r="F129" s="102"/>
      <c r="G129" s="103"/>
      <c r="H129" s="104"/>
      <c r="I129" s="103"/>
      <c r="J129" s="105"/>
      <c r="K129" s="74">
        <f t="shared" si="3"/>
        <v>0</v>
      </c>
      <c r="L129" s="67" t="str">
        <f t="shared" si="1"/>
        <v/>
      </c>
      <c r="M129" s="106"/>
      <c r="N129" s="107"/>
      <c r="O129" s="77"/>
      <c r="P129" s="78"/>
      <c r="Q129" s="79"/>
      <c r="R129" s="78"/>
      <c r="S129" s="79"/>
      <c r="T129" s="42"/>
      <c r="U129" s="96"/>
      <c r="V129" s="42"/>
      <c r="W129" s="79"/>
    </row>
    <row r="130">
      <c r="B130" s="98"/>
      <c r="C130" s="99"/>
      <c r="D130" s="100"/>
      <c r="E130" s="101"/>
      <c r="F130" s="102"/>
      <c r="G130" s="103"/>
      <c r="H130" s="104"/>
      <c r="I130" s="103"/>
      <c r="J130" s="105"/>
      <c r="K130" s="74">
        <f t="shared" si="3"/>
        <v>0</v>
      </c>
      <c r="L130" s="67" t="str">
        <f t="shared" si="1"/>
        <v/>
      </c>
      <c r="M130" s="106"/>
      <c r="N130" s="107"/>
      <c r="O130" s="77"/>
      <c r="P130" s="78"/>
      <c r="Q130" s="79"/>
      <c r="R130" s="78"/>
      <c r="S130" s="79"/>
      <c r="T130" s="42"/>
      <c r="U130" s="96"/>
      <c r="V130" s="42"/>
      <c r="W130" s="79"/>
    </row>
    <row r="131">
      <c r="B131" s="98"/>
      <c r="C131" s="99"/>
      <c r="D131" s="99"/>
      <c r="E131" s="98"/>
      <c r="F131" s="98"/>
      <c r="G131" s="98"/>
      <c r="H131" s="98"/>
      <c r="I131" s="98"/>
      <c r="J131" s="98"/>
      <c r="K131" s="108"/>
      <c r="L131" s="109"/>
      <c r="M131" s="109"/>
      <c r="N131" s="109"/>
      <c r="O131" s="109"/>
      <c r="P131" s="109"/>
      <c r="Q131" s="109"/>
      <c r="R131" s="109"/>
      <c r="S131" s="109"/>
      <c r="T131" s="109"/>
      <c r="U131" s="109"/>
      <c r="V131" s="109"/>
      <c r="W131" s="109"/>
    </row>
    <row r="132">
      <c r="B132" s="98"/>
      <c r="C132" s="99"/>
      <c r="D132" s="99"/>
      <c r="E132" s="98"/>
      <c r="F132" s="98"/>
      <c r="G132" s="98"/>
      <c r="H132" s="98"/>
      <c r="I132" s="98"/>
      <c r="J132" s="98"/>
      <c r="K132" s="108"/>
      <c r="L132" s="110" t="s">
        <v>83</v>
      </c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4"/>
    </row>
    <row r="133">
      <c r="B133" s="98"/>
      <c r="C133" s="99"/>
      <c r="D133" s="111" t="s">
        <v>52</v>
      </c>
      <c r="E133" s="112" t="s">
        <v>84</v>
      </c>
      <c r="F133" s="112" t="s">
        <v>85</v>
      </c>
      <c r="G133" s="112" t="s">
        <v>63</v>
      </c>
      <c r="H133" s="112" t="s">
        <v>23</v>
      </c>
      <c r="I133" s="112" t="s">
        <v>64</v>
      </c>
      <c r="J133" s="113" t="s">
        <v>86</v>
      </c>
      <c r="K133" s="114" t="s">
        <v>87</v>
      </c>
      <c r="L133" s="115" t="s">
        <v>52</v>
      </c>
      <c r="M133" s="115" t="s">
        <v>26</v>
      </c>
      <c r="N133" s="116" t="s">
        <v>40</v>
      </c>
      <c r="O133" s="115" t="s">
        <v>18</v>
      </c>
      <c r="P133" s="64" t="str">
        <f t="shared" ref="P133:W133" si="6">P30</f>
        <v>remove crime</v>
      </c>
      <c r="Q133" s="64" t="str">
        <f t="shared" si="6"/>
        <v>Trade post </v>
      </c>
      <c r="R133" s="64" t="str">
        <f t="shared" si="6"/>
        <v>spcial forces </v>
      </c>
      <c r="S133" s="64" t="str">
        <f t="shared" si="6"/>
        <v/>
      </c>
      <c r="T133" s="64" t="str">
        <f t="shared" si="6"/>
        <v/>
      </c>
      <c r="U133" s="64" t="str">
        <f t="shared" si="6"/>
        <v/>
      </c>
      <c r="V133" s="64" t="str">
        <f t="shared" si="6"/>
        <v/>
      </c>
      <c r="W133" s="64" t="str">
        <f t="shared" si="6"/>
        <v/>
      </c>
    </row>
    <row r="134">
      <c r="B134" s="117"/>
      <c r="C134" s="117"/>
      <c r="D134" s="118" t="str">
        <f>IFERROR(__xludf.DUMMYFUNCTION("Filter($D$32:$K$130, ($G$32:$G$130&gt;0) + ($K$32:$K$130&lt;&gt;0) + ($H$32:$H130&lt;&gt;0) + ($I$32:$I$130&lt;&gt;0) + ($J$32:$J$130&lt;&gt;0))"),"Crops")</f>
        <v>Crops</v>
      </c>
      <c r="E134" s="119" t="str">
        <f>IFERROR(__xludf.DUMMYFUNCTION("""COMPUTED_VALUE"""),"Food")</f>
        <v>Food</v>
      </c>
      <c r="F134" s="119">
        <f>IFERROR(__xludf.DUMMYFUNCTION("""COMPUTED_VALUE"""),1.0)</f>
        <v>1</v>
      </c>
      <c r="G134" s="119"/>
      <c r="H134" s="119">
        <f>IFERROR(__xludf.DUMMYFUNCTION("""COMPUTED_VALUE"""),1.0)</f>
        <v>1</v>
      </c>
      <c r="I134" s="119"/>
      <c r="J134" s="119"/>
      <c r="K134" s="120">
        <f>IFERROR(__xludf.DUMMYFUNCTION("""COMPUTED_VALUE"""),1.0)</f>
        <v>1</v>
      </c>
      <c r="L134" s="67" t="str">
        <f>IFERROR(__xludf.DUMMYFUNCTION("Filter($L$32:$W$130, ($M$32:$M$130&gt;0) + (N$32:$N$130&lt;&gt;0) + ($O$32:$O130&lt;&gt;0) + ($P$32:$P$130&lt;&gt;0) + (Q32:$Q$130&lt;&gt;0) + ($R$32:$R$130&lt;&gt;0) + ($S$32:$S$130&lt;&gt;0) + ($T$32:$T$130&lt;&gt;0) + ($U$32:$U$130&lt;&gt;0) + ($V$32:$V$130&lt;&gt;0) + ($W$32:$W$130&lt;&gt;0))"),"#N/A")</f>
        <v>#N/A</v>
      </c>
      <c r="M134" s="67"/>
      <c r="N134" s="36"/>
      <c r="O134" s="64"/>
      <c r="P134" s="67"/>
      <c r="Q134" s="67"/>
      <c r="R134" s="67"/>
      <c r="S134" s="67"/>
      <c r="T134" s="67"/>
      <c r="U134" s="67"/>
      <c r="V134" s="67"/>
      <c r="W134" s="67"/>
    </row>
    <row r="135">
      <c r="B135" s="117"/>
      <c r="C135" s="117"/>
      <c r="D135" s="119" t="str">
        <f>IFERROR(__xludf.DUMMYFUNCTION("""COMPUTED_VALUE"""),"Dyes")</f>
        <v>Dyes</v>
      </c>
      <c r="E135" s="119" t="str">
        <f>IFERROR(__xludf.DUMMYFUNCTION("""COMPUTED_VALUE"""),"Lux")</f>
        <v>Lux</v>
      </c>
      <c r="F135" s="119">
        <f>IFERROR(__xludf.DUMMYFUNCTION("""COMPUTED_VALUE"""),2.0)</f>
        <v>2</v>
      </c>
      <c r="G135" s="119"/>
      <c r="H135" s="119">
        <f>IFERROR(__xludf.DUMMYFUNCTION("""COMPUTED_VALUE"""),1.0)</f>
        <v>1</v>
      </c>
      <c r="I135" s="119"/>
      <c r="J135" s="119"/>
      <c r="K135" s="120">
        <f>IFERROR(__xludf.DUMMYFUNCTION("""COMPUTED_VALUE"""),1.0)</f>
        <v>1</v>
      </c>
      <c r="L135" s="67"/>
      <c r="M135" s="67"/>
      <c r="N135" s="67"/>
      <c r="O135" s="64"/>
      <c r="P135" s="67"/>
      <c r="Q135" s="67"/>
      <c r="R135" s="67"/>
      <c r="S135" s="67"/>
      <c r="T135" s="67"/>
      <c r="U135" s="67"/>
      <c r="V135" s="67"/>
      <c r="W135" s="67"/>
    </row>
    <row r="136">
      <c r="B136" s="117"/>
      <c r="C136" s="117"/>
      <c r="D136" s="119" t="str">
        <f>IFERROR(__xludf.DUMMYFUNCTION("""COMPUTED_VALUE"""),"Glass")</f>
        <v>Glass</v>
      </c>
      <c r="E136" s="119" t="str">
        <f>IFERROR(__xludf.DUMMYFUNCTION("""COMPUTED_VALUE"""),"Lux")</f>
        <v>Lux</v>
      </c>
      <c r="F136" s="119">
        <f>IFERROR(__xludf.DUMMYFUNCTION("""COMPUTED_VALUE"""),2.0)</f>
        <v>2</v>
      </c>
      <c r="G136" s="119">
        <f>IFERROR(__xludf.DUMMYFUNCTION("""COMPUTED_VALUE"""),1.0)</f>
        <v>1</v>
      </c>
      <c r="H136" s="119">
        <f>IFERROR(__xludf.DUMMYFUNCTION("""COMPUTED_VALUE"""),-1.0)</f>
        <v>-1</v>
      </c>
      <c r="I136" s="119"/>
      <c r="J136" s="119"/>
      <c r="K136" s="120">
        <f>IFERROR(__xludf.DUMMYFUNCTION("""COMPUTED_VALUE"""),0.0)</f>
        <v>0</v>
      </c>
      <c r="L136" s="36"/>
      <c r="M136" s="67"/>
      <c r="N136" s="67"/>
      <c r="O136" s="64"/>
      <c r="P136" s="67"/>
      <c r="Q136" s="67"/>
      <c r="R136" s="67"/>
      <c r="S136" s="67"/>
      <c r="T136" s="67"/>
      <c r="U136" s="67"/>
      <c r="V136" s="67"/>
      <c r="W136" s="67"/>
    </row>
    <row r="137">
      <c r="B137" s="117"/>
      <c r="C137" s="117"/>
      <c r="D137" s="119" t="str">
        <f>IFERROR(__xludf.DUMMYFUNCTION("""COMPUTED_VALUE"""),"Greenwood")</f>
        <v>Greenwood</v>
      </c>
      <c r="E137" s="119" t="str">
        <f>IFERROR(__xludf.DUMMYFUNCTION("""COMPUTED_VALUE"""),"Strat")</f>
        <v>Strat</v>
      </c>
      <c r="F137" s="119">
        <f>IFERROR(__xludf.DUMMYFUNCTION("""COMPUTED_VALUE"""),1.0)</f>
        <v>1</v>
      </c>
      <c r="G137" s="119">
        <f>IFERROR(__xludf.DUMMYFUNCTION("""COMPUTED_VALUE"""),1.0)</f>
        <v>1</v>
      </c>
      <c r="H137" s="119"/>
      <c r="I137" s="119"/>
      <c r="J137" s="119"/>
      <c r="K137" s="120">
        <f>IFERROR(__xludf.DUMMYFUNCTION("""COMPUTED_VALUE"""),1.0)</f>
        <v>1</v>
      </c>
      <c r="L137" s="36"/>
      <c r="M137" s="67"/>
      <c r="N137" s="67"/>
      <c r="O137" s="64"/>
      <c r="P137" s="67"/>
      <c r="Q137" s="67"/>
      <c r="R137" s="67"/>
      <c r="S137" s="67"/>
      <c r="T137" s="67"/>
      <c r="U137" s="67"/>
      <c r="V137" s="67"/>
      <c r="W137" s="67"/>
    </row>
    <row r="138">
      <c r="B138" s="117"/>
      <c r="C138" s="117"/>
      <c r="D138" s="119" t="str">
        <f>IFERROR(__xludf.DUMMYFUNCTION("""COMPUTED_VALUE"""),"Hardwood")</f>
        <v>Hardwood</v>
      </c>
      <c r="E138" s="119" t="str">
        <f>IFERROR(__xludf.DUMMYFUNCTION("""COMPUTED_VALUE"""),"Strat")</f>
        <v>Strat</v>
      </c>
      <c r="F138" s="119">
        <f>IFERROR(__xludf.DUMMYFUNCTION("""COMPUTED_VALUE"""),1.0)</f>
        <v>1</v>
      </c>
      <c r="G138" s="119">
        <f>IFERROR(__xludf.DUMMYFUNCTION("""COMPUTED_VALUE"""),1.0)</f>
        <v>1</v>
      </c>
      <c r="H138" s="119">
        <f>IFERROR(__xludf.DUMMYFUNCTION("""COMPUTED_VALUE"""),1.0)</f>
        <v>1</v>
      </c>
      <c r="I138" s="119">
        <f>IFERROR(__xludf.DUMMYFUNCTION("""COMPUTED_VALUE"""),-2.0)</f>
        <v>-2</v>
      </c>
      <c r="J138" s="119"/>
      <c r="K138" s="120">
        <f>IFERROR(__xludf.DUMMYFUNCTION("""COMPUTED_VALUE"""),0.0)</f>
        <v>0</v>
      </c>
      <c r="L138" s="67"/>
      <c r="M138" s="36"/>
      <c r="N138" s="67"/>
      <c r="O138" s="64"/>
      <c r="P138" s="67"/>
      <c r="Q138" s="67"/>
      <c r="R138" s="67"/>
      <c r="S138" s="67"/>
      <c r="T138" s="67"/>
      <c r="U138" s="67"/>
      <c r="V138" s="67"/>
      <c r="W138" s="67"/>
    </row>
    <row r="139">
      <c r="B139" s="117"/>
      <c r="C139" s="117"/>
      <c r="D139" s="119" t="str">
        <f>IFERROR(__xludf.DUMMYFUNCTION("""COMPUTED_VALUE"""),"Iron")</f>
        <v>Iron</v>
      </c>
      <c r="E139" s="119" t="str">
        <f>IFERROR(__xludf.DUMMYFUNCTION("""COMPUTED_VALUE"""),"Strat")</f>
        <v>Strat</v>
      </c>
      <c r="F139" s="119">
        <f>IFERROR(__xludf.DUMMYFUNCTION("""COMPUTED_VALUE"""),1.0)</f>
        <v>1</v>
      </c>
      <c r="G139" s="119"/>
      <c r="H139" s="119">
        <f>IFERROR(__xludf.DUMMYFUNCTION("""COMPUTED_VALUE"""),1.0)</f>
        <v>1</v>
      </c>
      <c r="I139" s="119">
        <f>IFERROR(__xludf.DUMMYFUNCTION("""COMPUTED_VALUE"""),-1.0)</f>
        <v>-1</v>
      </c>
      <c r="J139" s="119"/>
      <c r="K139" s="120">
        <f>IFERROR(__xludf.DUMMYFUNCTION("""COMPUTED_VALUE"""),0.0)</f>
        <v>0</v>
      </c>
      <c r="L139" s="67"/>
      <c r="M139" s="67"/>
      <c r="N139" s="67"/>
      <c r="O139" s="64"/>
      <c r="P139" s="67"/>
      <c r="Q139" s="67"/>
      <c r="R139" s="67"/>
      <c r="S139" s="67"/>
      <c r="T139" s="67"/>
      <c r="U139" s="67"/>
      <c r="V139" s="67"/>
      <c r="W139" s="67"/>
    </row>
    <row r="140">
      <c r="B140" s="117"/>
      <c r="C140" s="117"/>
      <c r="D140" s="119" t="str">
        <f>IFERROR(__xludf.DUMMYFUNCTION("""COMPUTED_VALUE"""),"Marble")</f>
        <v>Marble</v>
      </c>
      <c r="E140" s="119" t="str">
        <f>IFERROR(__xludf.DUMMYFUNCTION("""COMPUTED_VALUE"""),"Lux")</f>
        <v>Lux</v>
      </c>
      <c r="F140" s="119">
        <f>IFERROR(__xludf.DUMMYFUNCTION("""COMPUTED_VALUE"""),1.0)</f>
        <v>1</v>
      </c>
      <c r="G140" s="119"/>
      <c r="H140" s="119">
        <f>IFERROR(__xludf.DUMMYFUNCTION("""COMPUTED_VALUE"""),2.0)</f>
        <v>2</v>
      </c>
      <c r="I140" s="119"/>
      <c r="J140" s="119"/>
      <c r="K140" s="120">
        <f>IFERROR(__xludf.DUMMYFUNCTION("""COMPUTED_VALUE"""),2.0)</f>
        <v>2</v>
      </c>
      <c r="L140" s="67"/>
      <c r="M140" s="67"/>
      <c r="N140" s="67"/>
      <c r="O140" s="64"/>
      <c r="P140" s="67"/>
      <c r="Q140" s="67"/>
      <c r="R140" s="67"/>
      <c r="S140" s="67"/>
      <c r="T140" s="67"/>
      <c r="U140" s="67"/>
      <c r="V140" s="67"/>
      <c r="W140" s="67"/>
    </row>
    <row r="141">
      <c r="B141" s="117"/>
      <c r="C141" s="117"/>
      <c r="D141" s="119" t="str">
        <f>IFERROR(__xludf.DUMMYFUNCTION("""COMPUTED_VALUE"""),"Pearl")</f>
        <v>Pearl</v>
      </c>
      <c r="E141" s="119" t="str">
        <f>IFERROR(__xludf.DUMMYFUNCTION("""COMPUTED_VALUE"""),"Lux ")</f>
        <v>Lux </v>
      </c>
      <c r="F141" s="119">
        <f>IFERROR(__xludf.DUMMYFUNCTION("""COMPUTED_VALUE"""),2.0)</f>
        <v>2</v>
      </c>
      <c r="G141" s="119">
        <f>IFERROR(__xludf.DUMMYFUNCTION("""COMPUTED_VALUE"""),2.0)</f>
        <v>2</v>
      </c>
      <c r="H141" s="119"/>
      <c r="I141" s="119"/>
      <c r="J141" s="119"/>
      <c r="K141" s="120">
        <f>IFERROR(__xludf.DUMMYFUNCTION("""COMPUTED_VALUE"""),2.0)</f>
        <v>2</v>
      </c>
      <c r="L141" s="67"/>
      <c r="M141" s="67"/>
      <c r="N141" s="67"/>
      <c r="O141" s="64"/>
      <c r="P141" s="67"/>
      <c r="Q141" s="67"/>
      <c r="R141" s="67"/>
      <c r="S141" s="67"/>
      <c r="T141" s="67"/>
      <c r="U141" s="67"/>
      <c r="V141" s="67"/>
      <c r="W141" s="67"/>
    </row>
    <row r="142">
      <c r="B142" s="117"/>
      <c r="C142" s="117"/>
      <c r="D142" s="119" t="str">
        <f>IFERROR(__xludf.DUMMYFUNCTION("""COMPUTED_VALUE"""),"Poison")</f>
        <v>Poison</v>
      </c>
      <c r="E142" s="119" t="str">
        <f>IFERROR(__xludf.DUMMYFUNCTION("""COMPUTED_VALUE"""),"Strat")</f>
        <v>Strat</v>
      </c>
      <c r="F142" s="119">
        <f>IFERROR(__xludf.DUMMYFUNCTION("""COMPUTED_VALUE"""),2.0)</f>
        <v>2</v>
      </c>
      <c r="G142" s="119">
        <f>IFERROR(__xludf.DUMMYFUNCTION("""COMPUTED_VALUE"""),1.0)</f>
        <v>1</v>
      </c>
      <c r="H142" s="119"/>
      <c r="I142" s="119"/>
      <c r="J142" s="119"/>
      <c r="K142" s="120">
        <f>IFERROR(__xludf.DUMMYFUNCTION("""COMPUTED_VALUE"""),1.0)</f>
        <v>1</v>
      </c>
      <c r="L142" s="36"/>
      <c r="M142" s="67"/>
      <c r="N142" s="36"/>
      <c r="O142" s="64"/>
      <c r="P142" s="67"/>
      <c r="Q142" s="67"/>
      <c r="R142" s="67"/>
      <c r="S142" s="67"/>
      <c r="T142" s="67"/>
      <c r="U142" s="67"/>
      <c r="V142" s="67"/>
      <c r="W142" s="67"/>
    </row>
    <row r="143">
      <c r="B143" s="117"/>
      <c r="C143" s="117"/>
      <c r="D143" s="119" t="str">
        <f>IFERROR(__xludf.DUMMYFUNCTION("""COMPUTED_VALUE"""),"Seafood")</f>
        <v>Seafood</v>
      </c>
      <c r="E143" s="119" t="str">
        <f>IFERROR(__xludf.DUMMYFUNCTION("""COMPUTED_VALUE"""),"Food")</f>
        <v>Food</v>
      </c>
      <c r="F143" s="119">
        <f>IFERROR(__xludf.DUMMYFUNCTION("""COMPUTED_VALUE"""),1.0)</f>
        <v>1</v>
      </c>
      <c r="G143" s="119">
        <f>IFERROR(__xludf.DUMMYFUNCTION("""COMPUTED_VALUE"""),3.0)</f>
        <v>3</v>
      </c>
      <c r="H143" s="119"/>
      <c r="I143" s="119">
        <f>IFERROR(__xludf.DUMMYFUNCTION("""COMPUTED_VALUE"""),-3.0)</f>
        <v>-3</v>
      </c>
      <c r="J143" s="119"/>
      <c r="K143" s="120">
        <f>IFERROR(__xludf.DUMMYFUNCTION("""COMPUTED_VALUE"""),0.0)</f>
        <v>0</v>
      </c>
      <c r="L143" s="67"/>
      <c r="M143" s="67"/>
      <c r="N143" s="67"/>
      <c r="O143" s="64"/>
      <c r="P143" s="67"/>
      <c r="Q143" s="67"/>
      <c r="R143" s="67"/>
      <c r="S143" s="67"/>
      <c r="T143" s="67"/>
      <c r="U143" s="67"/>
      <c r="V143" s="67"/>
      <c r="W143" s="67"/>
    </row>
    <row r="144">
      <c r="B144" s="117"/>
      <c r="C144" s="117"/>
      <c r="D144" s="119" t="str">
        <f>IFERROR(__xludf.DUMMYFUNCTION("""COMPUTED_VALUE"""),"Spices")</f>
        <v>Spices</v>
      </c>
      <c r="E144" s="119" t="str">
        <f>IFERROR(__xludf.DUMMYFUNCTION("""COMPUTED_VALUE"""),"Lux")</f>
        <v>Lux</v>
      </c>
      <c r="F144" s="119">
        <f>IFERROR(__xludf.DUMMYFUNCTION("""COMPUTED_VALUE"""),2.0)</f>
        <v>2</v>
      </c>
      <c r="G144" s="119">
        <f>IFERROR(__xludf.DUMMYFUNCTION("""COMPUTED_VALUE"""),1.0)</f>
        <v>1</v>
      </c>
      <c r="H144" s="119">
        <f>IFERROR(__xludf.DUMMYFUNCTION("""COMPUTED_VALUE"""),1.0)</f>
        <v>1</v>
      </c>
      <c r="I144" s="119"/>
      <c r="J144" s="119"/>
      <c r="K144" s="120">
        <f>IFERROR(__xludf.DUMMYFUNCTION("""COMPUTED_VALUE"""),2.0)</f>
        <v>2</v>
      </c>
      <c r="L144" s="67"/>
      <c r="M144" s="67"/>
      <c r="N144" s="67"/>
      <c r="O144" s="64"/>
      <c r="P144" s="67"/>
      <c r="Q144" s="67"/>
      <c r="R144" s="67"/>
      <c r="S144" s="67"/>
      <c r="T144" s="67"/>
      <c r="U144" s="67"/>
      <c r="V144" s="67"/>
      <c r="W144" s="67"/>
    </row>
    <row r="145">
      <c r="B145" s="117"/>
      <c r="C145" s="117"/>
      <c r="D145" s="119" t="str">
        <f>IFERROR(__xludf.DUMMYFUNCTION("""COMPUTED_VALUE"""),"Spirits")</f>
        <v>Spirits</v>
      </c>
      <c r="E145" s="119" t="str">
        <f>IFERROR(__xludf.DUMMYFUNCTION("""COMPUTED_VALUE"""),"Lux")</f>
        <v>Lux</v>
      </c>
      <c r="F145" s="119">
        <f>IFERROR(__xludf.DUMMYFUNCTION("""COMPUTED_VALUE"""),2.0)</f>
        <v>2</v>
      </c>
      <c r="G145" s="119"/>
      <c r="H145" s="119">
        <f>IFERROR(__xludf.DUMMYFUNCTION("""COMPUTED_VALUE"""),1.0)</f>
        <v>1</v>
      </c>
      <c r="I145" s="119"/>
      <c r="J145" s="119"/>
      <c r="K145" s="120">
        <f>IFERROR(__xludf.DUMMYFUNCTION("""COMPUTED_VALUE"""),1.0)</f>
        <v>1</v>
      </c>
      <c r="L145" s="67"/>
      <c r="M145" s="67"/>
      <c r="N145" s="67"/>
      <c r="O145" s="64"/>
      <c r="P145" s="67"/>
      <c r="Q145" s="67"/>
      <c r="R145" s="67"/>
      <c r="S145" s="67"/>
      <c r="T145" s="67"/>
      <c r="U145" s="67"/>
      <c r="V145" s="67"/>
      <c r="W145" s="67"/>
    </row>
    <row r="146">
      <c r="B146" s="117"/>
      <c r="C146" s="117"/>
      <c r="D146" s="119"/>
      <c r="E146" s="119"/>
      <c r="F146" s="119"/>
      <c r="G146" s="119"/>
      <c r="H146" s="119"/>
      <c r="I146" s="119"/>
      <c r="J146" s="119"/>
      <c r="K146" s="120"/>
      <c r="L146" s="67"/>
      <c r="M146" s="36"/>
      <c r="N146" s="67"/>
      <c r="O146" s="64"/>
      <c r="P146" s="67"/>
      <c r="Q146" s="67"/>
      <c r="R146" s="67"/>
      <c r="S146" s="67"/>
      <c r="T146" s="67"/>
      <c r="U146" s="67"/>
      <c r="V146" s="67"/>
      <c r="W146" s="67"/>
    </row>
    <row r="147">
      <c r="B147" s="117"/>
      <c r="C147" s="117"/>
      <c r="D147" s="119"/>
      <c r="E147" s="119"/>
      <c r="F147" s="119"/>
      <c r="G147" s="119"/>
      <c r="H147" s="119"/>
      <c r="I147" s="119"/>
      <c r="J147" s="119"/>
      <c r="K147" s="120"/>
      <c r="L147" s="67"/>
      <c r="M147" s="67"/>
      <c r="N147" s="67"/>
      <c r="O147" s="64"/>
      <c r="P147" s="67"/>
      <c r="Q147" s="67"/>
      <c r="R147" s="67"/>
      <c r="S147" s="67"/>
      <c r="T147" s="67"/>
      <c r="U147" s="67"/>
      <c r="V147" s="67"/>
      <c r="W147" s="67"/>
    </row>
    <row r="148">
      <c r="B148" s="117"/>
      <c r="C148" s="117"/>
      <c r="D148" s="119"/>
      <c r="E148" s="119"/>
      <c r="F148" s="119"/>
      <c r="G148" s="119"/>
      <c r="H148" s="119"/>
      <c r="I148" s="119"/>
      <c r="J148" s="119"/>
      <c r="K148" s="120"/>
      <c r="L148" s="67"/>
      <c r="M148" s="67"/>
      <c r="N148" s="67"/>
      <c r="O148" s="64"/>
      <c r="P148" s="67"/>
      <c r="Q148" s="67"/>
      <c r="R148" s="67"/>
      <c r="S148" s="67"/>
      <c r="T148" s="67"/>
      <c r="U148" s="67"/>
      <c r="V148" s="67"/>
      <c r="W148" s="67"/>
    </row>
    <row r="149">
      <c r="B149" s="117"/>
      <c r="C149" s="117"/>
      <c r="D149" s="119"/>
      <c r="E149" s="119"/>
      <c r="F149" s="119"/>
      <c r="G149" s="119"/>
      <c r="H149" s="119"/>
      <c r="I149" s="119"/>
      <c r="J149" s="119"/>
      <c r="K149" s="120"/>
      <c r="L149" s="67"/>
      <c r="M149" s="67"/>
      <c r="N149" s="67"/>
      <c r="O149" s="64"/>
      <c r="P149" s="67"/>
      <c r="Q149" s="67"/>
      <c r="R149" s="67"/>
      <c r="S149" s="67"/>
      <c r="T149" s="67"/>
      <c r="U149" s="67"/>
      <c r="V149" s="67"/>
      <c r="W149" s="67"/>
    </row>
    <row r="150">
      <c r="B150" s="117"/>
      <c r="C150" s="117"/>
      <c r="D150" s="119"/>
      <c r="E150" s="119"/>
      <c r="F150" s="119"/>
      <c r="G150" s="119"/>
      <c r="H150" s="119"/>
      <c r="I150" s="119"/>
      <c r="J150" s="119"/>
      <c r="K150" s="120"/>
      <c r="L150" s="67"/>
      <c r="M150" s="67"/>
      <c r="N150" s="67"/>
      <c r="O150" s="64"/>
      <c r="P150" s="67"/>
      <c r="Q150" s="67"/>
      <c r="R150" s="67"/>
      <c r="S150" s="67"/>
      <c r="T150" s="67"/>
      <c r="U150" s="67"/>
      <c r="V150" s="67"/>
      <c r="W150" s="67"/>
    </row>
    <row r="151">
      <c r="D151" s="119"/>
      <c r="E151" s="119"/>
      <c r="F151" s="119"/>
      <c r="G151" s="119"/>
      <c r="H151" s="119"/>
      <c r="I151" s="119"/>
      <c r="J151" s="119"/>
      <c r="K151" s="120"/>
      <c r="L151" s="67"/>
      <c r="M151" s="67"/>
      <c r="N151" s="67"/>
      <c r="O151" s="64"/>
      <c r="P151" s="67"/>
      <c r="Q151" s="67"/>
      <c r="R151" s="67"/>
      <c r="S151" s="67"/>
      <c r="T151" s="67"/>
      <c r="U151" s="67"/>
      <c r="V151" s="67"/>
      <c r="W151" s="67"/>
    </row>
    <row r="152">
      <c r="D152" s="119"/>
      <c r="E152" s="119"/>
      <c r="F152" s="119"/>
      <c r="G152" s="119"/>
      <c r="H152" s="119"/>
      <c r="I152" s="119"/>
      <c r="J152" s="119"/>
      <c r="K152" s="120"/>
      <c r="L152" s="67"/>
      <c r="M152" s="67"/>
      <c r="N152" s="67"/>
      <c r="O152" s="64"/>
      <c r="P152" s="67"/>
      <c r="Q152" s="67"/>
      <c r="R152" s="67"/>
      <c r="S152" s="67"/>
      <c r="T152" s="67"/>
      <c r="U152" s="67"/>
      <c r="V152" s="67"/>
      <c r="W152" s="67"/>
    </row>
    <row r="153">
      <c r="D153" s="119"/>
      <c r="E153" s="119"/>
      <c r="F153" s="119"/>
      <c r="G153" s="119"/>
      <c r="H153" s="119"/>
      <c r="I153" s="119"/>
      <c r="J153" s="119"/>
      <c r="K153" s="120"/>
      <c r="L153" s="67"/>
      <c r="M153" s="67"/>
      <c r="N153" s="67"/>
      <c r="O153" s="64"/>
      <c r="P153" s="67"/>
      <c r="Q153" s="67"/>
      <c r="R153" s="67"/>
      <c r="S153" s="67"/>
      <c r="T153" s="67"/>
      <c r="U153" s="67"/>
      <c r="V153" s="67"/>
      <c r="W153" s="67"/>
    </row>
    <row r="154">
      <c r="D154" s="119"/>
      <c r="E154" s="119"/>
      <c r="F154" s="119"/>
      <c r="G154" s="119"/>
      <c r="H154" s="119"/>
      <c r="I154" s="119"/>
      <c r="J154" s="119"/>
      <c r="K154" s="120"/>
      <c r="L154" s="67"/>
      <c r="M154" s="67"/>
      <c r="N154" s="67"/>
      <c r="O154" s="64"/>
      <c r="P154" s="67"/>
      <c r="Q154" s="67"/>
      <c r="R154" s="67"/>
      <c r="S154" s="67"/>
      <c r="T154" s="67"/>
      <c r="U154" s="67"/>
      <c r="V154" s="67"/>
      <c r="W154" s="67"/>
    </row>
    <row r="155">
      <c r="D155" s="119"/>
      <c r="E155" s="119"/>
      <c r="F155" s="119"/>
      <c r="G155" s="119"/>
      <c r="H155" s="119"/>
      <c r="I155" s="119"/>
      <c r="J155" s="119"/>
      <c r="K155" s="120"/>
      <c r="L155" s="67"/>
      <c r="M155" s="67"/>
      <c r="N155" s="67"/>
      <c r="O155" s="64"/>
      <c r="P155" s="67"/>
      <c r="Q155" s="67"/>
      <c r="R155" s="67"/>
      <c r="S155" s="67"/>
      <c r="T155" s="67"/>
      <c r="U155" s="67"/>
      <c r="V155" s="67"/>
      <c r="W155" s="67"/>
    </row>
    <row r="156">
      <c r="D156" s="119"/>
      <c r="E156" s="119"/>
      <c r="F156" s="119"/>
      <c r="G156" s="119"/>
      <c r="H156" s="119"/>
      <c r="I156" s="119"/>
      <c r="J156" s="119"/>
      <c r="K156" s="120"/>
      <c r="L156" s="67"/>
      <c r="M156" s="67"/>
      <c r="N156" s="67"/>
      <c r="O156" s="64"/>
      <c r="P156" s="67"/>
      <c r="Q156" s="67"/>
      <c r="R156" s="67"/>
      <c r="S156" s="67"/>
      <c r="T156" s="67"/>
      <c r="U156" s="67"/>
      <c r="V156" s="67"/>
      <c r="W156" s="67"/>
    </row>
    <row r="157">
      <c r="D157" s="119"/>
      <c r="E157" s="119"/>
      <c r="F157" s="119"/>
      <c r="G157" s="119"/>
      <c r="H157" s="119"/>
      <c r="I157" s="119"/>
      <c r="J157" s="119"/>
      <c r="K157" s="120"/>
      <c r="L157" s="67"/>
      <c r="M157" s="67"/>
      <c r="N157" s="67"/>
      <c r="O157" s="64"/>
      <c r="P157" s="67"/>
      <c r="Q157" s="67"/>
      <c r="R157" s="67"/>
      <c r="S157" s="67"/>
      <c r="T157" s="67"/>
      <c r="U157" s="67"/>
      <c r="V157" s="67"/>
      <c r="W157" s="67"/>
    </row>
    <row r="158">
      <c r="D158" s="119"/>
      <c r="E158" s="119"/>
      <c r="F158" s="119"/>
      <c r="G158" s="119"/>
      <c r="H158" s="119"/>
      <c r="I158" s="119"/>
      <c r="J158" s="119"/>
      <c r="K158" s="120"/>
      <c r="L158" s="67"/>
      <c r="M158" s="67"/>
      <c r="N158" s="67"/>
      <c r="O158" s="64"/>
      <c r="P158" s="67"/>
      <c r="Q158" s="67"/>
      <c r="R158" s="67"/>
      <c r="S158" s="67"/>
      <c r="T158" s="67"/>
      <c r="U158" s="67"/>
      <c r="V158" s="67"/>
      <c r="W158" s="67"/>
    </row>
    <row r="159">
      <c r="D159" s="119"/>
      <c r="E159" s="119"/>
      <c r="F159" s="119"/>
      <c r="G159" s="119"/>
      <c r="H159" s="119"/>
      <c r="I159" s="119"/>
      <c r="J159" s="119"/>
      <c r="K159" s="120"/>
      <c r="L159" s="67"/>
      <c r="M159" s="67"/>
      <c r="N159" s="67"/>
      <c r="O159" s="64"/>
      <c r="P159" s="67"/>
      <c r="Q159" s="67"/>
      <c r="R159" s="67"/>
      <c r="S159" s="67"/>
      <c r="T159" s="67"/>
      <c r="U159" s="67"/>
      <c r="V159" s="67"/>
      <c r="W159" s="67"/>
    </row>
    <row r="160">
      <c r="D160" s="119"/>
      <c r="E160" s="119"/>
      <c r="F160" s="119"/>
      <c r="G160" s="119"/>
      <c r="H160" s="119"/>
      <c r="I160" s="119"/>
      <c r="J160" s="119"/>
      <c r="K160" s="120"/>
      <c r="L160" s="67"/>
      <c r="M160" s="67"/>
      <c r="N160" s="67"/>
      <c r="O160" s="64"/>
      <c r="P160" s="67"/>
      <c r="Q160" s="67"/>
      <c r="R160" s="67"/>
      <c r="S160" s="67"/>
      <c r="T160" s="67"/>
      <c r="U160" s="67"/>
      <c r="V160" s="67"/>
      <c r="W160" s="67"/>
    </row>
    <row r="161">
      <c r="D161" s="119"/>
      <c r="E161" s="119"/>
      <c r="F161" s="119"/>
      <c r="G161" s="119"/>
      <c r="H161" s="119"/>
      <c r="I161" s="119"/>
      <c r="J161" s="119"/>
      <c r="K161" s="120"/>
      <c r="L161" s="67"/>
      <c r="M161" s="67"/>
      <c r="N161" s="67"/>
      <c r="O161" s="64"/>
      <c r="P161" s="67"/>
      <c r="Q161" s="67"/>
      <c r="R161" s="67"/>
      <c r="S161" s="67"/>
      <c r="T161" s="67"/>
      <c r="U161" s="67"/>
      <c r="V161" s="67"/>
      <c r="W161" s="67"/>
    </row>
    <row r="162">
      <c r="D162" s="119"/>
      <c r="E162" s="119"/>
      <c r="F162" s="119"/>
      <c r="G162" s="119"/>
      <c r="H162" s="119"/>
      <c r="I162" s="119"/>
      <c r="J162" s="119"/>
      <c r="K162" s="120"/>
      <c r="L162" s="67"/>
      <c r="M162" s="67"/>
      <c r="N162" s="67"/>
      <c r="O162" s="64"/>
      <c r="P162" s="67"/>
      <c r="Q162" s="67"/>
      <c r="R162" s="67"/>
      <c r="S162" s="67"/>
      <c r="T162" s="67"/>
      <c r="U162" s="67"/>
      <c r="V162" s="67"/>
      <c r="W162" s="67"/>
    </row>
    <row r="163">
      <c r="D163" s="119"/>
      <c r="E163" s="119"/>
      <c r="F163" s="119"/>
      <c r="G163" s="119"/>
      <c r="H163" s="119"/>
      <c r="I163" s="119"/>
      <c r="J163" s="119"/>
      <c r="K163" s="120"/>
      <c r="L163" s="67"/>
      <c r="M163" s="67"/>
      <c r="N163" s="67"/>
      <c r="O163" s="64"/>
      <c r="P163" s="67"/>
      <c r="Q163" s="67"/>
      <c r="R163" s="67"/>
      <c r="S163" s="67"/>
      <c r="T163" s="67"/>
      <c r="U163" s="67"/>
      <c r="V163" s="67"/>
      <c r="W163" s="67"/>
    </row>
    <row r="164">
      <c r="D164" s="119"/>
      <c r="E164" s="119"/>
      <c r="F164" s="119"/>
      <c r="G164" s="119"/>
      <c r="H164" s="119"/>
      <c r="I164" s="119"/>
      <c r="J164" s="119"/>
      <c r="K164" s="120"/>
      <c r="L164" s="67"/>
      <c r="M164" s="67"/>
      <c r="N164" s="67"/>
      <c r="O164" s="64"/>
      <c r="P164" s="67"/>
      <c r="Q164" s="67"/>
      <c r="R164" s="67"/>
      <c r="S164" s="67"/>
      <c r="T164" s="67"/>
      <c r="U164" s="67"/>
      <c r="V164" s="67"/>
      <c r="W164" s="67"/>
    </row>
    <row r="165">
      <c r="D165" s="119"/>
      <c r="E165" s="119"/>
      <c r="F165" s="119"/>
      <c r="G165" s="119"/>
      <c r="H165" s="119"/>
      <c r="I165" s="119"/>
      <c r="J165" s="119"/>
      <c r="K165" s="120"/>
      <c r="L165" s="67"/>
      <c r="M165" s="67"/>
      <c r="N165" s="67"/>
      <c r="O165" s="64"/>
      <c r="P165" s="67"/>
      <c r="Q165" s="67"/>
      <c r="R165" s="67"/>
      <c r="S165" s="67"/>
      <c r="T165" s="67"/>
      <c r="U165" s="67"/>
      <c r="V165" s="67"/>
      <c r="W165" s="67"/>
    </row>
    <row r="166">
      <c r="D166" s="119"/>
      <c r="E166" s="119"/>
      <c r="F166" s="119"/>
      <c r="G166" s="119"/>
      <c r="H166" s="119"/>
      <c r="I166" s="119"/>
      <c r="J166" s="119"/>
      <c r="K166" s="120"/>
      <c r="L166" s="67"/>
      <c r="M166" s="67"/>
      <c r="N166" s="67"/>
      <c r="O166" s="64"/>
      <c r="P166" s="67"/>
      <c r="Q166" s="67"/>
      <c r="R166" s="67"/>
      <c r="S166" s="67"/>
      <c r="T166" s="67"/>
      <c r="U166" s="67"/>
      <c r="V166" s="67"/>
      <c r="W166" s="67"/>
    </row>
    <row r="167">
      <c r="D167" s="119"/>
      <c r="E167" s="119"/>
      <c r="F167" s="119"/>
      <c r="G167" s="119"/>
      <c r="H167" s="119"/>
      <c r="I167" s="119"/>
      <c r="J167" s="119"/>
      <c r="K167" s="120"/>
      <c r="L167" s="67"/>
      <c r="M167" s="67"/>
      <c r="N167" s="67"/>
      <c r="O167" s="64"/>
      <c r="P167" s="67"/>
      <c r="Q167" s="67"/>
      <c r="R167" s="67"/>
      <c r="S167" s="67"/>
      <c r="T167" s="67"/>
      <c r="U167" s="67"/>
      <c r="V167" s="67"/>
      <c r="W167" s="67"/>
    </row>
    <row r="168">
      <c r="D168" s="119"/>
      <c r="E168" s="119"/>
      <c r="F168" s="119"/>
      <c r="G168" s="119"/>
      <c r="H168" s="119"/>
      <c r="I168" s="119"/>
      <c r="J168" s="119"/>
      <c r="K168" s="120"/>
      <c r="L168" s="67"/>
      <c r="M168" s="67"/>
      <c r="N168" s="67"/>
      <c r="O168" s="64"/>
      <c r="P168" s="67"/>
      <c r="Q168" s="67"/>
      <c r="R168" s="67"/>
      <c r="S168" s="67"/>
      <c r="T168" s="67"/>
      <c r="U168" s="67"/>
      <c r="V168" s="67"/>
      <c r="W168" s="67"/>
    </row>
    <row r="169">
      <c r="D169" s="119"/>
      <c r="E169" s="119"/>
      <c r="F169" s="119"/>
      <c r="G169" s="119"/>
      <c r="H169" s="119"/>
      <c r="I169" s="119"/>
      <c r="J169" s="119"/>
      <c r="K169" s="120"/>
      <c r="L169" s="67"/>
      <c r="M169" s="67"/>
      <c r="N169" s="67"/>
      <c r="O169" s="64"/>
      <c r="P169" s="67"/>
      <c r="Q169" s="67"/>
      <c r="R169" s="67"/>
      <c r="S169" s="67"/>
      <c r="T169" s="67"/>
      <c r="U169" s="67"/>
      <c r="V169" s="67"/>
      <c r="W169" s="67"/>
    </row>
    <row r="170">
      <c r="D170" s="119"/>
      <c r="E170" s="119"/>
      <c r="F170" s="119"/>
      <c r="G170" s="119"/>
      <c r="H170" s="119"/>
      <c r="I170" s="119"/>
      <c r="J170" s="119"/>
      <c r="K170" s="120"/>
      <c r="L170" s="67"/>
      <c r="M170" s="67"/>
      <c r="N170" s="67"/>
      <c r="O170" s="64"/>
      <c r="P170" s="67"/>
      <c r="Q170" s="67"/>
      <c r="R170" s="67"/>
      <c r="S170" s="67"/>
      <c r="T170" s="67"/>
      <c r="U170" s="67"/>
      <c r="V170" s="67"/>
      <c r="W170" s="67"/>
    </row>
    <row r="171">
      <c r="V171" s="121"/>
    </row>
    <row r="172">
      <c r="V172" s="121"/>
    </row>
    <row r="173">
      <c r="V173" s="121"/>
    </row>
    <row r="174">
      <c r="V174" s="121"/>
    </row>
    <row r="175">
      <c r="V175" s="121"/>
    </row>
    <row r="176">
      <c r="V176" s="121"/>
    </row>
    <row r="177">
      <c r="V177" s="121"/>
    </row>
    <row r="178">
      <c r="V178" s="121"/>
    </row>
    <row r="179">
      <c r="V179" s="121"/>
    </row>
    <row r="180">
      <c r="V180" s="121"/>
    </row>
    <row r="181">
      <c r="V181" s="121"/>
    </row>
    <row r="182">
      <c r="V182" s="121"/>
    </row>
    <row r="183">
      <c r="V183" s="121"/>
    </row>
    <row r="184">
      <c r="V184" s="121"/>
    </row>
    <row r="185">
      <c r="V185" s="121"/>
    </row>
    <row r="186">
      <c r="V186" s="121"/>
    </row>
    <row r="187">
      <c r="V187" s="121"/>
    </row>
    <row r="188">
      <c r="V188" s="121"/>
    </row>
    <row r="189">
      <c r="V189" s="121"/>
    </row>
    <row r="190">
      <c r="V190" s="121"/>
    </row>
    <row r="191">
      <c r="V191" s="121"/>
    </row>
    <row r="192">
      <c r="V192" s="121"/>
    </row>
    <row r="193">
      <c r="V193" s="121"/>
    </row>
    <row r="194">
      <c r="V194" s="121"/>
    </row>
    <row r="195">
      <c r="V195" s="121"/>
    </row>
    <row r="196">
      <c r="V196" s="121"/>
    </row>
    <row r="197">
      <c r="V197" s="121"/>
    </row>
    <row r="198">
      <c r="V198" s="121"/>
    </row>
    <row r="199">
      <c r="V199" s="121"/>
    </row>
    <row r="200">
      <c r="V200" s="121"/>
    </row>
    <row r="201">
      <c r="V201" s="121"/>
    </row>
    <row r="202">
      <c r="V202" s="121"/>
    </row>
    <row r="203">
      <c r="V203" s="121"/>
    </row>
    <row r="204">
      <c r="V204" s="121"/>
    </row>
    <row r="205">
      <c r="V205" s="121"/>
    </row>
    <row r="206">
      <c r="V206" s="121"/>
    </row>
    <row r="207">
      <c r="V207" s="121"/>
    </row>
    <row r="208">
      <c r="V208" s="121"/>
    </row>
    <row r="209">
      <c r="V209" s="121"/>
    </row>
    <row r="210">
      <c r="V210" s="121"/>
    </row>
    <row r="211">
      <c r="V211" s="121"/>
    </row>
    <row r="212">
      <c r="V212" s="121"/>
    </row>
    <row r="213">
      <c r="V213" s="121"/>
    </row>
    <row r="214">
      <c r="V214" s="121"/>
    </row>
    <row r="215">
      <c r="V215" s="121"/>
    </row>
    <row r="216">
      <c r="V216" s="121"/>
    </row>
    <row r="217">
      <c r="V217" s="121"/>
    </row>
    <row r="218">
      <c r="A218" s="122" t="s">
        <v>88</v>
      </c>
      <c r="B218" s="123"/>
      <c r="C218" s="123"/>
      <c r="D218" s="123"/>
      <c r="E218" s="123"/>
      <c r="F218" s="123"/>
      <c r="G218" s="123"/>
      <c r="H218" s="123"/>
      <c r="I218" s="124" t="s">
        <v>89</v>
      </c>
      <c r="J218" s="125"/>
      <c r="K218" s="125"/>
      <c r="L218" s="125"/>
      <c r="M218" s="125"/>
      <c r="N218" s="125"/>
      <c r="O218" s="125"/>
      <c r="P218" s="125"/>
      <c r="V218" s="121" t="s">
        <v>90</v>
      </c>
    </row>
    <row r="219">
      <c r="A219" s="126" t="s">
        <v>91</v>
      </c>
      <c r="B219" s="127"/>
      <c r="C219" s="127"/>
      <c r="D219" s="127"/>
      <c r="E219" s="127"/>
      <c r="F219" s="127"/>
      <c r="G219" s="127"/>
      <c r="H219" s="127"/>
      <c r="I219" s="128" t="s">
        <v>91</v>
      </c>
      <c r="J219" s="129"/>
      <c r="K219" s="129"/>
      <c r="L219" s="129"/>
      <c r="M219" s="129"/>
      <c r="N219" s="129"/>
      <c r="O219" s="129"/>
      <c r="P219" s="129"/>
    </row>
    <row r="220">
      <c r="A220" s="127"/>
      <c r="B220" s="127" t="s">
        <v>92</v>
      </c>
      <c r="C220" s="127"/>
      <c r="D220" s="127"/>
      <c r="E220" s="127"/>
      <c r="F220" s="127"/>
      <c r="G220" s="127"/>
      <c r="H220" s="127"/>
      <c r="I220" s="129"/>
      <c r="J220" s="129" t="s">
        <v>92</v>
      </c>
      <c r="K220" s="129"/>
      <c r="L220" s="129"/>
      <c r="M220" s="129"/>
      <c r="N220" s="129"/>
      <c r="O220" s="129"/>
      <c r="P220" s="129"/>
    </row>
    <row r="221">
      <c r="A221" s="127"/>
      <c r="B221" s="130"/>
      <c r="C221" s="131"/>
      <c r="D221" s="131"/>
      <c r="E221" s="131"/>
      <c r="F221" s="131"/>
      <c r="G221" s="131"/>
      <c r="H221" s="132"/>
      <c r="I221" s="129"/>
      <c r="J221" s="133"/>
      <c r="K221" s="134"/>
      <c r="L221" s="134"/>
      <c r="M221" s="134"/>
      <c r="N221" s="134"/>
      <c r="O221" s="134"/>
      <c r="P221" s="135"/>
      <c r="Q221" s="108"/>
      <c r="R221" s="108"/>
      <c r="S221" s="108"/>
      <c r="T221" s="108"/>
      <c r="U221" s="136"/>
    </row>
    <row r="222">
      <c r="A222" s="127"/>
      <c r="B222" s="137"/>
      <c r="H222" s="138"/>
      <c r="I222" s="129"/>
      <c r="J222" s="139"/>
      <c r="P222" s="140"/>
      <c r="Q222" s="141"/>
      <c r="R222" s="141"/>
      <c r="S222" s="141"/>
      <c r="T222" s="141"/>
      <c r="U222" s="141"/>
    </row>
    <row r="223">
      <c r="A223" s="127"/>
      <c r="B223" s="137"/>
      <c r="H223" s="138"/>
      <c r="I223" s="129"/>
      <c r="J223" s="139"/>
      <c r="P223" s="140"/>
      <c r="Q223" s="141"/>
      <c r="R223" s="141"/>
      <c r="S223" s="141"/>
      <c r="T223" s="141"/>
      <c r="U223" s="141"/>
    </row>
    <row r="224">
      <c r="A224" s="127"/>
      <c r="B224" s="142"/>
      <c r="C224" s="143"/>
      <c r="D224" s="143"/>
      <c r="E224" s="143"/>
      <c r="F224" s="143"/>
      <c r="G224" s="143"/>
      <c r="H224" s="144"/>
      <c r="I224" s="129"/>
      <c r="J224" s="145"/>
      <c r="K224" s="146"/>
      <c r="L224" s="146"/>
      <c r="M224" s="146"/>
      <c r="N224" s="146"/>
      <c r="O224" s="146"/>
      <c r="P224" s="147"/>
      <c r="Q224" s="141"/>
      <c r="R224" s="141"/>
      <c r="S224" s="141"/>
      <c r="T224" s="141"/>
      <c r="U224" s="141"/>
    </row>
    <row r="225">
      <c r="A225" s="127"/>
      <c r="B225" s="127"/>
      <c r="C225" s="127"/>
      <c r="D225" s="127"/>
      <c r="E225" s="127"/>
      <c r="F225" s="127"/>
      <c r="G225" s="127"/>
      <c r="H225" s="127"/>
      <c r="I225" s="129"/>
      <c r="J225" s="129"/>
      <c r="K225" s="129"/>
      <c r="L225" s="129"/>
      <c r="M225" s="129"/>
      <c r="N225" s="129"/>
      <c r="O225" s="129"/>
      <c r="P225" s="129"/>
      <c r="Q225" s="141"/>
      <c r="R225" s="141"/>
      <c r="S225" s="141"/>
      <c r="T225" s="141"/>
      <c r="U225" s="141"/>
    </row>
    <row r="226">
      <c r="A226" s="127"/>
      <c r="B226" s="127" t="s">
        <v>93</v>
      </c>
      <c r="C226" s="127"/>
      <c r="D226" s="127" t="s">
        <v>94</v>
      </c>
      <c r="E226" s="127" t="s">
        <v>95</v>
      </c>
      <c r="F226" s="127" t="s">
        <v>96</v>
      </c>
      <c r="G226" s="127" t="s">
        <v>97</v>
      </c>
      <c r="H226" s="123"/>
      <c r="I226" s="129"/>
      <c r="J226" s="129" t="s">
        <v>93</v>
      </c>
      <c r="K226" s="129"/>
      <c r="L226" s="129" t="s">
        <v>94</v>
      </c>
      <c r="M226" s="129" t="s">
        <v>95</v>
      </c>
      <c r="N226" s="129" t="s">
        <v>96</v>
      </c>
      <c r="O226" s="129" t="s">
        <v>97</v>
      </c>
      <c r="P226" s="125"/>
      <c r="Q226" s="141"/>
      <c r="R226" s="141"/>
      <c r="S226" s="141"/>
      <c r="T226" s="141"/>
      <c r="U226" s="141"/>
    </row>
    <row r="227">
      <c r="A227" s="127"/>
      <c r="B227" s="148" t="s">
        <v>25</v>
      </c>
      <c r="C227" s="127"/>
      <c r="D227" s="148" t="s">
        <v>22</v>
      </c>
      <c r="E227" s="127"/>
      <c r="F227" s="127"/>
      <c r="G227" s="127"/>
      <c r="H227" s="149"/>
      <c r="I227" s="129"/>
      <c r="J227" s="150" t="s">
        <v>25</v>
      </c>
      <c r="K227" s="129"/>
      <c r="L227" s="150" t="s">
        <v>32</v>
      </c>
      <c r="M227" s="129"/>
      <c r="N227" s="129"/>
      <c r="O227" s="129"/>
      <c r="P227" s="151"/>
      <c r="Q227" s="141"/>
      <c r="R227" s="141"/>
      <c r="S227" s="141"/>
      <c r="T227" s="141"/>
      <c r="U227" s="141"/>
    </row>
    <row r="228">
      <c r="A228" s="127"/>
      <c r="B228" s="127">
        <f>if($B$227=$A$6,$B$6,if($B$227=$A$7,$B$7,if($B$227=$A$8,$B$8,if($B$227=$A$9,$B$9,if($B$227=$A$10,$B$10,if($B$227=$A$11,$B$11,if($B$227=$A$12,$B$12,if($B$227=$A$13,$B$13,"??"))))))))</f>
        <v>4</v>
      </c>
      <c r="C228" s="127"/>
      <c r="D228" s="127">
        <f>if($D$227=$A$6,$B$6,if($D$227=$A$7,$B$7,if($D$227=$A$8,$B$8,if($D$227=$A$9,$B$9,if($D$227=$A$10,$B$10,if($D$227=$A$11,$B$11,if($D$227=$A$12,$B$12,if($D$227=$A$13,$B$13,"??"))))))))</f>
        <v>5</v>
      </c>
      <c r="E228" s="127"/>
      <c r="F228" s="127"/>
      <c r="G228" s="127"/>
      <c r="H228" s="149"/>
      <c r="I228" s="129"/>
      <c r="J228" s="129">
        <f>if($B$227=$A$6,$B$6,if($B$227=$A$7,$B$7,if($B$227=$A$8,$B$8,if($B$227=$A$9,$B$9,if($B$227=$A$10,$B$10,if($B$227=$A$11,$B$11,if($B$227=$A$12,$B$12,if($B$227=$A$13,$B$13,"??"))))))))</f>
        <v>4</v>
      </c>
      <c r="K228" s="129"/>
      <c r="L228" s="129">
        <f>if($D$227=$A$6,$B$6,if($D$227=$A$7,$B$7,if($D$227=$A$8,$B$8,if($D$227=$A$9,$B$9,if($D$227=$A$10,$B$10,if($D$227=$A$11,$B$11,if($D$227=$A$12,$B$12,if($D$227=$A$13,$B$13,"??"))))))))</f>
        <v>5</v>
      </c>
      <c r="M228" s="129"/>
      <c r="N228" s="129"/>
      <c r="O228" s="129"/>
      <c r="P228" s="151"/>
      <c r="Q228" s="141"/>
      <c r="R228" s="141"/>
      <c r="S228" s="141"/>
      <c r="T228" s="141"/>
      <c r="U228" s="141"/>
    </row>
    <row r="229">
      <c r="A229" s="123"/>
      <c r="B229" s="123"/>
      <c r="C229" s="123"/>
      <c r="D229" s="123"/>
      <c r="E229" s="123"/>
      <c r="F229" s="123"/>
      <c r="G229" s="123"/>
      <c r="H229" s="123"/>
      <c r="I229" s="125"/>
      <c r="J229" s="125"/>
      <c r="K229" s="152"/>
      <c r="L229" s="152"/>
      <c r="M229" s="153"/>
      <c r="N229" s="153"/>
      <c r="O229" s="153"/>
      <c r="P229" s="153"/>
      <c r="Q229" s="141"/>
      <c r="R229" s="141"/>
      <c r="S229" s="141"/>
      <c r="T229" s="141"/>
      <c r="U229" s="141"/>
    </row>
    <row r="230">
      <c r="A230" s="154" t="s">
        <v>98</v>
      </c>
      <c r="B230" s="127"/>
      <c r="C230" s="127"/>
      <c r="D230" s="127"/>
      <c r="E230" s="127"/>
      <c r="F230" s="127"/>
      <c r="G230" s="127"/>
      <c r="H230" s="127"/>
      <c r="I230" s="155" t="s">
        <v>98</v>
      </c>
      <c r="J230" s="129"/>
      <c r="K230" s="129"/>
      <c r="L230" s="129"/>
      <c r="M230" s="129"/>
      <c r="N230" s="129"/>
      <c r="O230" s="129"/>
      <c r="P230" s="129"/>
      <c r="Q230" s="141"/>
      <c r="R230" s="141"/>
      <c r="S230" s="141"/>
      <c r="T230" s="141"/>
      <c r="U230" s="141"/>
    </row>
    <row r="231">
      <c r="A231" s="127"/>
      <c r="B231" s="127" t="s">
        <v>92</v>
      </c>
      <c r="C231" s="127"/>
      <c r="D231" s="127"/>
      <c r="E231" s="127"/>
      <c r="F231" s="127"/>
      <c r="G231" s="127"/>
      <c r="H231" s="127"/>
      <c r="I231" s="129"/>
      <c r="J231" s="129" t="s">
        <v>92</v>
      </c>
      <c r="K231" s="129"/>
      <c r="L231" s="129"/>
      <c r="M231" s="129"/>
      <c r="N231" s="129"/>
      <c r="O231" s="129"/>
      <c r="P231" s="129"/>
      <c r="Q231" s="141"/>
      <c r="R231" s="141"/>
      <c r="S231" s="141"/>
      <c r="T231" s="141"/>
      <c r="U231" s="141"/>
    </row>
    <row r="232">
      <c r="A232" s="127"/>
      <c r="B232" s="130"/>
      <c r="C232" s="131"/>
      <c r="D232" s="131"/>
      <c r="E232" s="131"/>
      <c r="F232" s="131"/>
      <c r="G232" s="131"/>
      <c r="H232" s="132"/>
      <c r="I232" s="129"/>
      <c r="J232" s="133"/>
      <c r="K232" s="134"/>
      <c r="L232" s="134"/>
      <c r="M232" s="134"/>
      <c r="N232" s="134"/>
      <c r="O232" s="134"/>
      <c r="P232" s="135"/>
      <c r="Q232" s="141"/>
      <c r="R232" s="141"/>
      <c r="S232" s="141"/>
      <c r="T232" s="141"/>
      <c r="U232" s="141"/>
    </row>
    <row r="233">
      <c r="A233" s="127"/>
      <c r="B233" s="137"/>
      <c r="H233" s="138"/>
      <c r="I233" s="129"/>
      <c r="J233" s="139"/>
      <c r="P233" s="140"/>
      <c r="Q233" s="141"/>
      <c r="R233" s="141"/>
      <c r="S233" s="141"/>
      <c r="T233" s="141"/>
      <c r="U233" s="141"/>
    </row>
    <row r="234">
      <c r="A234" s="127"/>
      <c r="B234" s="137"/>
      <c r="H234" s="138"/>
      <c r="I234" s="129"/>
      <c r="J234" s="139"/>
      <c r="P234" s="140"/>
      <c r="Q234" s="108"/>
      <c r="R234" s="108"/>
      <c r="S234" s="108"/>
      <c r="T234" s="136"/>
    </row>
    <row r="235">
      <c r="A235" s="127"/>
      <c r="B235" s="142"/>
      <c r="C235" s="143"/>
      <c r="D235" s="143"/>
      <c r="E235" s="143"/>
      <c r="F235" s="143"/>
      <c r="G235" s="143"/>
      <c r="H235" s="144"/>
      <c r="I235" s="129"/>
      <c r="J235" s="145"/>
      <c r="K235" s="146"/>
      <c r="L235" s="146"/>
      <c r="M235" s="146"/>
      <c r="N235" s="146"/>
      <c r="O235" s="146"/>
      <c r="P235" s="147"/>
    </row>
    <row r="236">
      <c r="A236" s="127"/>
      <c r="B236" s="127"/>
      <c r="C236" s="127"/>
      <c r="D236" s="127"/>
      <c r="E236" s="127"/>
      <c r="F236" s="127"/>
      <c r="G236" s="127"/>
      <c r="H236" s="127"/>
      <c r="I236" s="129"/>
      <c r="J236" s="129"/>
      <c r="K236" s="129"/>
      <c r="L236" s="129"/>
      <c r="M236" s="129"/>
      <c r="N236" s="129"/>
      <c r="O236" s="129"/>
      <c r="P236" s="129"/>
    </row>
    <row r="237">
      <c r="A237" s="127"/>
      <c r="B237" s="127" t="s">
        <v>93</v>
      </c>
      <c r="C237" s="127"/>
      <c r="D237" s="127" t="s">
        <v>94</v>
      </c>
      <c r="E237" s="127" t="s">
        <v>95</v>
      </c>
      <c r="F237" s="127" t="s">
        <v>96</v>
      </c>
      <c r="G237" s="127" t="s">
        <v>97</v>
      </c>
      <c r="H237" s="123"/>
      <c r="I237" s="129"/>
      <c r="J237" s="129" t="s">
        <v>93</v>
      </c>
      <c r="K237" s="129"/>
      <c r="L237" s="129" t="s">
        <v>94</v>
      </c>
      <c r="M237" s="129" t="s">
        <v>95</v>
      </c>
      <c r="N237" s="129" t="s">
        <v>96</v>
      </c>
      <c r="O237" s="129" t="s">
        <v>97</v>
      </c>
      <c r="P237" s="125"/>
    </row>
    <row r="238">
      <c r="A238" s="127"/>
      <c r="B238" s="148" t="s">
        <v>25</v>
      </c>
      <c r="C238" s="127"/>
      <c r="D238" s="148" t="s">
        <v>32</v>
      </c>
      <c r="E238" s="127"/>
      <c r="F238" s="127"/>
      <c r="G238" s="127"/>
      <c r="H238" s="149"/>
      <c r="I238" s="129"/>
      <c r="J238" s="150" t="s">
        <v>25</v>
      </c>
      <c r="K238" s="129"/>
      <c r="L238" s="150" t="s">
        <v>32</v>
      </c>
      <c r="M238" s="129"/>
      <c r="N238" s="129"/>
      <c r="O238" s="129"/>
      <c r="P238" s="151"/>
    </row>
    <row r="239">
      <c r="A239" s="127"/>
      <c r="B239" s="127">
        <f>if($B$227=$A$6,$B$6,if($B$227=$A$7,$B$7,if($B$227=$A$8,$B$8,if($B$227=$A$9,$B$9,if($B$227=$A$10,$B$10,if($B$227=$A$11,$B$11,if($B$227=$A$12,$B$12,if($B$227=$A$13,$B$13,"??"))))))))</f>
        <v>4</v>
      </c>
      <c r="C239" s="127"/>
      <c r="D239" s="127">
        <f>if($D$227=$A$6,$B$6,if($D$227=$A$7,$B$7,if($D$227=$A$8,$B$8,if($D$227=$A$9,$B$9,if($D$227=$A$10,$B$10,if($D$227=$A$11,$B$11,if($D$227=$A$12,$B$12,if($D$227=$A$13,$B$13,"??"))))))))</f>
        <v>5</v>
      </c>
      <c r="E239" s="127"/>
      <c r="F239" s="127"/>
      <c r="G239" s="127"/>
      <c r="H239" s="149"/>
      <c r="I239" s="129"/>
      <c r="J239" s="129">
        <f>if($B$227=$A$6,$B$6,if($B$227=$A$7,$B$7,if($B$227=$A$8,$B$8,if($B$227=$A$9,$B$9,if($B$227=$A$10,$B$10,if($B$227=$A$11,$B$11,if($B$227=$A$12,$B$12,if($B$227=$A$13,$B$13,"??"))))))))</f>
        <v>4</v>
      </c>
      <c r="K239" s="129"/>
      <c r="L239" s="129">
        <f>if($D$227=$A$6,$B$6,if($D$227=$A$7,$B$7,if($D$227=$A$8,$B$8,if($D$227=$A$9,$B$9,if($D$227=$A$10,$B$10,if($D$227=$A$11,$B$11,if($D$227=$A$12,$B$12,if($D$227=$A$13,$B$13,"??"))))))))</f>
        <v>5</v>
      </c>
      <c r="M239" s="129"/>
      <c r="N239" s="129"/>
      <c r="O239" s="129"/>
      <c r="P239" s="151"/>
    </row>
    <row r="240">
      <c r="A240" s="123"/>
      <c r="B240" s="123"/>
      <c r="C240" s="123"/>
      <c r="D240" s="123"/>
      <c r="E240" s="123"/>
      <c r="F240" s="123"/>
      <c r="G240" s="123"/>
      <c r="H240" s="123"/>
      <c r="I240" s="125"/>
      <c r="J240" s="125"/>
      <c r="K240" s="125"/>
      <c r="L240" s="125"/>
      <c r="M240" s="125"/>
      <c r="N240" s="125"/>
      <c r="O240" s="125"/>
      <c r="P240" s="125"/>
    </row>
    <row r="241">
      <c r="A241" s="154" t="s">
        <v>99</v>
      </c>
      <c r="B241" s="127"/>
      <c r="C241" s="127"/>
      <c r="D241" s="127"/>
      <c r="E241" s="127"/>
      <c r="F241" s="127"/>
      <c r="G241" s="127"/>
      <c r="H241" s="127"/>
      <c r="I241" s="155" t="s">
        <v>99</v>
      </c>
      <c r="J241" s="129"/>
      <c r="K241" s="129"/>
      <c r="L241" s="129"/>
      <c r="M241" s="129"/>
      <c r="N241" s="129"/>
      <c r="O241" s="129"/>
      <c r="P241" s="129"/>
    </row>
    <row r="242">
      <c r="A242" s="127"/>
      <c r="B242" s="127" t="s">
        <v>92</v>
      </c>
      <c r="C242" s="127"/>
      <c r="D242" s="127"/>
      <c r="E242" s="127"/>
      <c r="F242" s="127"/>
      <c r="G242" s="127"/>
      <c r="H242" s="127"/>
      <c r="I242" s="129"/>
      <c r="J242" s="129" t="s">
        <v>92</v>
      </c>
      <c r="K242" s="129"/>
      <c r="L242" s="129"/>
      <c r="M242" s="129"/>
      <c r="N242" s="129"/>
      <c r="O242" s="129"/>
      <c r="P242" s="129"/>
    </row>
    <row r="243">
      <c r="A243" s="127"/>
      <c r="B243" s="130"/>
      <c r="C243" s="131"/>
      <c r="D243" s="131"/>
      <c r="E243" s="131"/>
      <c r="F243" s="131"/>
      <c r="G243" s="131"/>
      <c r="H243" s="132"/>
      <c r="I243" s="129"/>
      <c r="J243" s="133"/>
      <c r="K243" s="134"/>
      <c r="L243" s="134"/>
      <c r="M243" s="134"/>
      <c r="N243" s="134"/>
      <c r="O243" s="134"/>
      <c r="P243" s="135"/>
    </row>
    <row r="244">
      <c r="A244" s="127"/>
      <c r="B244" s="137"/>
      <c r="H244" s="138"/>
      <c r="I244" s="129"/>
      <c r="J244" s="139"/>
      <c r="P244" s="140"/>
    </row>
    <row r="245">
      <c r="A245" s="127"/>
      <c r="B245" s="137"/>
      <c r="H245" s="138"/>
      <c r="I245" s="129"/>
      <c r="J245" s="139"/>
      <c r="P245" s="140"/>
      <c r="Q245" s="141"/>
      <c r="R245" s="141"/>
    </row>
    <row r="246">
      <c r="A246" s="127"/>
      <c r="B246" s="142"/>
      <c r="C246" s="143"/>
      <c r="D246" s="143"/>
      <c r="E246" s="143"/>
      <c r="F246" s="143"/>
      <c r="G246" s="143"/>
      <c r="H246" s="144"/>
      <c r="I246" s="129"/>
      <c r="J246" s="145"/>
      <c r="K246" s="146"/>
      <c r="L246" s="146"/>
      <c r="M246" s="146"/>
      <c r="N246" s="146"/>
      <c r="O246" s="146"/>
      <c r="P246" s="147"/>
    </row>
    <row r="247">
      <c r="A247" s="127"/>
      <c r="B247" s="127"/>
      <c r="C247" s="127"/>
      <c r="D247" s="127"/>
      <c r="E247" s="127"/>
      <c r="F247" s="127"/>
      <c r="G247" s="127"/>
      <c r="H247" s="127"/>
      <c r="I247" s="129"/>
      <c r="J247" s="129"/>
      <c r="K247" s="129"/>
      <c r="L247" s="129"/>
      <c r="M247" s="129"/>
      <c r="N247" s="129"/>
      <c r="O247" s="129"/>
      <c r="P247" s="129"/>
    </row>
    <row r="248">
      <c r="A248" s="127"/>
      <c r="B248" s="127" t="s">
        <v>93</v>
      </c>
      <c r="C248" s="127"/>
      <c r="D248" s="127" t="s">
        <v>94</v>
      </c>
      <c r="E248" s="127" t="s">
        <v>95</v>
      </c>
      <c r="F248" s="127" t="s">
        <v>96</v>
      </c>
      <c r="G248" s="127" t="s">
        <v>97</v>
      </c>
      <c r="H248" s="123"/>
      <c r="I248" s="129"/>
      <c r="J248" s="129" t="s">
        <v>93</v>
      </c>
      <c r="K248" s="129"/>
      <c r="L248" s="129" t="s">
        <v>94</v>
      </c>
      <c r="M248" s="129" t="s">
        <v>95</v>
      </c>
      <c r="N248" s="129" t="s">
        <v>96</v>
      </c>
      <c r="O248" s="129" t="s">
        <v>97</v>
      </c>
      <c r="P248" s="125"/>
    </row>
    <row r="249">
      <c r="A249" s="127"/>
      <c r="B249" s="148" t="s">
        <v>25</v>
      </c>
      <c r="C249" s="127"/>
      <c r="D249" s="148" t="s">
        <v>32</v>
      </c>
      <c r="E249" s="127"/>
      <c r="F249" s="127"/>
      <c r="G249" s="127"/>
      <c r="H249" s="149"/>
      <c r="I249" s="129"/>
      <c r="J249" s="150" t="s">
        <v>25</v>
      </c>
      <c r="K249" s="129"/>
      <c r="L249" s="150" t="s">
        <v>32</v>
      </c>
      <c r="M249" s="129"/>
      <c r="N249" s="129"/>
      <c r="O249" s="129"/>
      <c r="P249" s="151"/>
    </row>
    <row r="250">
      <c r="A250" s="127"/>
      <c r="B250" s="127">
        <f>if($B$227=$A$6,$B$6,if($B$227=$A$7,$B$7,if($B$227=$A$8,$B$8,if($B$227=$A$9,$B$9,if($B$227=$A$10,$B$10,if($B$227=$A$11,$B$11,if($B$227=$A$12,$B$12,if($B$227=$A$13,$B$13,"??"))))))))</f>
        <v>4</v>
      </c>
      <c r="C250" s="127"/>
      <c r="D250" s="127">
        <f>if($D$227=$A$6,$B$6,if($D$227=$A$7,$B$7,if($D$227=$A$8,$B$8,if($D$227=$A$9,$B$9,if($D$227=$A$10,$B$10,if($D$227=$A$11,$B$11,if($D$227=$A$12,$B$12,if($D$227=$A$13,$B$13,"??"))))))))</f>
        <v>5</v>
      </c>
      <c r="E250" s="127"/>
      <c r="F250" s="127"/>
      <c r="G250" s="127"/>
      <c r="H250" s="149"/>
      <c r="I250" s="129"/>
      <c r="J250" s="129">
        <f>if($B$227=$A$6,$B$6,if($B$227=$A$7,$B$7,if($B$227=$A$8,$B$8,if($B$227=$A$9,$B$9,if($B$227=$A$10,$B$10,if($B$227=$A$11,$B$11,if($B$227=$A$12,$B$12,if($B$227=$A$13,$B$13,"??"))))))))</f>
        <v>4</v>
      </c>
      <c r="K250" s="129"/>
      <c r="L250" s="129">
        <f>if($D$227=$A$6,$B$6,if($D$227=$A$7,$B$7,if($D$227=$A$8,$B$8,if($D$227=$A$9,$B$9,if($D$227=$A$10,$B$10,if($D$227=$A$11,$B$11,if($D$227=$A$12,$B$12,if($D$227=$A$13,$B$13,"??"))))))))</f>
        <v>5</v>
      </c>
      <c r="M250" s="129"/>
      <c r="N250" s="129"/>
      <c r="O250" s="129"/>
      <c r="P250" s="151"/>
    </row>
    <row r="251">
      <c r="A251" s="123"/>
      <c r="B251" s="123"/>
      <c r="C251" s="123"/>
      <c r="D251" s="123"/>
      <c r="E251" s="123"/>
      <c r="F251" s="123"/>
      <c r="G251" s="123"/>
      <c r="H251" s="123"/>
      <c r="I251" s="125"/>
      <c r="J251" s="125"/>
      <c r="K251" s="125"/>
      <c r="L251" s="125"/>
      <c r="M251" s="125"/>
      <c r="N251" s="125"/>
      <c r="O251" s="125"/>
      <c r="P251" s="125"/>
    </row>
    <row r="269">
      <c r="K269" s="3"/>
    </row>
    <row r="270">
      <c r="K270" s="3"/>
    </row>
    <row r="271">
      <c r="K271" s="3"/>
    </row>
    <row r="272">
      <c r="K272" s="3"/>
    </row>
    <row r="273">
      <c r="K273" s="3"/>
    </row>
    <row r="279" ht="32.25" customHeight="1"/>
  </sheetData>
  <autoFilter ref="$A$6:$A$13"/>
  <customSheetViews>
    <customSheetView guid="{C44E356E-5505-4920-AEA5-0DE01EA7A27A}" filter="1" showAutoFilter="1">
      <autoFilter ref="$A$31:$K$115">
        <filterColumn colId="0">
          <filters/>
        </filterColumn>
      </autoFilter>
    </customSheetView>
  </customSheetViews>
  <mergeCells count="17">
    <mergeCell ref="K8:K9"/>
    <mergeCell ref="K10:K11"/>
    <mergeCell ref="K12:K13"/>
    <mergeCell ref="K14:K15"/>
    <mergeCell ref="K16:K17"/>
    <mergeCell ref="M28:W28"/>
    <mergeCell ref="AE29:AH29"/>
    <mergeCell ref="B243:H246"/>
    <mergeCell ref="D283:J291"/>
    <mergeCell ref="D298:J306"/>
    <mergeCell ref="P29:W29"/>
    <mergeCell ref="L132:W132"/>
    <mergeCell ref="B221:H224"/>
    <mergeCell ref="J221:P224"/>
    <mergeCell ref="B232:H235"/>
    <mergeCell ref="J232:P235"/>
    <mergeCell ref="J243:P246"/>
  </mergeCells>
  <dataValidations>
    <dataValidation type="list" allowBlank="1" sqref="D227 L227 D238 L238 D249 L249">
      <formula1>Template!$A$6:$A$17</formula1>
    </dataValidation>
    <dataValidation type="list" allowBlank="1" sqref="B227 J227 B238 J238 B249 J249">
      <formula1>Template!$A$5:$A$17</formula1>
    </dataValidation>
    <dataValidation type="list" allowBlank="1" sqref="E227:F227 M227:N227 E238:F238 M238:N238 E249:F249 M249:N249">
      <formula1>Template!$D$134:$D$150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1.75"/>
    <col customWidth="1" min="7" max="7" width="20.25"/>
    <col customWidth="1" min="14" max="14" width="24.63"/>
    <col customWidth="1" min="15" max="15" width="16.38"/>
  </cols>
  <sheetData>
    <row r="6">
      <c r="B6" s="156" t="s">
        <v>100</v>
      </c>
      <c r="C6" s="157"/>
      <c r="D6" s="157"/>
      <c r="E6" s="157"/>
      <c r="F6" s="157"/>
      <c r="G6" s="156" t="s">
        <v>101</v>
      </c>
      <c r="H6" s="157"/>
      <c r="I6" s="157"/>
      <c r="J6" s="157"/>
      <c r="K6" s="157"/>
      <c r="L6" s="157"/>
      <c r="M6" s="157"/>
      <c r="N6" s="157"/>
      <c r="O6" s="158"/>
    </row>
    <row r="7">
      <c r="B7" s="159" t="s">
        <v>52</v>
      </c>
      <c r="C7" s="160" t="s">
        <v>53</v>
      </c>
      <c r="D7" s="160" t="s">
        <v>54</v>
      </c>
      <c r="E7" s="160" t="s">
        <v>55</v>
      </c>
      <c r="F7" s="160" t="s">
        <v>60</v>
      </c>
      <c r="G7" s="159" t="s">
        <v>52</v>
      </c>
      <c r="H7" s="160" t="s">
        <v>102</v>
      </c>
      <c r="I7" s="160" t="s">
        <v>54</v>
      </c>
      <c r="J7" s="160" t="s">
        <v>55</v>
      </c>
      <c r="K7" s="160" t="s">
        <v>103</v>
      </c>
      <c r="L7" s="160" t="s">
        <v>37</v>
      </c>
      <c r="M7" s="160" t="s">
        <v>60</v>
      </c>
      <c r="N7" s="160" t="s">
        <v>104</v>
      </c>
      <c r="O7" s="161" t="s">
        <v>58</v>
      </c>
    </row>
    <row r="8">
      <c r="B8" s="162" t="str">
        <f>IFERROR(__xludf.DUMMYFUNCTION("filter(Template!$Z$31:$AC$38,Template!$AD$31:$AD$38=""O"")"),"#N/A")</f>
        <v>#N/A</v>
      </c>
      <c r="C8" s="163"/>
      <c r="D8" s="163"/>
      <c r="E8" s="163"/>
      <c r="F8" s="163" t="str">
        <f>IFERROR(__xludf.DUMMYFUNCTION("filter(Template!$AI$31:$AI$38,Template!$AD$31:$AD$38=""O"")"),"#N/A")</f>
        <v>#N/A</v>
      </c>
      <c r="G8" s="162" t="str">
        <f>IFERROR(__xludf.DUMMYFUNCTION("filter(Template!$Z$31:$AC$38,Template!$AD$31:$AD$38=""U"")"),"remove crime")</f>
        <v>remove crime</v>
      </c>
      <c r="H8" s="163" t="str">
        <f>IFERROR(__xludf.DUMMYFUNCTION("""COMPUTED_VALUE"""),"iImprove society")</f>
        <v>iImprove society</v>
      </c>
      <c r="I8" s="163">
        <f>IFERROR(__xludf.DUMMYFUNCTION("""COMPUTED_VALUE"""),1.0)</f>
        <v>1</v>
      </c>
      <c r="J8" s="163" t="str">
        <f>IFERROR(__xludf.DUMMYFUNCTION("""COMPUTED_VALUE"""),"1 Poison")</f>
        <v>1 Poison</v>
      </c>
      <c r="K8" s="163" t="str">
        <f>IFERROR(__xludf.DUMMYFUNCTION("filter(Template!$AK$31:$AK$38,Template!$AD$31:$AD$38=""U"")"),"")</f>
        <v/>
      </c>
      <c r="L8" s="163" t="str">
        <f>IFERROR(__xludf.DUMMYFUNCTION("filter(Template!$AJ$31:$AJ$38,Template!$AD$31:$AD$38=""U"")"),"21/30")</f>
        <v>21/30</v>
      </c>
      <c r="M8" s="163">
        <f>IFERROR(__xludf.DUMMYFUNCTION("filter(Template!$AI$31:$AI$38,Template!$AD$31:$AD$38=""U"")"),34.0)</f>
        <v>34</v>
      </c>
      <c r="N8" s="163">
        <f>IFERROR(__xludf.DUMMYFUNCTION("filter(Template!$AE$31:$AE$38,Template!$AD$31:$AD$38=""U"")"),13.0)</f>
        <v>13</v>
      </c>
      <c r="O8" s="164">
        <f>IFERROR(__xludf.DUMMYFUNCTION("filter(Template!$AF$31:$AF$38,Template!$AD$31:$AD$38=""U"")"),9.0)</f>
        <v>9</v>
      </c>
    </row>
    <row r="9">
      <c r="B9" s="162"/>
      <c r="C9" s="163"/>
      <c r="D9" s="163"/>
      <c r="E9" s="163"/>
      <c r="F9" s="163"/>
      <c r="G9" s="162" t="str">
        <f>IFERROR(__xludf.DUMMYFUNCTION("""COMPUTED_VALUE"""),"Trade post ")</f>
        <v>Trade post </v>
      </c>
      <c r="H9" s="163" t="str">
        <f>IFERROR(__xludf.DUMMYFUNCTION("""COMPUTED_VALUE"""),"Theedrdrim")</f>
        <v>Theedrdrim</v>
      </c>
      <c r="I9" s="163">
        <f>IFERROR(__xludf.DUMMYFUNCTION("""COMPUTED_VALUE"""),15.0)</f>
        <v>15</v>
      </c>
      <c r="J9" s="163" t="str">
        <f>IFERROR(__xludf.DUMMYFUNCTION("""COMPUTED_VALUE"""),"1 hardwood, 1 crop")</f>
        <v>1 hardwood, 1 crop</v>
      </c>
      <c r="K9" s="163"/>
      <c r="L9" s="163" t="str">
        <f>IFERROR(__xludf.DUMMYFUNCTION("""COMPUTED_VALUE"""),"49/35")</f>
        <v>49/35</v>
      </c>
      <c r="M9" s="163">
        <f>IFERROR(__xludf.DUMMYFUNCTION("""COMPUTED_VALUE"""),38.0)</f>
        <v>38</v>
      </c>
      <c r="N9" s="163">
        <f>IFERROR(__xludf.DUMMYFUNCTION("""COMPUTED_VALUE"""),19.0)</f>
        <v>19</v>
      </c>
      <c r="O9" s="165">
        <f>IFERROR(__xludf.DUMMYFUNCTION("""COMPUTED_VALUE"""),15.0)</f>
        <v>15</v>
      </c>
    </row>
    <row r="10">
      <c r="B10" s="162"/>
      <c r="C10" s="163"/>
      <c r="D10" s="163"/>
      <c r="E10" s="163"/>
      <c r="F10" s="163"/>
      <c r="G10" s="162" t="str">
        <f>IFERROR(__xludf.DUMMYFUNCTION("""COMPUTED_VALUE"""),"spcial forces ")</f>
        <v>spcial forces </v>
      </c>
      <c r="H10" s="163" t="str">
        <f>IFERROR(__xludf.DUMMYFUNCTION("""COMPUTED_VALUE"""),"auditors")</f>
        <v>auditors</v>
      </c>
      <c r="I10" s="163">
        <f>IFERROR(__xludf.DUMMYFUNCTION("""COMPUTED_VALUE"""),10.0)</f>
        <v>10</v>
      </c>
      <c r="J10" s="163" t="str">
        <f>IFERROR(__xludf.DUMMYFUNCTION("""COMPUTED_VALUE"""),"1 pearl, 1 spirits")</f>
        <v>1 pearl, 1 spirits</v>
      </c>
      <c r="K10" s="163"/>
      <c r="L10" s="163" t="str">
        <f>IFERROR(__xludf.DUMMYFUNCTION("""COMPUTED_VALUE"""),"41/35")</f>
        <v>41/35</v>
      </c>
      <c r="M10" s="163">
        <f>IFERROR(__xludf.DUMMYFUNCTION("""COMPUTED_VALUE"""),38.0)</f>
        <v>38</v>
      </c>
      <c r="N10" s="163">
        <f>IFERROR(__xludf.DUMMYFUNCTION("""COMPUTED_VALUE"""),17.0)</f>
        <v>17</v>
      </c>
      <c r="O10" s="165">
        <f>IFERROR(__xludf.DUMMYFUNCTION("""COMPUTED_VALUE"""),12.0)</f>
        <v>12</v>
      </c>
    </row>
    <row r="11">
      <c r="B11" s="162"/>
      <c r="C11" s="163"/>
      <c r="D11" s="163"/>
      <c r="E11" s="163"/>
      <c r="F11" s="163"/>
      <c r="G11" s="162"/>
      <c r="H11" s="163"/>
      <c r="I11" s="163"/>
      <c r="J11" s="163"/>
      <c r="K11" s="163"/>
      <c r="L11" s="163"/>
      <c r="M11" s="163"/>
      <c r="N11" s="163"/>
      <c r="O11" s="165"/>
    </row>
    <row r="12">
      <c r="B12" s="162"/>
      <c r="C12" s="163"/>
      <c r="D12" s="163"/>
      <c r="E12" s="163"/>
      <c r="F12" s="163"/>
      <c r="G12" s="162"/>
      <c r="H12" s="163"/>
      <c r="I12" s="163"/>
      <c r="J12" s="163"/>
      <c r="K12" s="163"/>
      <c r="L12" s="163"/>
      <c r="M12" s="163"/>
      <c r="N12" s="163"/>
      <c r="O12" s="165"/>
    </row>
    <row r="13">
      <c r="B13" s="162"/>
      <c r="C13" s="163"/>
      <c r="D13" s="163"/>
      <c r="E13" s="163"/>
      <c r="F13" s="163"/>
      <c r="G13" s="162"/>
      <c r="H13" s="163"/>
      <c r="I13" s="163"/>
      <c r="J13" s="163"/>
      <c r="K13" s="163"/>
      <c r="L13" s="163"/>
      <c r="M13" s="163"/>
      <c r="N13" s="163"/>
      <c r="O13" s="165"/>
    </row>
    <row r="14">
      <c r="B14" s="162"/>
      <c r="C14" s="163"/>
      <c r="D14" s="163"/>
      <c r="E14" s="163"/>
      <c r="F14" s="163"/>
      <c r="G14" s="162"/>
      <c r="H14" s="163"/>
      <c r="I14" s="163"/>
      <c r="J14" s="163"/>
      <c r="K14" s="163"/>
      <c r="L14" s="163"/>
      <c r="M14" s="163"/>
      <c r="N14" s="163"/>
      <c r="O14" s="165"/>
    </row>
    <row r="15">
      <c r="B15" s="162"/>
      <c r="C15" s="163"/>
      <c r="D15" s="163"/>
      <c r="E15" s="163"/>
      <c r="F15" s="163"/>
      <c r="G15" s="162"/>
      <c r="H15" s="163"/>
      <c r="I15" s="163"/>
      <c r="J15" s="163"/>
      <c r="K15" s="163"/>
      <c r="L15" s="163"/>
      <c r="M15" s="163"/>
      <c r="N15" s="163"/>
      <c r="O15" s="165"/>
    </row>
    <row r="16">
      <c r="B16" s="162"/>
      <c r="C16" s="163"/>
      <c r="D16" s="163"/>
      <c r="E16" s="163"/>
      <c r="F16" s="163"/>
      <c r="G16" s="162"/>
      <c r="H16" s="163"/>
      <c r="I16" s="163"/>
      <c r="J16" s="163"/>
      <c r="K16" s="163"/>
      <c r="L16" s="163"/>
      <c r="M16" s="163"/>
      <c r="N16" s="163"/>
      <c r="O16" s="165"/>
    </row>
    <row r="17">
      <c r="B17" s="162"/>
      <c r="C17" s="163"/>
      <c r="D17" s="163"/>
      <c r="E17" s="163"/>
      <c r="F17" s="163"/>
      <c r="G17" s="162"/>
      <c r="H17" s="163"/>
      <c r="I17" s="163"/>
      <c r="J17" s="163"/>
      <c r="K17" s="163"/>
      <c r="L17" s="163"/>
      <c r="M17" s="163"/>
      <c r="N17" s="163"/>
      <c r="O17" s="165"/>
    </row>
    <row r="18">
      <c r="B18" s="166"/>
      <c r="C18" s="167"/>
      <c r="D18" s="167"/>
      <c r="E18" s="167"/>
      <c r="F18" s="167"/>
      <c r="G18" s="166"/>
      <c r="H18" s="167"/>
      <c r="I18" s="167"/>
      <c r="J18" s="167"/>
      <c r="K18" s="167"/>
      <c r="L18" s="167"/>
      <c r="M18" s="167"/>
      <c r="N18" s="167"/>
      <c r="O18" s="168"/>
    </row>
    <row r="24">
      <c r="C24" s="59" t="s">
        <v>66</v>
      </c>
      <c r="D24" s="81">
        <f>sum(D8:D18,I8:I18)</f>
        <v>26</v>
      </c>
      <c r="E24" s="169" t="s">
        <v>105</v>
      </c>
    </row>
    <row r="28">
      <c r="B28" s="156" t="s">
        <v>106</v>
      </c>
      <c r="C28" s="157"/>
      <c r="D28" s="157"/>
      <c r="E28" s="157"/>
      <c r="F28" s="157"/>
      <c r="G28" s="157"/>
      <c r="H28" s="158"/>
    </row>
    <row r="29">
      <c r="B29" s="159" t="s">
        <v>52</v>
      </c>
      <c r="C29" s="160" t="s">
        <v>102</v>
      </c>
      <c r="D29" s="160" t="s">
        <v>54</v>
      </c>
      <c r="E29" s="160" t="s">
        <v>55</v>
      </c>
      <c r="F29" s="160" t="s">
        <v>107</v>
      </c>
      <c r="G29" s="160" t="s">
        <v>37</v>
      </c>
      <c r="H29" s="170" t="s">
        <v>60</v>
      </c>
    </row>
    <row r="30">
      <c r="B30" s="162" t="str">
        <f>IFERROR(__xludf.DUMMYFUNCTION("filter(Template!$Z$31:$AC$38,Template!$AD$31:$AD$38=""S"")"),"#N/A")</f>
        <v>#N/A</v>
      </c>
      <c r="C30" s="163"/>
      <c r="D30" s="163"/>
      <c r="E30" s="163"/>
      <c r="F30" s="163" t="str">
        <f>IFERROR(__xludf.DUMMYFUNCTION("filter(Template!$AF$31:$AF$38,Template!$AD$31:$AD$38=""S"")"),"#N/A")</f>
        <v>#N/A</v>
      </c>
      <c r="G30" s="163" t="str">
        <f>IFERROR(__xludf.DUMMYFUNCTION("filter(Template!$AJ$31:$AJ$38,Template!$AD$31:$AD$38=""S"")"),"#N/A")</f>
        <v>#N/A</v>
      </c>
      <c r="H30" s="165" t="str">
        <f>IFERROR(__xludf.DUMMYFUNCTION("filter(Template!$AI$31:$AI$38,Template!$AD$31:$AD$38=""S"")"),"#N/A")</f>
        <v>#N/A</v>
      </c>
    </row>
    <row r="31">
      <c r="B31" s="162"/>
      <c r="C31" s="163"/>
      <c r="D31" s="163"/>
      <c r="E31" s="163"/>
      <c r="F31" s="163"/>
      <c r="G31" s="163"/>
      <c r="H31" s="165"/>
    </row>
    <row r="32">
      <c r="B32" s="162"/>
      <c r="C32" s="163"/>
      <c r="D32" s="163"/>
      <c r="E32" s="163"/>
      <c r="F32" s="163"/>
      <c r="G32" s="163"/>
      <c r="H32" s="165"/>
    </row>
    <row r="33">
      <c r="B33" s="162"/>
      <c r="C33" s="163"/>
      <c r="D33" s="163"/>
      <c r="E33" s="163"/>
      <c r="F33" s="163"/>
      <c r="G33" s="163"/>
      <c r="H33" s="165"/>
    </row>
    <row r="34">
      <c r="B34" s="162"/>
      <c r="C34" s="163"/>
      <c r="D34" s="163"/>
      <c r="E34" s="163"/>
      <c r="F34" s="163"/>
      <c r="G34" s="163"/>
      <c r="H34" s="165"/>
    </row>
    <row r="35">
      <c r="B35" s="162"/>
      <c r="C35" s="163"/>
      <c r="D35" s="163"/>
      <c r="E35" s="163"/>
      <c r="F35" s="163"/>
      <c r="G35" s="163"/>
      <c r="H35" s="165"/>
    </row>
    <row r="36">
      <c r="B36" s="162"/>
      <c r="C36" s="163"/>
      <c r="D36" s="163"/>
      <c r="E36" s="163"/>
      <c r="F36" s="163"/>
      <c r="G36" s="163"/>
      <c r="H36" s="165"/>
    </row>
    <row r="37">
      <c r="B37" s="166"/>
      <c r="C37" s="167"/>
      <c r="D37" s="167"/>
      <c r="E37" s="167"/>
      <c r="F37" s="167"/>
      <c r="G37" s="167"/>
      <c r="H37" s="16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9" max="19" width="15.25"/>
    <col customWidth="1" min="20" max="20" width="18.0"/>
  </cols>
  <sheetData>
    <row r="2">
      <c r="B2" s="171" t="s">
        <v>108</v>
      </c>
      <c r="C2" s="172">
        <v>200.0</v>
      </c>
    </row>
    <row r="3">
      <c r="B3" s="173" t="str">
        <f>IFERROR(__xludf.DUMMYFUNCTION("importrange(""https://docs.google.com/spreadsheets/d/1VpAB5K6gM6WNrimgyxwH6nHNNPzT4KWM30mfQiRrUF4/edit#gid=0"", ""Trades!v2:ab200"")"),"Initiator Output")</f>
        <v>Initiator Output</v>
      </c>
      <c r="C3" s="18"/>
      <c r="D3" s="18"/>
      <c r="E3" s="18"/>
      <c r="F3" s="18"/>
      <c r="G3" s="18"/>
      <c r="H3" s="18"/>
      <c r="I3" s="174" t="str">
        <f>IFERROR(__xludf.DUMMYFUNCTION("importrange(""https://docs.google.com/spreadsheets/d/1VpAB5K6gM6WNrimgyxwH6nHNNPzT4KWM30mfQiRrUF4/edit#gid=0"", ""Trades!ad2:aj200"")"),"Confirmer Output")</f>
        <v>Confirmer Output</v>
      </c>
      <c r="J3" s="18"/>
      <c r="K3" s="18"/>
      <c r="L3" s="18"/>
      <c r="M3" s="18"/>
      <c r="N3" s="18"/>
      <c r="O3" s="18"/>
    </row>
    <row r="4">
      <c r="B4" s="18" t="str">
        <f>IFERROR(__xludf.DUMMYFUNCTION("""COMPUTED_VALUE"""),"Turn Started")</f>
        <v>Turn Started</v>
      </c>
      <c r="C4" s="18" t="str">
        <f>IFERROR(__xludf.DUMMYFUNCTION("""COMPUTED_VALUE"""),"Mature?")</f>
        <v>Mature?</v>
      </c>
      <c r="D4" s="18" t="str">
        <f>IFERROR(__xludf.DUMMYFUNCTION("""COMPUTED_VALUE"""),"From/To")</f>
        <v>From/To</v>
      </c>
      <c r="E4" s="18" t="str">
        <f>IFERROR(__xludf.DUMMYFUNCTION("""COMPUTED_VALUE"""),"Sending")</f>
        <v>Sending</v>
      </c>
      <c r="F4" s="18" t="str">
        <f>IFERROR(__xludf.DUMMYFUNCTION("""COMPUTED_VALUE"""),"Receiving")</f>
        <v>Receiving</v>
      </c>
      <c r="G4" s="18" t="str">
        <f>IFERROR(__xludf.DUMMYFUNCTION("""COMPUTED_VALUE"""),"Net Profit in (g)")</f>
        <v>Net Profit in (g)</v>
      </c>
      <c r="H4" s="18" t="str">
        <f>IFERROR(__xludf.DUMMYFUNCTION("""COMPUTED_VALUE"""),"Notes")</f>
        <v>Notes</v>
      </c>
      <c r="I4" s="18" t="str">
        <f>IFERROR(__xludf.DUMMYFUNCTION("""COMPUTED_VALUE"""),"Turn Started")</f>
        <v>Turn Started</v>
      </c>
      <c r="J4" s="18" t="str">
        <f>IFERROR(__xludf.DUMMYFUNCTION("""COMPUTED_VALUE"""),"Mature?")</f>
        <v>Mature?</v>
      </c>
      <c r="K4" s="18" t="str">
        <f>IFERROR(__xludf.DUMMYFUNCTION("""COMPUTED_VALUE"""),"From/To")</f>
        <v>From/To</v>
      </c>
      <c r="L4" s="18" t="str">
        <f>IFERROR(__xludf.DUMMYFUNCTION("""COMPUTED_VALUE"""),"Sending")</f>
        <v>Sending</v>
      </c>
      <c r="M4" s="18" t="str">
        <f>IFERROR(__xludf.DUMMYFUNCTION("""COMPUTED_VALUE"""),"Receiving")</f>
        <v>Receiving</v>
      </c>
      <c r="N4" s="18" t="str">
        <f>IFERROR(__xludf.DUMMYFUNCTION("""COMPUTED_VALUE"""),"Net Profit in (g)")</f>
        <v>Net Profit in (g)</v>
      </c>
      <c r="O4" s="18" t="str">
        <f>IFERROR(__xludf.DUMMYFUNCTION("""COMPUTED_VALUE"""),"Notes")</f>
        <v>Notes</v>
      </c>
    </row>
    <row r="5">
      <c r="B5" s="18">
        <f>IFERROR(__xludf.DUMMYFUNCTION("""COMPUTED_VALUE"""),2.0)</f>
        <v>2</v>
      </c>
      <c r="C5" s="18" t="str">
        <f>IFERROR(__xludf.DUMMYFUNCTION("""COMPUTED_VALUE"""),"Y")</f>
        <v>Y</v>
      </c>
      <c r="D5" s="18" t="str">
        <f>IFERROR(__xludf.DUMMYFUNCTION("""COMPUTED_VALUE"""),"Aelthar/Gnomergnan")</f>
        <v>Aelthar/Gnomergnan</v>
      </c>
      <c r="E5" s="18" t="str">
        <f>IFERROR(__xludf.DUMMYFUNCTION("""COMPUTED_VALUE"""),"1 Ironwood, 1 Deathstone, 2g")</f>
        <v>1 Ironwood, 1 Deathstone, 2g</v>
      </c>
      <c r="F5" s="18" t="str">
        <f>IFERROR(__xludf.DUMMYFUNCTION("""COMPUTED_VALUE"""),"1 Cinnabar, 1 Diamond, 1 Brass")</f>
        <v>1 Cinnabar, 1 Diamond, 1 Brass</v>
      </c>
      <c r="G5" s="175">
        <f>IFERROR(__xludf.DUMMYFUNCTION("""COMPUTED_VALUE"""),1.5)</f>
        <v>1.5</v>
      </c>
      <c r="H5" s="18" t="str">
        <f>IFERROR(__xludf.DUMMYFUNCTION("""COMPUTED_VALUE"""),"Gate")</f>
        <v>Gate</v>
      </c>
      <c r="I5" s="18">
        <f>IFERROR(__xludf.DUMMYFUNCTION("""COMPUTED_VALUE"""),2.0)</f>
        <v>2</v>
      </c>
      <c r="J5" s="18" t="str">
        <f>IFERROR(__xludf.DUMMYFUNCTION("""COMPUTED_VALUE"""),"Y")</f>
        <v>Y</v>
      </c>
      <c r="K5" s="176" t="str">
        <f>IFERROR(__xludf.DUMMYFUNCTION("""COMPUTED_VALUE"""),"Aelthar/Gnomergnan")</f>
        <v>Aelthar/Gnomergnan</v>
      </c>
      <c r="L5" s="176" t="str">
        <f>IFERROR(__xludf.DUMMYFUNCTION("""COMPUTED_VALUE"""),"1 Cinnabar, 1 Diamond, 1 Brass")</f>
        <v>1 Cinnabar, 1 Diamond, 1 Brass</v>
      </c>
      <c r="M5" s="176" t="str">
        <f>IFERROR(__xludf.DUMMYFUNCTION("""COMPUTED_VALUE"""),"1 Ironwood, 1 Deathstone, 2g")</f>
        <v>1 Ironwood, 1 Deathstone, 2g</v>
      </c>
      <c r="N5" s="176">
        <f>IFERROR(__xludf.DUMMYFUNCTION("""COMPUTED_VALUE"""),4.0)</f>
        <v>4</v>
      </c>
      <c r="O5" s="176" t="str">
        <f>IFERROR(__xludf.DUMMYFUNCTION("""COMPUTED_VALUE"""),"Gate")</f>
        <v>Gate</v>
      </c>
      <c r="P5" s="176"/>
    </row>
    <row r="6">
      <c r="B6" s="18">
        <f>IFERROR(__xludf.DUMMYFUNCTION("""COMPUTED_VALUE"""),3.0)</f>
        <v>3</v>
      </c>
      <c r="C6" s="18" t="str">
        <f>IFERROR(__xludf.DUMMYFUNCTION("""COMPUTED_VALUE"""),"Y")</f>
        <v>Y</v>
      </c>
      <c r="D6" s="18" t="str">
        <f>IFERROR(__xludf.DUMMYFUNCTION("""COMPUTED_VALUE"""),"Aelthar/Lycaeum")</f>
        <v>Aelthar/Lycaeum</v>
      </c>
      <c r="E6" s="18" t="str">
        <f>IFERROR(__xludf.DUMMYFUNCTION("""COMPUTED_VALUE"""),"1 Fruit")</f>
        <v>1 Fruit</v>
      </c>
      <c r="F6" s="18" t="str">
        <f>IFERROR(__xludf.DUMMYFUNCTION("""COMPUTED_VALUE"""),"1 crops")</f>
        <v>1 crops</v>
      </c>
      <c r="G6" s="175">
        <f>IFERROR(__xludf.DUMMYFUNCTION("""COMPUTED_VALUE"""),3.0)</f>
        <v>3</v>
      </c>
      <c r="H6" s="18"/>
      <c r="I6" s="18">
        <f>IFERROR(__xludf.DUMMYFUNCTION("""COMPUTED_VALUE"""),3.0)</f>
        <v>3</v>
      </c>
      <c r="J6" s="18" t="str">
        <f>IFERROR(__xludf.DUMMYFUNCTION("""COMPUTED_VALUE"""),"Y")</f>
        <v>Y</v>
      </c>
      <c r="K6" s="18" t="str">
        <f>IFERROR(__xludf.DUMMYFUNCTION("""COMPUTED_VALUE"""),"Aelthar/Lycaeum")</f>
        <v>Aelthar/Lycaeum</v>
      </c>
      <c r="L6" s="18" t="str">
        <f>IFERROR(__xludf.DUMMYFUNCTION("""COMPUTED_VALUE"""),"1 crops")</f>
        <v>1 crops</v>
      </c>
      <c r="M6" s="18" t="str">
        <f>IFERROR(__xludf.DUMMYFUNCTION("""COMPUTED_VALUE"""),"1 Fruit")</f>
        <v>1 Fruit</v>
      </c>
      <c r="N6" s="18">
        <f>IFERROR(__xludf.DUMMYFUNCTION("""COMPUTED_VALUE"""),2.0)</f>
        <v>2</v>
      </c>
      <c r="O6" s="18"/>
    </row>
    <row r="7">
      <c r="B7" s="18">
        <f>IFERROR(__xludf.DUMMYFUNCTION("""COMPUTED_VALUE"""),5.0)</f>
        <v>5</v>
      </c>
      <c r="C7" s="18" t="str">
        <f>IFERROR(__xludf.DUMMYFUNCTION("""COMPUTED_VALUE"""),"Y")</f>
        <v>Y</v>
      </c>
      <c r="D7" s="18" t="str">
        <f>IFERROR(__xludf.DUMMYFUNCTION("""COMPUTED_VALUE"""),"Aelthar/Thelenas")</f>
        <v>Aelthar/Thelenas</v>
      </c>
      <c r="E7" s="18" t="str">
        <f>IFERROR(__xludf.DUMMYFUNCTION("""COMPUTED_VALUE"""),"1 spice")</f>
        <v>1 spice</v>
      </c>
      <c r="F7" s="18" t="str">
        <f>IFERROR(__xludf.DUMMYFUNCTION("""COMPUTED_VALUE"""),"1 spice")</f>
        <v>1 spice</v>
      </c>
      <c r="G7" s="175">
        <f>IFERROR(__xludf.DUMMYFUNCTION("""COMPUTED_VALUE"""),3.5)</f>
        <v>3.5</v>
      </c>
      <c r="H7" s="18" t="str">
        <f>IFERROR(__xludf.DUMMYFUNCTION("""COMPUTED_VALUE"""),"Gate")</f>
        <v>Gate</v>
      </c>
      <c r="I7" s="18">
        <f>IFERROR(__xludf.DUMMYFUNCTION("""COMPUTED_VALUE"""),5.0)</f>
        <v>5</v>
      </c>
      <c r="J7" s="18" t="str">
        <f>IFERROR(__xludf.DUMMYFUNCTION("""COMPUTED_VALUE"""),"Y")</f>
        <v>Y</v>
      </c>
      <c r="K7" s="18" t="str">
        <f>IFERROR(__xludf.DUMMYFUNCTION("""COMPUTED_VALUE"""),"Aelthar/Thelenas")</f>
        <v>Aelthar/Thelenas</v>
      </c>
      <c r="L7" s="18" t="str">
        <f>IFERROR(__xludf.DUMMYFUNCTION("""COMPUTED_VALUE"""),"1 spice")</f>
        <v>1 spice</v>
      </c>
      <c r="M7" s="18" t="str">
        <f>IFERROR(__xludf.DUMMYFUNCTION("""COMPUTED_VALUE"""),"1 spice")</f>
        <v>1 spice</v>
      </c>
      <c r="N7" s="18">
        <f>IFERROR(__xludf.DUMMYFUNCTION("""COMPUTED_VALUE"""),2.0)</f>
        <v>2</v>
      </c>
      <c r="O7" s="18"/>
    </row>
    <row r="8">
      <c r="B8" s="18">
        <f>IFERROR(__xludf.DUMMYFUNCTION("""COMPUTED_VALUE"""),29.0)</f>
        <v>29</v>
      </c>
      <c r="C8" s="18" t="str">
        <f>IFERROR(__xludf.DUMMYFUNCTION("""COMPUTED_VALUE"""),"Y")</f>
        <v>Y</v>
      </c>
      <c r="D8" s="18" t="str">
        <f>IFERROR(__xludf.DUMMYFUNCTION("""COMPUTED_VALUE"""),"Afenthar/Karis")</f>
        <v>Afenthar/Karis</v>
      </c>
      <c r="E8" s="18" t="str">
        <f>IFERROR(__xludf.DUMMYFUNCTION("""COMPUTED_VALUE"""),"1 crops")</f>
        <v>1 crops</v>
      </c>
      <c r="F8" s="18" t="str">
        <f>IFERROR(__xludf.DUMMYFUNCTION("""COMPUTED_VALUE"""),"1 baubles")</f>
        <v>1 baubles</v>
      </c>
      <c r="G8" s="175">
        <f>IFERROR(__xludf.DUMMYFUNCTION("""COMPUTED_VALUE"""),2.0)</f>
        <v>2</v>
      </c>
      <c r="H8" s="18"/>
      <c r="I8" s="18">
        <f>IFERROR(__xludf.DUMMYFUNCTION("""COMPUTED_VALUE"""),29.0)</f>
        <v>29</v>
      </c>
      <c r="J8" s="18" t="str">
        <f>IFERROR(__xludf.DUMMYFUNCTION("""COMPUTED_VALUE"""),"Y")</f>
        <v>Y</v>
      </c>
      <c r="K8" s="18" t="str">
        <f>IFERROR(__xludf.DUMMYFUNCTION("""COMPUTED_VALUE"""),"Afenthar/Karis")</f>
        <v>Afenthar/Karis</v>
      </c>
      <c r="L8" s="18" t="str">
        <f>IFERROR(__xludf.DUMMYFUNCTION("""COMPUTED_VALUE"""),"1 baubles")</f>
        <v>1 baubles</v>
      </c>
      <c r="M8" s="18" t="str">
        <f>IFERROR(__xludf.DUMMYFUNCTION("""COMPUTED_VALUE"""),"1 crops")</f>
        <v>1 crops</v>
      </c>
      <c r="N8" s="18">
        <f>IFERROR(__xludf.DUMMYFUNCTION("""COMPUTED_VALUE"""),2.0)</f>
        <v>2</v>
      </c>
      <c r="O8" s="18"/>
    </row>
    <row r="9">
      <c r="B9" s="18">
        <f>IFERROR(__xludf.DUMMYFUNCTION("""COMPUTED_VALUE"""),3.0)</f>
        <v>3</v>
      </c>
      <c r="C9" s="18" t="str">
        <f>IFERROR(__xludf.DUMMYFUNCTION("""COMPUTED_VALUE"""),"Y")</f>
        <v>Y</v>
      </c>
      <c r="D9" s="18" t="str">
        <f>IFERROR(__xludf.DUMMYFUNCTION("""COMPUTED_VALUE"""),"Afenthar/Prindar")</f>
        <v>Afenthar/Prindar</v>
      </c>
      <c r="E9" s="18" t="str">
        <f>IFERROR(__xludf.DUMMYFUNCTION("""COMPUTED_VALUE"""),"1 Riding Animal")</f>
        <v>1 Riding Animal</v>
      </c>
      <c r="F9" s="18" t="str">
        <f>IFERROR(__xludf.DUMMYFUNCTION("""COMPUTED_VALUE"""),"1 crops")</f>
        <v>1 crops</v>
      </c>
      <c r="G9" s="175">
        <f>IFERROR(__xludf.DUMMYFUNCTION("""COMPUTED_VALUE"""),0.0)</f>
        <v>0</v>
      </c>
      <c r="H9" s="18" t="str">
        <f>IFERROR(__xludf.DUMMYFUNCTION("""COMPUTED_VALUE"""),"Damaged 4/12")</f>
        <v>Damaged 4/12</v>
      </c>
      <c r="I9" s="18">
        <f>IFERROR(__xludf.DUMMYFUNCTION("""COMPUTED_VALUE"""),3.0)</f>
        <v>3</v>
      </c>
      <c r="J9" s="18" t="str">
        <f>IFERROR(__xludf.DUMMYFUNCTION("""COMPUTED_VALUE"""),"Y")</f>
        <v>Y</v>
      </c>
      <c r="K9" s="18" t="str">
        <f>IFERROR(__xludf.DUMMYFUNCTION("""COMPUTED_VALUE"""),"Afenthar/Prindar")</f>
        <v>Afenthar/Prindar</v>
      </c>
      <c r="L9" s="18" t="str">
        <f>IFERROR(__xludf.DUMMYFUNCTION("""COMPUTED_VALUE"""),"1 crops")</f>
        <v>1 crops</v>
      </c>
      <c r="M9" s="18" t="str">
        <f>IFERROR(__xludf.DUMMYFUNCTION("""COMPUTED_VALUE"""),"1 Riding Animal")</f>
        <v>1 Riding Animal</v>
      </c>
      <c r="N9" s="18">
        <f>IFERROR(__xludf.DUMMYFUNCTION("""COMPUTED_VALUE"""),0.0)</f>
        <v>0</v>
      </c>
      <c r="O9" s="18" t="str">
        <f>IFERROR(__xludf.DUMMYFUNCTION("""COMPUTED_VALUE"""),"Damaged 4/12")</f>
        <v>Damaged 4/12</v>
      </c>
    </row>
    <row r="10">
      <c r="B10" s="18">
        <f>IFERROR(__xludf.DUMMYFUNCTION("""COMPUTED_VALUE"""),32.0)</f>
        <v>32</v>
      </c>
      <c r="C10" s="18" t="str">
        <f>IFERROR(__xludf.DUMMYFUNCTION("""COMPUTED_VALUE"""),"N")</f>
        <v>N</v>
      </c>
      <c r="D10" s="18" t="str">
        <f>IFERROR(__xludf.DUMMYFUNCTION("""COMPUTED_VALUE"""),"Akhenian/Jurai")</f>
        <v>Akhenian/Jurai</v>
      </c>
      <c r="E10" s="18" t="str">
        <f>IFERROR(__xludf.DUMMYFUNCTION("""COMPUTED_VALUE"""),"1 Seafood")</f>
        <v>1 Seafood</v>
      </c>
      <c r="F10" s="18" t="str">
        <f>IFERROR(__xludf.DUMMYFUNCTION("""COMPUTED_VALUE"""),"1 Livestock")</f>
        <v>1 Livestock</v>
      </c>
      <c r="G10" s="175">
        <f>IFERROR(__xludf.DUMMYFUNCTION("""COMPUTED_VALUE"""),2.5)</f>
        <v>2.5</v>
      </c>
      <c r="H10" s="18"/>
      <c r="I10" s="18">
        <f>IFERROR(__xludf.DUMMYFUNCTION("""COMPUTED_VALUE"""),32.0)</f>
        <v>32</v>
      </c>
      <c r="J10" s="18" t="str">
        <f>IFERROR(__xludf.DUMMYFUNCTION("""COMPUTED_VALUE"""),"N")</f>
        <v>N</v>
      </c>
      <c r="K10" s="18" t="str">
        <f>IFERROR(__xludf.DUMMYFUNCTION("""COMPUTED_VALUE"""),"Akhenian/Jurai")</f>
        <v>Akhenian/Jurai</v>
      </c>
      <c r="L10" s="18" t="str">
        <f>IFERROR(__xludf.DUMMYFUNCTION("""COMPUTED_VALUE"""),"1 Livestock")</f>
        <v>1 Livestock</v>
      </c>
      <c r="M10" s="18" t="str">
        <f>IFERROR(__xludf.DUMMYFUNCTION("""COMPUTED_VALUE"""),"1 Seafood")</f>
        <v>1 Seafood</v>
      </c>
      <c r="N10" s="18">
        <f>IFERROR(__xludf.DUMMYFUNCTION("""COMPUTED_VALUE"""),1.0)</f>
        <v>1</v>
      </c>
      <c r="O10" s="18"/>
    </row>
    <row r="11">
      <c r="B11" s="18">
        <f>IFERROR(__xludf.DUMMYFUNCTION("""COMPUTED_VALUE"""),25.0)</f>
        <v>25</v>
      </c>
      <c r="C11" s="18" t="str">
        <f>IFERROR(__xludf.DUMMYFUNCTION("""COMPUTED_VALUE"""),"Y")</f>
        <v>Y</v>
      </c>
      <c r="D11" s="18" t="str">
        <f>IFERROR(__xludf.DUMMYFUNCTION("""COMPUTED_VALUE"""),"Akhenian/Jeweled Cities")</f>
        <v>Akhenian/Jeweled Cities</v>
      </c>
      <c r="E11" s="18" t="str">
        <f>IFERROR(__xludf.DUMMYFUNCTION("""COMPUTED_VALUE"""),"1 Salt")</f>
        <v>1 Salt</v>
      </c>
      <c r="F11" s="18" t="str">
        <f>IFERROR(__xludf.DUMMYFUNCTION("""COMPUTED_VALUE"""),"1 Spirits")</f>
        <v>1 Spirits</v>
      </c>
      <c r="G11" s="175">
        <f>IFERROR(__xludf.DUMMYFUNCTION("""COMPUTED_VALUE"""),4.0)</f>
        <v>4</v>
      </c>
      <c r="H11" s="18"/>
      <c r="I11" s="18">
        <f>IFERROR(__xludf.DUMMYFUNCTION("""COMPUTED_VALUE"""),25.0)</f>
        <v>25</v>
      </c>
      <c r="J11" s="18" t="str">
        <f>IFERROR(__xludf.DUMMYFUNCTION("""COMPUTED_VALUE"""),"Y")</f>
        <v>Y</v>
      </c>
      <c r="K11" s="18" t="str">
        <f>IFERROR(__xludf.DUMMYFUNCTION("""COMPUTED_VALUE"""),"Akhenian/Jeweled Cities")</f>
        <v>Akhenian/Jeweled Cities</v>
      </c>
      <c r="L11" s="18" t="str">
        <f>IFERROR(__xludf.DUMMYFUNCTION("""COMPUTED_VALUE"""),"1 Spirits")</f>
        <v>1 Spirits</v>
      </c>
      <c r="M11" s="18" t="str">
        <f>IFERROR(__xludf.DUMMYFUNCTION("""COMPUTED_VALUE"""),"1 Salt")</f>
        <v>1 Salt</v>
      </c>
      <c r="N11" s="18">
        <f>IFERROR(__xludf.DUMMYFUNCTION("""COMPUTED_VALUE"""),2.0)</f>
        <v>2</v>
      </c>
      <c r="O11" s="18"/>
    </row>
    <row r="12">
      <c r="B12" s="18">
        <f>IFERROR(__xludf.DUMMYFUNCTION("""COMPUTED_VALUE"""),7.0)</f>
        <v>7</v>
      </c>
      <c r="C12" s="18" t="str">
        <f>IFERROR(__xludf.DUMMYFUNCTION("""COMPUTED_VALUE"""),"Y")</f>
        <v>Y</v>
      </c>
      <c r="D12" s="18" t="str">
        <f>IFERROR(__xludf.DUMMYFUNCTION("""COMPUTED_VALUE"""),"Akhenian/Galicia")</f>
        <v>Akhenian/Galicia</v>
      </c>
      <c r="E12" s="18" t="str">
        <f>IFERROR(__xludf.DUMMYFUNCTION("""COMPUTED_VALUE"""),"1 incense ")</f>
        <v>1 incense </v>
      </c>
      <c r="F12" s="18" t="str">
        <f>IFERROR(__xludf.DUMMYFUNCTION("""COMPUTED_VALUE"""),"1 dyes")</f>
        <v>1 dyes</v>
      </c>
      <c r="G12" s="175">
        <f>IFERROR(__xludf.DUMMYFUNCTION("""COMPUTED_VALUE"""),4.0)</f>
        <v>4</v>
      </c>
      <c r="H12" s="18" t="str">
        <f>IFERROR(__xludf.DUMMYFUNCTION("""COMPUTED_VALUE"""),"Defended")</f>
        <v>Defended</v>
      </c>
      <c r="I12" s="18">
        <f>IFERROR(__xludf.DUMMYFUNCTION("""COMPUTED_VALUE"""),7.0)</f>
        <v>7</v>
      </c>
      <c r="J12" s="18" t="str">
        <f>IFERROR(__xludf.DUMMYFUNCTION("""COMPUTED_VALUE"""),"Y")</f>
        <v>Y</v>
      </c>
      <c r="K12" s="18" t="str">
        <f>IFERROR(__xludf.DUMMYFUNCTION("""COMPUTED_VALUE"""),"Akhenian/Galicia")</f>
        <v>Akhenian/Galicia</v>
      </c>
      <c r="L12" s="18" t="str">
        <f>IFERROR(__xludf.DUMMYFUNCTION("""COMPUTED_VALUE"""),"1 dyes")</f>
        <v>1 dyes</v>
      </c>
      <c r="M12" s="18" t="str">
        <f>IFERROR(__xludf.DUMMYFUNCTION("""COMPUTED_VALUE"""),"1 incense ")</f>
        <v>1 incense </v>
      </c>
      <c r="N12" s="18">
        <f>IFERROR(__xludf.DUMMYFUNCTION("""COMPUTED_VALUE"""),2.0)</f>
        <v>2</v>
      </c>
      <c r="O12" s="18" t="str">
        <f>IFERROR(__xludf.DUMMYFUNCTION("""COMPUTED_VALUE"""),"Defended")</f>
        <v>Defended</v>
      </c>
    </row>
    <row r="13">
      <c r="B13" s="18">
        <f>IFERROR(__xludf.DUMMYFUNCTION("""COMPUTED_VALUE"""),0.0)</f>
        <v>0</v>
      </c>
      <c r="C13" s="18" t="str">
        <f>IFERROR(__xludf.DUMMYFUNCTION("""COMPUTED_VALUE"""),"Y")</f>
        <v>Y</v>
      </c>
      <c r="D13" s="18" t="str">
        <f>IFERROR(__xludf.DUMMYFUNCTION("""COMPUTED_VALUE"""),"Alaria/Primean Papal States")</f>
        <v>Alaria/Primean Papal States</v>
      </c>
      <c r="E13" s="18" t="str">
        <f>IFERROR(__xludf.DUMMYFUNCTION("""COMPUTED_VALUE"""),"1 glass, 1 copper")</f>
        <v>1 glass, 1 copper</v>
      </c>
      <c r="F13" s="18" t="str">
        <f>IFERROR(__xludf.DUMMYFUNCTION("""COMPUTED_VALUE"""),"3g")</f>
        <v>3g</v>
      </c>
      <c r="G13" s="175">
        <f>IFERROR(__xludf.DUMMYFUNCTION("""COMPUTED_VALUE"""),3.571428571428571)</f>
        <v>3.571428571</v>
      </c>
      <c r="H13" s="18" t="str">
        <f>IFERROR(__xludf.DUMMYFUNCTION("""COMPUTED_VALUE"""),"Damaged 8/10")</f>
        <v>Damaged 8/10</v>
      </c>
      <c r="I13" s="18">
        <f>IFERROR(__xludf.DUMMYFUNCTION("""COMPUTED_VALUE"""),0.0)</f>
        <v>0</v>
      </c>
      <c r="J13" s="18" t="str">
        <f>IFERROR(__xludf.DUMMYFUNCTION("""COMPUTED_VALUE"""),"Y")</f>
        <v>Y</v>
      </c>
      <c r="K13" s="18" t="str">
        <f>IFERROR(__xludf.DUMMYFUNCTION("""COMPUTED_VALUE"""),"Alaria/Primean Papal States")</f>
        <v>Alaria/Primean Papal States</v>
      </c>
      <c r="L13" s="18" t="str">
        <f>IFERROR(__xludf.DUMMYFUNCTION("""COMPUTED_VALUE"""),"3g")</f>
        <v>3g</v>
      </c>
      <c r="M13" s="18" t="str">
        <f>IFERROR(__xludf.DUMMYFUNCTION("""COMPUTED_VALUE"""),"1 glass, 1 copper")</f>
        <v>1 glass, 1 copper</v>
      </c>
      <c r="N13" s="18">
        <f>IFERROR(__xludf.DUMMYFUNCTION("""COMPUTED_VALUE"""),-1.0)</f>
        <v>-1</v>
      </c>
      <c r="O13" s="18" t="str">
        <f>IFERROR(__xludf.DUMMYFUNCTION("""COMPUTED_VALUE"""),"Damaged 8/10")</f>
        <v>Damaged 8/10</v>
      </c>
      <c r="P13" s="177" t="s">
        <v>109</v>
      </c>
    </row>
    <row r="14">
      <c r="B14" s="18">
        <f>IFERROR(__xludf.DUMMYFUNCTION("""COMPUTED_VALUE"""),36.0)</f>
        <v>36</v>
      </c>
      <c r="C14" s="18" t="str">
        <f>IFERROR(__xludf.DUMMYFUNCTION("""COMPUTED_VALUE"""),"N")</f>
        <v>N</v>
      </c>
      <c r="D14" s="18" t="str">
        <f>IFERROR(__xludf.DUMMYFUNCTION("""COMPUTED_VALUE"""),"Alaria/Therendrim")</f>
        <v>Alaria/Therendrim</v>
      </c>
      <c r="E14" s="18" t="str">
        <f>IFERROR(__xludf.DUMMYFUNCTION("""COMPUTED_VALUE"""),"1 Timber")</f>
        <v>1 Timber</v>
      </c>
      <c r="F14" s="18" t="str">
        <f>IFERROR(__xludf.DUMMYFUNCTION("""COMPUTED_VALUE"""),"1 Cold Iron, 1 Herbs")</f>
        <v>1 Cold Iron, 1 Herbs</v>
      </c>
      <c r="G14" s="175">
        <f>IFERROR(__xludf.DUMMYFUNCTION("""COMPUTED_VALUE"""),0.0)</f>
        <v>0</v>
      </c>
      <c r="H14" s="18" t="str">
        <f>IFERROR(__xludf.DUMMYFUNCTION("""COMPUTED_VALUE"""),"For 1 yr")</f>
        <v>For 1 yr</v>
      </c>
      <c r="I14" s="18">
        <f>IFERROR(__xludf.DUMMYFUNCTION("""COMPUTED_VALUE"""),36.0)</f>
        <v>36</v>
      </c>
      <c r="J14" s="18" t="str">
        <f>IFERROR(__xludf.DUMMYFUNCTION("""COMPUTED_VALUE"""),"N")</f>
        <v>N</v>
      </c>
      <c r="K14" s="18" t="str">
        <f>IFERROR(__xludf.DUMMYFUNCTION("""COMPUTED_VALUE"""),"Alaria/Therendrim")</f>
        <v>Alaria/Therendrim</v>
      </c>
      <c r="L14" s="18" t="str">
        <f>IFERROR(__xludf.DUMMYFUNCTION("""COMPUTED_VALUE"""),"1 Cold Iron, 1 Herbs")</f>
        <v>1 Cold Iron, 1 Herbs</v>
      </c>
      <c r="M14" s="18" t="str">
        <f>IFERROR(__xludf.DUMMYFUNCTION("""COMPUTED_VALUE"""),"1 Timber")</f>
        <v>1 Timber</v>
      </c>
      <c r="N14" s="18">
        <f>IFERROR(__xludf.DUMMYFUNCTION("""COMPUTED_VALUE"""),0.0)</f>
        <v>0</v>
      </c>
      <c r="O14" s="18"/>
    </row>
    <row r="15">
      <c r="B15" s="18">
        <f>IFERROR(__xludf.DUMMYFUNCTION("""COMPUTED_VALUE"""),23.0)</f>
        <v>23</v>
      </c>
      <c r="C15" s="18" t="str">
        <f>IFERROR(__xludf.DUMMYFUNCTION("""COMPUTED_VALUE"""),"Y")</f>
        <v>Y</v>
      </c>
      <c r="D15" s="18" t="str">
        <f>IFERROR(__xludf.DUMMYFUNCTION("""COMPUTED_VALUE"""),"Alaria/Baktu")</f>
        <v>Alaria/Baktu</v>
      </c>
      <c r="E15" s="18" t="str">
        <f>IFERROR(__xludf.DUMMYFUNCTION("""COMPUTED_VALUE"""),"1 diamond, 1g")</f>
        <v>1 diamond, 1g</v>
      </c>
      <c r="F15" s="18"/>
      <c r="G15" s="175">
        <f>IFERROR(__xludf.DUMMYFUNCTION("""COMPUTED_VALUE"""),3.0)</f>
        <v>3</v>
      </c>
      <c r="H15" s="18" t="str">
        <f>IFERROR(__xludf.DUMMYFUNCTION("""COMPUTED_VALUE"""),"Damaged 13/15, Core trade agreement not being reciprocated.")</f>
        <v>Damaged 13/15, Core trade agreement not being reciprocated.</v>
      </c>
      <c r="I15" s="18">
        <f>IFERROR(__xludf.DUMMYFUNCTION("""COMPUTED_VALUE"""),23.0)</f>
        <v>23</v>
      </c>
      <c r="J15" s="18" t="str">
        <f>IFERROR(__xludf.DUMMYFUNCTION("""COMPUTED_VALUE"""),"Y")</f>
        <v>Y</v>
      </c>
      <c r="K15" s="18" t="str">
        <f>IFERROR(__xludf.DUMMYFUNCTION("""COMPUTED_VALUE"""),"Alaria/Baktu")</f>
        <v>Alaria/Baktu</v>
      </c>
      <c r="L15" s="18"/>
      <c r="M15" s="18" t="str">
        <f>IFERROR(__xludf.DUMMYFUNCTION("""COMPUTED_VALUE"""),"1 diamond, 1g")</f>
        <v>1 diamond, 1g</v>
      </c>
      <c r="N15" s="18">
        <f>IFERROR(__xludf.DUMMYFUNCTION("""COMPUTED_VALUE"""),3.0)</f>
        <v>3</v>
      </c>
      <c r="O15" s="18"/>
      <c r="P15" s="174">
        <f>IFERROR(__xludf.DUMMYFUNCTION("filter(B5:H200, search(""Ostwil/*"", D5:D200))"),25.0)</f>
        <v>25</v>
      </c>
      <c r="Q15" s="18" t="str">
        <f>IFERROR(__xludf.DUMMYFUNCTION("""COMPUTED_VALUE"""),"Y")</f>
        <v>Y</v>
      </c>
      <c r="R15" s="18" t="str">
        <f>IFERROR(__xludf.DUMMYFUNCTION("""COMPUTED_VALUE"""),"Ostwil/Ashen'gar")</f>
        <v>Ostwil/Ashen'gar</v>
      </c>
      <c r="S15" s="18" t="str">
        <f>IFERROR(__xludf.DUMMYFUNCTION("""COMPUTED_VALUE"""),"1 Greenwood")</f>
        <v>1 Greenwood</v>
      </c>
      <c r="T15" s="18" t="str">
        <f>IFERROR(__xludf.DUMMYFUNCTION("""COMPUTED_VALUE"""),"1 Marble")</f>
        <v>1 Marble</v>
      </c>
      <c r="U15" s="175">
        <f>IFERROR(__xludf.DUMMYFUNCTION("""COMPUTED_VALUE"""),9.5)</f>
        <v>9.5</v>
      </c>
      <c r="V15" s="18" t="str">
        <f>IFERROR(__xludf.DUMMYFUNCTION("""COMPUTED_VALUE"""),"Defended")</f>
        <v>Defended</v>
      </c>
      <c r="W15" s="174">
        <f>IFERROR(__xludf.DUMMYFUNCTION("filter(I5:O200, search(""*/Ostwil"", K5:K200))"),0.0)</f>
        <v>0</v>
      </c>
      <c r="X15" s="18" t="str">
        <f>IFERROR(__xludf.DUMMYFUNCTION("""COMPUTED_VALUE"""),"Y")</f>
        <v>Y</v>
      </c>
      <c r="Y15" s="18" t="str">
        <f>IFERROR(__xludf.DUMMYFUNCTION("""COMPUTED_VALUE"""),"Athasian/Ostwil")</f>
        <v>Athasian/Ostwil</v>
      </c>
      <c r="Z15" s="18" t="str">
        <f>IFERROR(__xludf.DUMMYFUNCTION("""COMPUTED_VALUE"""),"2g")</f>
        <v>2g</v>
      </c>
      <c r="AA15" s="18" t="str">
        <f>IFERROR(__xludf.DUMMYFUNCTION("""COMPUTED_VALUE"""),"1 crops, 1 hardwood")</f>
        <v>1 crops, 1 hardwood</v>
      </c>
      <c r="AB15" s="18">
        <f>IFERROR(__xludf.DUMMYFUNCTION("""COMPUTED_VALUE"""),0.0)</f>
        <v>0</v>
      </c>
      <c r="AC15" s="18"/>
    </row>
    <row r="16">
      <c r="B16" s="18">
        <f>IFERROR(__xludf.DUMMYFUNCTION("""COMPUTED_VALUE"""),4.0)</f>
        <v>4</v>
      </c>
      <c r="C16" s="18" t="str">
        <f>IFERROR(__xludf.DUMMYFUNCTION("""COMPUTED_VALUE"""),"Y")</f>
        <v>Y</v>
      </c>
      <c r="D16" s="18" t="str">
        <f>IFERROR(__xludf.DUMMYFUNCTION("""COMPUTED_VALUE"""),"Ashen'gar/Tanith")</f>
        <v>Ashen'gar/Tanith</v>
      </c>
      <c r="E16" s="18" t="str">
        <f>IFERROR(__xludf.DUMMYFUNCTION("""COMPUTED_VALUE"""),"1 tin, 1g")</f>
        <v>1 tin, 1g</v>
      </c>
      <c r="F16" s="18" t="str">
        <f>IFERROR(__xludf.DUMMYFUNCTION("""COMPUTED_VALUE"""),"1 Dyes")</f>
        <v>1 Dyes</v>
      </c>
      <c r="G16" s="175">
        <f>IFERROR(__xludf.DUMMYFUNCTION("""COMPUTED_VALUE"""),4.5)</f>
        <v>4.5</v>
      </c>
      <c r="H16" s="18"/>
      <c r="I16" s="18">
        <f>IFERROR(__xludf.DUMMYFUNCTION("""COMPUTED_VALUE"""),4.0)</f>
        <v>4</v>
      </c>
      <c r="J16" s="18" t="str">
        <f>IFERROR(__xludf.DUMMYFUNCTION("""COMPUTED_VALUE"""),"Y")</f>
        <v>Y</v>
      </c>
      <c r="K16" s="18" t="str">
        <f>IFERROR(__xludf.DUMMYFUNCTION("""COMPUTED_VALUE"""),"Ashen'gar/Tanith")</f>
        <v>Ashen'gar/Tanith</v>
      </c>
      <c r="L16" s="18" t="str">
        <f>IFERROR(__xludf.DUMMYFUNCTION("""COMPUTED_VALUE"""),"1 Dyes")</f>
        <v>1 Dyes</v>
      </c>
      <c r="M16" s="18" t="str">
        <f>IFERROR(__xludf.DUMMYFUNCTION("""COMPUTED_VALUE"""),"1 tin, 1g")</f>
        <v>1 tin, 1g</v>
      </c>
      <c r="N16" s="18">
        <f>IFERROR(__xludf.DUMMYFUNCTION("""COMPUTED_VALUE"""),3.0)</f>
        <v>3</v>
      </c>
      <c r="O16" s="18"/>
      <c r="P16" s="18">
        <f>IFERROR(__xludf.DUMMYFUNCTION("""COMPUTED_VALUE"""),12.0)</f>
        <v>12</v>
      </c>
      <c r="Q16" s="18" t="str">
        <f>IFERROR(__xludf.DUMMYFUNCTION("""COMPUTED_VALUE"""),"Y")</f>
        <v>Y</v>
      </c>
      <c r="R16" s="18" t="str">
        <f>IFERROR(__xludf.DUMMYFUNCTION("""COMPUTED_VALUE"""),"Ostwil/Voresh")</f>
        <v>Ostwil/Voresh</v>
      </c>
      <c r="S16" s="18" t="str">
        <f>IFERROR(__xludf.DUMMYFUNCTION("""COMPUTED_VALUE"""),"2g")</f>
        <v>2g</v>
      </c>
      <c r="T16" s="18" t="str">
        <f>IFERROR(__xludf.DUMMYFUNCTION("""COMPUTED_VALUE"""),"1 narcotics")</f>
        <v>1 narcotics</v>
      </c>
      <c r="U16" s="175">
        <f>IFERROR(__xludf.DUMMYFUNCTION("""COMPUTED_VALUE"""),2.5)</f>
        <v>2.5</v>
      </c>
      <c r="V16" s="18"/>
      <c r="W16" s="18">
        <f>IFERROR(__xludf.DUMMYFUNCTION("""COMPUTED_VALUE"""),9.0)</f>
        <v>9</v>
      </c>
      <c r="X16" s="18" t="str">
        <f>IFERROR(__xludf.DUMMYFUNCTION("""COMPUTED_VALUE"""),"Y")</f>
        <v>Y</v>
      </c>
      <c r="Y16" s="18" t="str">
        <f>IFERROR(__xludf.DUMMYFUNCTION("""COMPUTED_VALUE"""),"Jurai/Ostwil")</f>
        <v>Jurai/Ostwil</v>
      </c>
      <c r="Z16" s="18" t="str">
        <f>IFERROR(__xludf.DUMMYFUNCTION("""COMPUTED_VALUE"""),"1 Marble, 1g")</f>
        <v>1 Marble, 1g</v>
      </c>
      <c r="AA16" s="18" t="str">
        <f>IFERROR(__xludf.DUMMYFUNCTION("""COMPUTED_VALUE"""),"1 Spirits")</f>
        <v>1 Spirits</v>
      </c>
      <c r="AB16" s="18">
        <f>IFERROR(__xludf.DUMMYFUNCTION("""COMPUTED_VALUE"""),1.0)</f>
        <v>1</v>
      </c>
      <c r="AC16" s="18"/>
    </row>
    <row r="17">
      <c r="B17" s="18">
        <f>IFERROR(__xludf.DUMMYFUNCTION("""COMPUTED_VALUE"""),15.0)</f>
        <v>15</v>
      </c>
      <c r="C17" s="18" t="str">
        <f>IFERROR(__xludf.DUMMYFUNCTION("""COMPUTED_VALUE"""),"Y")</f>
        <v>Y</v>
      </c>
      <c r="D17" s="18" t="str">
        <f>IFERROR(__xludf.DUMMYFUNCTION("""COMPUTED_VALUE"""),"Ashen'gar/Aelthar")</f>
        <v>Ashen'gar/Aelthar</v>
      </c>
      <c r="E17" s="18" t="str">
        <f>IFERROR(__xludf.DUMMYFUNCTION("""COMPUTED_VALUE"""),"1 Silver")</f>
        <v>1 Silver</v>
      </c>
      <c r="F17" s="18" t="str">
        <f>IFERROR(__xludf.DUMMYFUNCTION("""COMPUTED_VALUE"""),"1 ironwood")</f>
        <v>1 ironwood</v>
      </c>
      <c r="G17" s="175">
        <f>IFERROR(__xludf.DUMMYFUNCTION("""COMPUTED_VALUE"""),5.5)</f>
        <v>5.5</v>
      </c>
      <c r="H17" s="18"/>
      <c r="I17" s="18">
        <f>IFERROR(__xludf.DUMMYFUNCTION("""COMPUTED_VALUE"""),15.0)</f>
        <v>15</v>
      </c>
      <c r="J17" s="18" t="str">
        <f>IFERROR(__xludf.DUMMYFUNCTION("""COMPUTED_VALUE"""),"Y")</f>
        <v>Y</v>
      </c>
      <c r="K17" s="18" t="str">
        <f>IFERROR(__xludf.DUMMYFUNCTION("""COMPUTED_VALUE"""),"Ashen'gar/Aelthar")</f>
        <v>Ashen'gar/Aelthar</v>
      </c>
      <c r="L17" s="18" t="str">
        <f>IFERROR(__xludf.DUMMYFUNCTION("""COMPUTED_VALUE"""),"1 ironwood")</f>
        <v>1 ironwood</v>
      </c>
      <c r="M17" s="18" t="str">
        <f>IFERROR(__xludf.DUMMYFUNCTION("""COMPUTED_VALUE"""),"1 Silver")</f>
        <v>1 Silver</v>
      </c>
      <c r="N17" s="18">
        <f>IFERROR(__xludf.DUMMYFUNCTION("""COMPUTED_VALUE"""),3.0)</f>
        <v>3</v>
      </c>
      <c r="O17" s="18"/>
      <c r="P17" s="18">
        <f>IFERROR(__xludf.DUMMYFUNCTION("""COMPUTED_VALUE"""),7.0)</f>
        <v>7</v>
      </c>
      <c r="Q17" s="18" t="str">
        <f>IFERROR(__xludf.DUMMYFUNCTION("""COMPUTED_VALUE"""),"Y")</f>
        <v>Y</v>
      </c>
      <c r="R17" s="18" t="str">
        <f>IFERROR(__xludf.DUMMYFUNCTION("""COMPUTED_VALUE"""),"Ostwil/Ti'Vashni")</f>
        <v>Ostwil/Ti'Vashni</v>
      </c>
      <c r="S17" s="18"/>
      <c r="T17" s="18"/>
      <c r="U17" s="18"/>
      <c r="V17" s="18" t="str">
        <f>IFERROR(__xludf.DUMMYFUNCTION("""COMPUTED_VALUE"""),"Defended 9 Extra HP,  paused by Ti'Vashni")</f>
        <v>Defended 9 Extra HP,  paused by Ti'Vashni</v>
      </c>
      <c r="W17" s="18">
        <f>IFERROR(__xludf.DUMMYFUNCTION("""COMPUTED_VALUE"""),21.0)</f>
        <v>21</v>
      </c>
      <c r="X17" s="18" t="str">
        <f>IFERROR(__xludf.DUMMYFUNCTION("""COMPUTED_VALUE"""),"Y")</f>
        <v>Y</v>
      </c>
      <c r="Y17" s="18" t="str">
        <f>IFERROR(__xludf.DUMMYFUNCTION("""COMPUTED_VALUE"""),"Levain/Ostwil")</f>
        <v>Levain/Ostwil</v>
      </c>
      <c r="Z17" s="18" t="str">
        <f>IFERROR(__xludf.DUMMYFUNCTION("""COMPUTED_VALUE"""),"1 Glass")</f>
        <v>1 Glass</v>
      </c>
      <c r="AA17" s="18" t="str">
        <f>IFERROR(__xludf.DUMMYFUNCTION("""COMPUTED_VALUE"""),"1 Spice")</f>
        <v>1 Spice</v>
      </c>
      <c r="AB17" s="18">
        <f>IFERROR(__xludf.DUMMYFUNCTION("""COMPUTED_VALUE"""),2.0)</f>
        <v>2</v>
      </c>
      <c r="AC17" s="18"/>
    </row>
    <row r="18">
      <c r="B18" s="18">
        <f>IFERROR(__xludf.DUMMYFUNCTION("""COMPUTED_VALUE"""),27.0)</f>
        <v>27</v>
      </c>
      <c r="C18" s="18" t="str">
        <f>IFERROR(__xludf.DUMMYFUNCTION("""COMPUTED_VALUE"""),"Y")</f>
        <v>Y</v>
      </c>
      <c r="D18" s="18" t="str">
        <f>IFERROR(__xludf.DUMMYFUNCTION("""COMPUTED_VALUE"""),"Athasian/Therendrim")</f>
        <v>Athasian/Therendrim</v>
      </c>
      <c r="E18" s="18" t="str">
        <f>IFERROR(__xludf.DUMMYFUNCTION("""COMPUTED_VALUE"""),"1 Narcotics")</f>
        <v>1 Narcotics</v>
      </c>
      <c r="F18" s="18" t="str">
        <f>IFERROR(__xludf.DUMMYFUNCTION("""COMPUTED_VALUE"""),"1 Onyx")</f>
        <v>1 Onyx</v>
      </c>
      <c r="G18" s="175">
        <f>IFERROR(__xludf.DUMMYFUNCTION("""COMPUTED_VALUE"""),4.857142857142857)</f>
        <v>4.857142857</v>
      </c>
      <c r="H18" s="18"/>
      <c r="I18" s="18">
        <f>IFERROR(__xludf.DUMMYFUNCTION("""COMPUTED_VALUE"""),27.0)</f>
        <v>27</v>
      </c>
      <c r="J18" s="18" t="str">
        <f>IFERROR(__xludf.DUMMYFUNCTION("""COMPUTED_VALUE"""),"Y")</f>
        <v>Y</v>
      </c>
      <c r="K18" s="18" t="str">
        <f>IFERROR(__xludf.DUMMYFUNCTION("""COMPUTED_VALUE"""),"Athasian/Therendrim")</f>
        <v>Athasian/Therendrim</v>
      </c>
      <c r="L18" s="18" t="str">
        <f>IFERROR(__xludf.DUMMYFUNCTION("""COMPUTED_VALUE"""),"1 Onyx")</f>
        <v>1 Onyx</v>
      </c>
      <c r="M18" s="18" t="str">
        <f>IFERROR(__xludf.DUMMYFUNCTION("""COMPUTED_VALUE"""),"1 Narcotics")</f>
        <v>1 Narcotics</v>
      </c>
      <c r="N18" s="18">
        <f>IFERROR(__xludf.DUMMYFUNCTION("""COMPUTED_VALUE"""),2.0)</f>
        <v>2</v>
      </c>
      <c r="O18" s="18"/>
      <c r="P18" s="18">
        <f>IFERROR(__xludf.DUMMYFUNCTION("""COMPUTED_VALUE"""),35.0)</f>
        <v>35</v>
      </c>
      <c r="Q18" s="18" t="str">
        <f>IFERROR(__xludf.DUMMYFUNCTION("""COMPUTED_VALUE"""),"N")</f>
        <v>N</v>
      </c>
      <c r="R18" s="18" t="str">
        <f>IFERROR(__xludf.DUMMYFUNCTION("""COMPUTED_VALUE"""),"Ostwil/Rohevan")</f>
        <v>Ostwil/Rohevan</v>
      </c>
      <c r="S18" s="18" t="str">
        <f>IFERROR(__xludf.DUMMYFUNCTION("""COMPUTED_VALUE"""),"1g")</f>
        <v>1g</v>
      </c>
      <c r="T18" s="18" t="str">
        <f>IFERROR(__xludf.DUMMYFUNCTION("""COMPUTED_VALUE"""),"1 Iron")</f>
        <v>1 Iron</v>
      </c>
      <c r="U18" s="175">
        <f>IFERROR(__xludf.DUMMYFUNCTION("""COMPUTED_VALUE"""),1.0)</f>
        <v>1</v>
      </c>
      <c r="V18" s="18"/>
    </row>
    <row r="19">
      <c r="B19" s="18">
        <f>IFERROR(__xludf.DUMMYFUNCTION("""COMPUTED_VALUE"""),8.0)</f>
        <v>8</v>
      </c>
      <c r="C19" s="18" t="str">
        <f>IFERROR(__xludf.DUMMYFUNCTION("""COMPUTED_VALUE"""),"Y")</f>
        <v>Y</v>
      </c>
      <c r="D19" s="18" t="str">
        <f>IFERROR(__xludf.DUMMYFUNCTION("""COMPUTED_VALUE"""),"Athasian/Alaria")</f>
        <v>Athasian/Alaria</v>
      </c>
      <c r="E19" s="18" t="str">
        <f>IFERROR(__xludf.DUMMYFUNCTION("""COMPUTED_VALUE"""),"1g")</f>
        <v>1g</v>
      </c>
      <c r="F19" s="18" t="str">
        <f>IFERROR(__xludf.DUMMYFUNCTION("""COMPUTED_VALUE"""),"1 waterwood")</f>
        <v>1 waterwood</v>
      </c>
      <c r="G19" s="175">
        <f>IFERROR(__xludf.DUMMYFUNCTION("""COMPUTED_VALUE"""),3.0)</f>
        <v>3</v>
      </c>
      <c r="H19" s="18"/>
      <c r="I19" s="18">
        <f>IFERROR(__xludf.DUMMYFUNCTION("""COMPUTED_VALUE"""),8.0)</f>
        <v>8</v>
      </c>
      <c r="J19" s="18" t="str">
        <f>IFERROR(__xludf.DUMMYFUNCTION("""COMPUTED_VALUE"""),"Y")</f>
        <v>Y</v>
      </c>
      <c r="K19" s="18" t="str">
        <f>IFERROR(__xludf.DUMMYFUNCTION("""COMPUTED_VALUE"""),"Athasian/Alaria")</f>
        <v>Athasian/Alaria</v>
      </c>
      <c r="L19" s="18" t="str">
        <f>IFERROR(__xludf.DUMMYFUNCTION("""COMPUTED_VALUE"""),"1 waterwood")</f>
        <v>1 waterwood</v>
      </c>
      <c r="M19" s="18" t="str">
        <f>IFERROR(__xludf.DUMMYFUNCTION("""COMPUTED_VALUE"""),"1g")</f>
        <v>1g</v>
      </c>
      <c r="N19" s="18">
        <f>IFERROR(__xludf.DUMMYFUNCTION("""COMPUTED_VALUE"""),3.0)</f>
        <v>3</v>
      </c>
      <c r="O19" s="18"/>
      <c r="P19" s="18">
        <f>IFERROR(__xludf.DUMMYFUNCTION("""COMPUTED_VALUE"""),35.0)</f>
        <v>35</v>
      </c>
      <c r="Q19" s="18" t="str">
        <f>IFERROR(__xludf.DUMMYFUNCTION("""COMPUTED_VALUE"""),"N")</f>
        <v>N</v>
      </c>
      <c r="R19" s="18" t="str">
        <f>IFERROR(__xludf.DUMMYFUNCTION("""COMPUTED_VALUE"""),"Ostwil/HPE")</f>
        <v>Ostwil/HPE</v>
      </c>
      <c r="S19" s="18" t="str">
        <f>IFERROR(__xludf.DUMMYFUNCTION("""COMPUTED_VALUE"""),"1 Pearl")</f>
        <v>1 Pearl</v>
      </c>
      <c r="T19" s="18" t="str">
        <f>IFERROR(__xludf.DUMMYFUNCTION("""COMPUTED_VALUE"""),"1 Livestock 1 Crop")</f>
        <v>1 Livestock 1 Crop</v>
      </c>
      <c r="U19" s="175">
        <f>IFERROR(__xludf.DUMMYFUNCTION("""COMPUTED_VALUE"""),1.0)</f>
        <v>1</v>
      </c>
      <c r="V19" s="18"/>
    </row>
    <row r="20">
      <c r="B20" s="18">
        <f>IFERROR(__xludf.DUMMYFUNCTION("""COMPUTED_VALUE"""),10.0)</f>
        <v>10</v>
      </c>
      <c r="C20" s="18" t="str">
        <f>IFERROR(__xludf.DUMMYFUNCTION("""COMPUTED_VALUE"""),"Y")</f>
        <v>Y</v>
      </c>
      <c r="D20" s="18" t="str">
        <f>IFERROR(__xludf.DUMMYFUNCTION("""COMPUTED_VALUE"""),"Athasian/Rohevan")</f>
        <v>Athasian/Rohevan</v>
      </c>
      <c r="E20" s="18" t="str">
        <f>IFERROR(__xludf.DUMMYFUNCTION("""COMPUTED_VALUE"""),"1 linite (hot)")</f>
        <v>1 linite (hot)</v>
      </c>
      <c r="F20" s="18" t="str">
        <f>IFERROR(__xludf.DUMMYFUNCTION("""COMPUTED_VALUE"""),"1 gems")</f>
        <v>1 gems</v>
      </c>
      <c r="G20" s="175">
        <f>IFERROR(__xludf.DUMMYFUNCTION("""COMPUTED_VALUE"""),3.0)</f>
        <v>3</v>
      </c>
      <c r="H20" s="18"/>
      <c r="I20" s="18">
        <f>IFERROR(__xludf.DUMMYFUNCTION("""COMPUTED_VALUE"""),10.0)</f>
        <v>10</v>
      </c>
      <c r="J20" s="18" t="str">
        <f>IFERROR(__xludf.DUMMYFUNCTION("""COMPUTED_VALUE"""),"Y")</f>
        <v>Y</v>
      </c>
      <c r="K20" s="18" t="str">
        <f>IFERROR(__xludf.DUMMYFUNCTION("""COMPUTED_VALUE"""),"Athasian/Rohevan")</f>
        <v>Athasian/Rohevan</v>
      </c>
      <c r="L20" s="18" t="str">
        <f>IFERROR(__xludf.DUMMYFUNCTION("""COMPUTED_VALUE"""),"1 gems")</f>
        <v>1 gems</v>
      </c>
      <c r="M20" s="18" t="str">
        <f>IFERROR(__xludf.DUMMYFUNCTION("""COMPUTED_VALUE"""),"1 linite (hot)")</f>
        <v>1 linite (hot)</v>
      </c>
      <c r="N20" s="18">
        <f>IFERROR(__xludf.DUMMYFUNCTION("""COMPUTED_VALUE"""),2.0)</f>
        <v>2</v>
      </c>
      <c r="O20" s="18"/>
      <c r="P20" s="18">
        <f>IFERROR(__xludf.DUMMYFUNCTION("""COMPUTED_VALUE"""),36.0)</f>
        <v>36</v>
      </c>
      <c r="Q20" s="18" t="str">
        <f>IFERROR(__xludf.DUMMYFUNCTION("""COMPUTED_VALUE"""),"N")</f>
        <v>N</v>
      </c>
      <c r="R20" s="18" t="str">
        <f>IFERROR(__xludf.DUMMYFUNCTION("""COMPUTED_VALUE"""),"Ostwil/Morgaard")</f>
        <v>Ostwil/Morgaard</v>
      </c>
      <c r="S20" s="18" t="str">
        <f>IFERROR(__xludf.DUMMYFUNCTION("""COMPUTED_VALUE"""),"1 LiveStock")</f>
        <v>1 LiveStock</v>
      </c>
      <c r="T20" s="18" t="str">
        <f>IFERROR(__xludf.DUMMYFUNCTION("""COMPUTED_VALUE"""),"1g")</f>
        <v>1g</v>
      </c>
      <c r="U20" s="175">
        <f>IFERROR(__xludf.DUMMYFUNCTION("""COMPUTED_VALUE"""),3.5)</f>
        <v>3.5</v>
      </c>
      <c r="V20" s="18"/>
    </row>
    <row r="21">
      <c r="B21" s="18">
        <f>IFERROR(__xludf.DUMMYFUNCTION("""COMPUTED_VALUE"""),1.0)</f>
        <v>1</v>
      </c>
      <c r="C21" s="18" t="str">
        <f>IFERROR(__xludf.DUMMYFUNCTION("""COMPUTED_VALUE"""),"Y")</f>
        <v>Y</v>
      </c>
      <c r="D21" s="18" t="str">
        <f>IFERROR(__xludf.DUMMYFUNCTION("""COMPUTED_VALUE"""),"Athasian/Ker'zerak")</f>
        <v>Athasian/Ker'zerak</v>
      </c>
      <c r="E21" s="18" t="str">
        <f>IFERROR(__xludf.DUMMYFUNCTION("""COMPUTED_VALUE"""),"1 Honey")</f>
        <v>1 Honey</v>
      </c>
      <c r="F21" s="18" t="str">
        <f>IFERROR(__xludf.DUMMYFUNCTION("""COMPUTED_VALUE"""),"1 Silk")</f>
        <v>1 Silk</v>
      </c>
      <c r="G21" s="175">
        <f>IFERROR(__xludf.DUMMYFUNCTION("""COMPUTED_VALUE"""),4.0)</f>
        <v>4</v>
      </c>
      <c r="H21" s="18"/>
      <c r="I21" s="18">
        <f>IFERROR(__xludf.DUMMYFUNCTION("""COMPUTED_VALUE"""),1.0)</f>
        <v>1</v>
      </c>
      <c r="J21" s="18" t="str">
        <f>IFERROR(__xludf.DUMMYFUNCTION("""COMPUTED_VALUE"""),"Y")</f>
        <v>Y</v>
      </c>
      <c r="K21" s="18" t="str">
        <f>IFERROR(__xludf.DUMMYFUNCTION("""COMPUTED_VALUE"""),"Athasian/Ker'zerak")</f>
        <v>Athasian/Ker'zerak</v>
      </c>
      <c r="L21" s="18" t="str">
        <f>IFERROR(__xludf.DUMMYFUNCTION("""COMPUTED_VALUE"""),"1 Silk")</f>
        <v>1 Silk</v>
      </c>
      <c r="M21" s="18" t="str">
        <f>IFERROR(__xludf.DUMMYFUNCTION("""COMPUTED_VALUE"""),"1 Honey")</f>
        <v>1 Honey</v>
      </c>
      <c r="N21" s="18">
        <f>IFERROR(__xludf.DUMMYFUNCTION("""COMPUTED_VALUE"""),2.0)</f>
        <v>2</v>
      </c>
      <c r="O21" s="18"/>
    </row>
    <row r="22">
      <c r="B22" s="18">
        <f>IFERROR(__xludf.DUMMYFUNCTION("""COMPUTED_VALUE"""),0.0)</f>
        <v>0</v>
      </c>
      <c r="C22" s="18" t="str">
        <f>IFERROR(__xludf.DUMMYFUNCTION("""COMPUTED_VALUE"""),"Y")</f>
        <v>Y</v>
      </c>
      <c r="D22" s="18" t="str">
        <f>IFERROR(__xludf.DUMMYFUNCTION("""COMPUTED_VALUE"""),"Athasian/Ostwil")</f>
        <v>Athasian/Ostwil</v>
      </c>
      <c r="E22" s="18" t="str">
        <f>IFERROR(__xludf.DUMMYFUNCTION("""COMPUTED_VALUE"""),"1 crops, 1 hardwood")</f>
        <v>1 crops, 1 hardwood</v>
      </c>
      <c r="F22" s="18" t="str">
        <f>IFERROR(__xludf.DUMMYFUNCTION("""COMPUTED_VALUE"""),"2g")</f>
        <v>2g</v>
      </c>
      <c r="G22" s="175">
        <f>IFERROR(__xludf.DUMMYFUNCTION("""COMPUTED_VALUE"""),4.0)</f>
        <v>4</v>
      </c>
      <c r="H22" s="18"/>
      <c r="I22" s="18">
        <f>IFERROR(__xludf.DUMMYFUNCTION("""COMPUTED_VALUE"""),0.0)</f>
        <v>0</v>
      </c>
      <c r="J22" s="18" t="str">
        <f>IFERROR(__xludf.DUMMYFUNCTION("""COMPUTED_VALUE"""),"Y")</f>
        <v>Y</v>
      </c>
      <c r="K22" s="18" t="str">
        <f>IFERROR(__xludf.DUMMYFUNCTION("""COMPUTED_VALUE"""),"Athasian/Ostwil")</f>
        <v>Athasian/Ostwil</v>
      </c>
      <c r="L22" s="18" t="str">
        <f>IFERROR(__xludf.DUMMYFUNCTION("""COMPUTED_VALUE"""),"2g")</f>
        <v>2g</v>
      </c>
      <c r="M22" s="18" t="str">
        <f>IFERROR(__xludf.DUMMYFUNCTION("""COMPUTED_VALUE"""),"1 crops, 1 hardwood")</f>
        <v>1 crops, 1 hardwood</v>
      </c>
      <c r="N22" s="18">
        <f>IFERROR(__xludf.DUMMYFUNCTION("""COMPUTED_VALUE"""),0.0)</f>
        <v>0</v>
      </c>
      <c r="O22" s="18"/>
    </row>
    <row r="23">
      <c r="B23" s="18">
        <f>IFERROR(__xludf.DUMMYFUNCTION("""COMPUTED_VALUE"""),2.0)</f>
        <v>2</v>
      </c>
      <c r="C23" s="18" t="str">
        <f>IFERROR(__xludf.DUMMYFUNCTION("""COMPUTED_VALUE"""),"Y")</f>
        <v>Y</v>
      </c>
      <c r="D23" s="18" t="str">
        <f>IFERROR(__xludf.DUMMYFUNCTION("""COMPUTED_VALUE"""),"Athasian/Karanex")</f>
        <v>Athasian/Karanex</v>
      </c>
      <c r="E23" s="18" t="str">
        <f>IFERROR(__xludf.DUMMYFUNCTION("""COMPUTED_VALUE"""),"1 ironwood")</f>
        <v>1 ironwood</v>
      </c>
      <c r="F23" s="18" t="str">
        <f>IFERROR(__xludf.DUMMYFUNCTION("""COMPUTED_VALUE"""),"1 pearls")</f>
        <v>1 pearls</v>
      </c>
      <c r="G23" s="175">
        <f>IFERROR(__xludf.DUMMYFUNCTION("""COMPUTED_VALUE"""),4.0)</f>
        <v>4</v>
      </c>
      <c r="H23" s="18"/>
      <c r="I23" s="18">
        <f>IFERROR(__xludf.DUMMYFUNCTION("""COMPUTED_VALUE"""),2.0)</f>
        <v>2</v>
      </c>
      <c r="J23" s="18" t="str">
        <f>IFERROR(__xludf.DUMMYFUNCTION("""COMPUTED_VALUE"""),"Y")</f>
        <v>Y</v>
      </c>
      <c r="K23" s="18" t="str">
        <f>IFERROR(__xludf.DUMMYFUNCTION("""COMPUTED_VALUE"""),"Athasian/Karanex")</f>
        <v>Athasian/Karanex</v>
      </c>
      <c r="L23" s="18" t="str">
        <f>IFERROR(__xludf.DUMMYFUNCTION("""COMPUTED_VALUE"""),"1 pearls")</f>
        <v>1 pearls</v>
      </c>
      <c r="M23" s="18" t="str">
        <f>IFERROR(__xludf.DUMMYFUNCTION("""COMPUTED_VALUE"""),"1 ironwood")</f>
        <v>1 ironwood</v>
      </c>
      <c r="N23" s="18">
        <f>IFERROR(__xludf.DUMMYFUNCTION("""COMPUTED_VALUE"""),2.0)</f>
        <v>2</v>
      </c>
      <c r="O23" s="18"/>
    </row>
    <row r="24">
      <c r="B24" s="18">
        <f>IFERROR(__xludf.DUMMYFUNCTION("""COMPUTED_VALUE"""),5.0)</f>
        <v>5</v>
      </c>
      <c r="C24" s="18" t="str">
        <f>IFERROR(__xludf.DUMMYFUNCTION("""COMPUTED_VALUE"""),"Y")</f>
        <v>Y</v>
      </c>
      <c r="D24" s="18" t="str">
        <f>IFERROR(__xludf.DUMMYFUNCTION("""COMPUTED_VALUE"""),"Athasian/Galicia")</f>
        <v>Athasian/Galicia</v>
      </c>
      <c r="E24" s="18" t="str">
        <f>IFERROR(__xludf.DUMMYFUNCTION("""COMPUTED_VALUE"""),"2g")</f>
        <v>2g</v>
      </c>
      <c r="F24" s="18" t="str">
        <f>IFERROR(__xludf.DUMMYFUNCTION("""COMPUTED_VALUE"""),"1 Dyes")</f>
        <v>1 Dyes</v>
      </c>
      <c r="G24" s="175">
        <f>IFERROR(__xludf.DUMMYFUNCTION("""COMPUTED_VALUE"""),1.5)</f>
        <v>1.5</v>
      </c>
      <c r="H24" s="18"/>
      <c r="I24" s="18">
        <f>IFERROR(__xludf.DUMMYFUNCTION("""COMPUTED_VALUE"""),5.0)</f>
        <v>5</v>
      </c>
      <c r="J24" s="18" t="str">
        <f>IFERROR(__xludf.DUMMYFUNCTION("""COMPUTED_VALUE"""),"Y")</f>
        <v>Y</v>
      </c>
      <c r="K24" s="18" t="str">
        <f>IFERROR(__xludf.DUMMYFUNCTION("""COMPUTED_VALUE"""),"Athasian/Galicia")</f>
        <v>Athasian/Galicia</v>
      </c>
      <c r="L24" s="18" t="str">
        <f>IFERROR(__xludf.DUMMYFUNCTION("""COMPUTED_VALUE"""),"1 Dyes")</f>
        <v>1 Dyes</v>
      </c>
      <c r="M24" s="18" t="str">
        <f>IFERROR(__xludf.DUMMYFUNCTION("""COMPUTED_VALUE"""),"2g")</f>
        <v>2g</v>
      </c>
      <c r="N24" s="18">
        <f>IFERROR(__xludf.DUMMYFUNCTION("""COMPUTED_VALUE"""),4.0)</f>
        <v>4</v>
      </c>
      <c r="O24" s="18"/>
    </row>
    <row r="25">
      <c r="B25" s="18">
        <f>IFERROR(__xludf.DUMMYFUNCTION("""COMPUTED_VALUE"""),8.0)</f>
        <v>8</v>
      </c>
      <c r="C25" s="18" t="str">
        <f>IFERROR(__xludf.DUMMYFUNCTION("""COMPUTED_VALUE"""),"Y")</f>
        <v>Y</v>
      </c>
      <c r="D25" s="18" t="str">
        <f>IFERROR(__xludf.DUMMYFUNCTION("""COMPUTED_VALUE"""),"Athasian/Akhenian")</f>
        <v>Athasian/Akhenian</v>
      </c>
      <c r="E25" s="18" t="str">
        <f>IFERROR(__xludf.DUMMYFUNCTION("""COMPUTED_VALUE"""),"1 brass, 1g")</f>
        <v>1 brass, 1g</v>
      </c>
      <c r="F25" s="18" t="str">
        <f>IFERROR(__xludf.DUMMYFUNCTION("""COMPUTED_VALUE"""),"1 salt")</f>
        <v>1 salt</v>
      </c>
      <c r="G25" s="175">
        <f>IFERROR(__xludf.DUMMYFUNCTION("""COMPUTED_VALUE"""),1.5)</f>
        <v>1.5</v>
      </c>
      <c r="H25" s="18"/>
      <c r="I25" s="18">
        <f>IFERROR(__xludf.DUMMYFUNCTION("""COMPUTED_VALUE"""),8.0)</f>
        <v>8</v>
      </c>
      <c r="J25" s="18" t="str">
        <f>IFERROR(__xludf.DUMMYFUNCTION("""COMPUTED_VALUE"""),"Y")</f>
        <v>Y</v>
      </c>
      <c r="K25" s="18" t="str">
        <f>IFERROR(__xludf.DUMMYFUNCTION("""COMPUTED_VALUE"""),"Athasian/Akhenian")</f>
        <v>Athasian/Akhenian</v>
      </c>
      <c r="L25" s="18" t="str">
        <f>IFERROR(__xludf.DUMMYFUNCTION("""COMPUTED_VALUE"""),"1 salt")</f>
        <v>1 salt</v>
      </c>
      <c r="M25" s="18" t="str">
        <f>IFERROR(__xludf.DUMMYFUNCTION("""COMPUTED_VALUE"""),"1 brass, 1g")</f>
        <v>1 brass, 1g</v>
      </c>
      <c r="N25" s="18">
        <f>IFERROR(__xludf.DUMMYFUNCTION("""COMPUTED_VALUE"""),3.0)</f>
        <v>3</v>
      </c>
      <c r="O25" s="18"/>
    </row>
    <row r="26">
      <c r="B26" s="18">
        <f>IFERROR(__xludf.DUMMYFUNCTION("""COMPUTED_VALUE"""),8.0)</f>
        <v>8</v>
      </c>
      <c r="C26" s="18" t="str">
        <f>IFERROR(__xludf.DUMMYFUNCTION("""COMPUTED_VALUE"""),"Y")</f>
        <v>Y</v>
      </c>
      <c r="D26" s="18" t="str">
        <f>IFERROR(__xludf.DUMMYFUNCTION("""COMPUTED_VALUE"""),"Athasian/Ashen'gar")</f>
        <v>Athasian/Ashen'gar</v>
      </c>
      <c r="E26" s="18" t="str">
        <f>IFERROR(__xludf.DUMMYFUNCTION("""COMPUTED_VALUE"""),"2g")</f>
        <v>2g</v>
      </c>
      <c r="F26" s="18" t="str">
        <f>IFERROR(__xludf.DUMMYFUNCTION("""COMPUTED_VALUE"""),"1 Spirits")</f>
        <v>1 Spirits</v>
      </c>
      <c r="G26" s="175">
        <f>IFERROR(__xludf.DUMMYFUNCTION("""COMPUTED_VALUE"""),0.0)</f>
        <v>0</v>
      </c>
      <c r="H26" s="18"/>
      <c r="I26" s="18">
        <f>IFERROR(__xludf.DUMMYFUNCTION("""COMPUTED_VALUE"""),8.0)</f>
        <v>8</v>
      </c>
      <c r="J26" s="18" t="str">
        <f>IFERROR(__xludf.DUMMYFUNCTION("""COMPUTED_VALUE"""),"Y")</f>
        <v>Y</v>
      </c>
      <c r="K26" s="18" t="str">
        <f>IFERROR(__xludf.DUMMYFUNCTION("""COMPUTED_VALUE"""),"Athasian/Ashen'gar")</f>
        <v>Athasian/Ashen'gar</v>
      </c>
      <c r="L26" s="18" t="str">
        <f>IFERROR(__xludf.DUMMYFUNCTION("""COMPUTED_VALUE"""),"1 Spirits")</f>
        <v>1 Spirits</v>
      </c>
      <c r="M26" s="18" t="str">
        <f>IFERROR(__xludf.DUMMYFUNCTION("""COMPUTED_VALUE"""),"2g")</f>
        <v>2g</v>
      </c>
      <c r="N26" s="18">
        <f>IFERROR(__xludf.DUMMYFUNCTION("""COMPUTED_VALUE"""),4.0)</f>
        <v>4</v>
      </c>
      <c r="O26" s="18"/>
    </row>
    <row r="27">
      <c r="B27" s="18">
        <f>IFERROR(__xludf.DUMMYFUNCTION("""COMPUTED_VALUE"""),29.0)</f>
        <v>29</v>
      </c>
      <c r="C27" s="18" t="str">
        <f>IFERROR(__xludf.DUMMYFUNCTION("""COMPUTED_VALUE"""),"Y")</f>
        <v>Y</v>
      </c>
      <c r="D27" s="18" t="str">
        <f>IFERROR(__xludf.DUMMYFUNCTION("""COMPUTED_VALUE"""),"Athasian/Celistark")</f>
        <v>Athasian/Celistark</v>
      </c>
      <c r="E27" s="18" t="str">
        <f>IFERROR(__xludf.DUMMYFUNCTION("""COMPUTED_VALUE"""),"1 pearl")</f>
        <v>1 pearl</v>
      </c>
      <c r="F27" s="18" t="str">
        <f>IFERROR(__xludf.DUMMYFUNCTION("""COMPUTED_VALUE"""),"1 Ironwood")</f>
        <v>1 Ironwood</v>
      </c>
      <c r="G27" s="175">
        <f>IFERROR(__xludf.DUMMYFUNCTION("""COMPUTED_VALUE"""),3.230769230769231)</f>
        <v>3.230769231</v>
      </c>
      <c r="H27" s="18"/>
      <c r="I27" s="18">
        <f>IFERROR(__xludf.DUMMYFUNCTION("""COMPUTED_VALUE"""),29.0)</f>
        <v>29</v>
      </c>
      <c r="J27" s="18" t="str">
        <f>IFERROR(__xludf.DUMMYFUNCTION("""COMPUTED_VALUE"""),"Y")</f>
        <v>Y</v>
      </c>
      <c r="K27" s="18" t="str">
        <f>IFERROR(__xludf.DUMMYFUNCTION("""COMPUTED_VALUE"""),"Athasian/Celistark")</f>
        <v>Athasian/Celistark</v>
      </c>
      <c r="L27" s="18" t="str">
        <f>IFERROR(__xludf.DUMMYFUNCTION("""COMPUTED_VALUE"""),"1 Ironwood")</f>
        <v>1 Ironwood</v>
      </c>
      <c r="M27" s="18" t="str">
        <f>IFERROR(__xludf.DUMMYFUNCTION("""COMPUTED_VALUE"""),"1 pearl")</f>
        <v>1 pearl</v>
      </c>
      <c r="N27" s="18">
        <f>IFERROR(__xludf.DUMMYFUNCTION("""COMPUTED_VALUE"""),2.0)</f>
        <v>2</v>
      </c>
      <c r="O27" s="18"/>
    </row>
    <row r="28">
      <c r="B28" s="18">
        <f>IFERROR(__xludf.DUMMYFUNCTION("""COMPUTED_VALUE"""),9.0)</f>
        <v>9</v>
      </c>
      <c r="C28" s="18" t="str">
        <f>IFERROR(__xludf.DUMMYFUNCTION("""COMPUTED_VALUE"""),"Y")</f>
        <v>Y</v>
      </c>
      <c r="D28" s="18" t="str">
        <f>IFERROR(__xludf.DUMMYFUNCTION("""COMPUTED_VALUE"""),"Athasian/Gnomergnan")</f>
        <v>Athasian/Gnomergnan</v>
      </c>
      <c r="E28" s="18" t="str">
        <f>IFERROR(__xludf.DUMMYFUNCTION("""COMPUTED_VALUE"""),"1 crops")</f>
        <v>1 crops</v>
      </c>
      <c r="F28" s="18" t="str">
        <f>IFERROR(__xludf.DUMMYFUNCTION("""COMPUTED_VALUE"""),"1g")</f>
        <v>1g</v>
      </c>
      <c r="G28" s="175">
        <f>IFERROR(__xludf.DUMMYFUNCTION("""COMPUTED_VALUE"""),4.0)</f>
        <v>4</v>
      </c>
      <c r="H28" s="18" t="str">
        <f>IFERROR(__xludf.DUMMYFUNCTION("""COMPUTED_VALUE"""),"Defended")</f>
        <v>Defended</v>
      </c>
      <c r="I28" s="18">
        <f>IFERROR(__xludf.DUMMYFUNCTION("""COMPUTED_VALUE"""),9.0)</f>
        <v>9</v>
      </c>
      <c r="J28" s="18" t="str">
        <f>IFERROR(__xludf.DUMMYFUNCTION("""COMPUTED_VALUE"""),"Y")</f>
        <v>Y</v>
      </c>
      <c r="K28" s="18" t="str">
        <f>IFERROR(__xludf.DUMMYFUNCTION("""COMPUTED_VALUE"""),"Athasian/Gnomergnan")</f>
        <v>Athasian/Gnomergnan</v>
      </c>
      <c r="L28" s="18" t="str">
        <f>IFERROR(__xludf.DUMMYFUNCTION("""COMPUTED_VALUE"""),"1g")</f>
        <v>1g</v>
      </c>
      <c r="M28" s="18" t="str">
        <f>IFERROR(__xludf.DUMMYFUNCTION("""COMPUTED_VALUE"""),"1 crops")</f>
        <v>1 crops</v>
      </c>
      <c r="N28" s="18">
        <f>IFERROR(__xludf.DUMMYFUNCTION("""COMPUTED_VALUE"""),1.0)</f>
        <v>1</v>
      </c>
      <c r="O28" s="18" t="str">
        <f>IFERROR(__xludf.DUMMYFUNCTION("""COMPUTED_VALUE"""),"Defended")</f>
        <v>Defended</v>
      </c>
    </row>
    <row r="29">
      <c r="B29" s="18">
        <f>IFERROR(__xludf.DUMMYFUNCTION("""COMPUTED_VALUE"""),0.0)</f>
        <v>0</v>
      </c>
      <c r="C29" s="18" t="str">
        <f>IFERROR(__xludf.DUMMYFUNCTION("""COMPUTED_VALUE"""),"Y")</f>
        <v>Y</v>
      </c>
      <c r="D29" s="18" t="str">
        <f>IFERROR(__xludf.DUMMYFUNCTION("""COMPUTED_VALUE"""),"Athasian/HPE")</f>
        <v>Athasian/HPE</v>
      </c>
      <c r="E29" s="18" t="str">
        <f>IFERROR(__xludf.DUMMYFUNCTION("""COMPUTED_VALUE"""),"1 Seafood, 1 Herbs")</f>
        <v>1 Seafood, 1 Herbs</v>
      </c>
      <c r="F29" s="18" t="str">
        <f>IFERROR(__xludf.DUMMYFUNCTION("""COMPUTED_VALUE"""),"1 Textile, 1 Game")</f>
        <v>1 Textile, 1 Game</v>
      </c>
      <c r="G29" s="175">
        <f>IFERROR(__xludf.DUMMYFUNCTION("""COMPUTED_VALUE"""),2.0)</f>
        <v>2</v>
      </c>
      <c r="H29" s="18" t="str">
        <f>IFERROR(__xludf.DUMMYFUNCTION("""COMPUTED_VALUE"""),"Defended")</f>
        <v>Defended</v>
      </c>
      <c r="I29" s="18">
        <f>IFERROR(__xludf.DUMMYFUNCTION("""COMPUTED_VALUE"""),0.0)</f>
        <v>0</v>
      </c>
      <c r="J29" s="18" t="str">
        <f>IFERROR(__xludf.DUMMYFUNCTION("""COMPUTED_VALUE"""),"Y")</f>
        <v>Y</v>
      </c>
      <c r="K29" s="18" t="str">
        <f>IFERROR(__xludf.DUMMYFUNCTION("""COMPUTED_VALUE"""),"Athasian/HPE")</f>
        <v>Athasian/HPE</v>
      </c>
      <c r="L29" s="18" t="str">
        <f>IFERROR(__xludf.DUMMYFUNCTION("""COMPUTED_VALUE"""),"1 Textile, 1 Game")</f>
        <v>1 Textile, 1 Game</v>
      </c>
      <c r="M29" s="18" t="str">
        <f>IFERROR(__xludf.DUMMYFUNCTION("""COMPUTED_VALUE"""),"1 Seafood, 1 Herbs")</f>
        <v>1 Seafood, 1 Herbs</v>
      </c>
      <c r="N29" s="18">
        <f>IFERROR(__xludf.DUMMYFUNCTION("""COMPUTED_VALUE"""),2.0)</f>
        <v>2</v>
      </c>
      <c r="O29" s="18" t="str">
        <f>IFERROR(__xludf.DUMMYFUNCTION("""COMPUTED_VALUE"""),"Defended")</f>
        <v>Defended</v>
      </c>
    </row>
    <row r="30">
      <c r="B30" s="18">
        <f>IFERROR(__xludf.DUMMYFUNCTION("""COMPUTED_VALUE"""),14.0)</f>
        <v>14</v>
      </c>
      <c r="C30" s="18" t="str">
        <f>IFERROR(__xludf.DUMMYFUNCTION("""COMPUTED_VALUE"""),"Y")</f>
        <v>Y</v>
      </c>
      <c r="D30" s="18" t="str">
        <f>IFERROR(__xludf.DUMMYFUNCTION("""COMPUTED_VALUE"""),"Athasian/Prindar")</f>
        <v>Athasian/Prindar</v>
      </c>
      <c r="E30" s="18" t="str">
        <f>IFERROR(__xludf.DUMMYFUNCTION("""COMPUTED_VALUE"""),"1 Sugar")</f>
        <v>1 Sugar</v>
      </c>
      <c r="F30" s="18" t="str">
        <f>IFERROR(__xludf.DUMMYFUNCTION("""COMPUTED_VALUE"""),"1 Herbs")</f>
        <v>1 Herbs</v>
      </c>
      <c r="G30" s="175">
        <f>IFERROR(__xludf.DUMMYFUNCTION("""COMPUTED_VALUE"""),4.0)</f>
        <v>4</v>
      </c>
      <c r="H30" s="18"/>
      <c r="I30" s="18">
        <f>IFERROR(__xludf.DUMMYFUNCTION("""COMPUTED_VALUE"""),14.0)</f>
        <v>14</v>
      </c>
      <c r="J30" s="18" t="str">
        <f>IFERROR(__xludf.DUMMYFUNCTION("""COMPUTED_VALUE"""),"Y")</f>
        <v>Y</v>
      </c>
      <c r="K30" s="18" t="str">
        <f>IFERROR(__xludf.DUMMYFUNCTION("""COMPUTED_VALUE"""),"Athasian/Prindar")</f>
        <v>Athasian/Prindar</v>
      </c>
      <c r="L30" s="18" t="str">
        <f>IFERROR(__xludf.DUMMYFUNCTION("""COMPUTED_VALUE"""),"1 Herbs")</f>
        <v>1 Herbs</v>
      </c>
      <c r="M30" s="18" t="str">
        <f>IFERROR(__xludf.DUMMYFUNCTION("""COMPUTED_VALUE"""),"1 Sugar")</f>
        <v>1 Sugar</v>
      </c>
      <c r="N30" s="18">
        <f>IFERROR(__xludf.DUMMYFUNCTION("""COMPUTED_VALUE"""),2.0)</f>
        <v>2</v>
      </c>
      <c r="O30" s="18"/>
    </row>
    <row r="31">
      <c r="B31" s="18">
        <f>IFERROR(__xludf.DUMMYFUNCTION("""COMPUTED_VALUE"""),32.0)</f>
        <v>32</v>
      </c>
      <c r="C31" s="18" t="str">
        <f>IFERROR(__xludf.DUMMYFUNCTION("""COMPUTED_VALUE"""),"N")</f>
        <v>N</v>
      </c>
      <c r="D31" s="18" t="str">
        <f>IFERROR(__xludf.DUMMYFUNCTION("""COMPUTED_VALUE"""),"Afenthar/Athasian")</f>
        <v>Afenthar/Athasian</v>
      </c>
      <c r="E31" s="18" t="str">
        <f>IFERROR(__xludf.DUMMYFUNCTION("""COMPUTED_VALUE"""),"1 Holystone")</f>
        <v>1 Holystone</v>
      </c>
      <c r="F31" s="18" t="str">
        <f>IFERROR(__xludf.DUMMYFUNCTION("""COMPUTED_VALUE"""),"3g")</f>
        <v>3g</v>
      </c>
      <c r="G31" s="175">
        <f>IFERROR(__xludf.DUMMYFUNCTION("""COMPUTED_VALUE"""),5.5)</f>
        <v>5.5</v>
      </c>
      <c r="H31" s="18"/>
      <c r="I31" s="18">
        <f>IFERROR(__xludf.DUMMYFUNCTION("""COMPUTED_VALUE"""),32.0)</f>
        <v>32</v>
      </c>
      <c r="J31" s="18" t="str">
        <f>IFERROR(__xludf.DUMMYFUNCTION("""COMPUTED_VALUE"""),"N")</f>
        <v>N</v>
      </c>
      <c r="K31" s="18" t="str">
        <f>IFERROR(__xludf.DUMMYFUNCTION("""COMPUTED_VALUE"""),"Afenthar/Athasian")</f>
        <v>Afenthar/Athasian</v>
      </c>
      <c r="L31" s="18" t="str">
        <f>IFERROR(__xludf.DUMMYFUNCTION("""COMPUTED_VALUE"""),"3g")</f>
        <v>3g</v>
      </c>
      <c r="M31" s="18" t="str">
        <f>IFERROR(__xludf.DUMMYFUNCTION("""COMPUTED_VALUE"""),"1 Holystone")</f>
        <v>1 Holystone</v>
      </c>
      <c r="N31" s="18">
        <f>IFERROR(__xludf.DUMMYFUNCTION("""COMPUTED_VALUE"""),-2.0)</f>
        <v>-2</v>
      </c>
      <c r="O31" s="18"/>
      <c r="P31" s="18">
        <f t="array" ref="P31:V60">{P15:V29;W15:AC29}</f>
        <v>25</v>
      </c>
      <c r="Q31" s="18" t="s">
        <v>110</v>
      </c>
      <c r="R31" s="18" t="s">
        <v>111</v>
      </c>
      <c r="S31" s="18" t="s">
        <v>112</v>
      </c>
      <c r="T31" s="18" t="s">
        <v>113</v>
      </c>
      <c r="U31" s="175">
        <v>9.5</v>
      </c>
      <c r="V31" s="18" t="s">
        <v>114</v>
      </c>
    </row>
    <row r="32">
      <c r="B32" s="18">
        <f>IFERROR(__xludf.DUMMYFUNCTION("""COMPUTED_VALUE"""),8.0)</f>
        <v>8</v>
      </c>
      <c r="C32" s="18" t="str">
        <f>IFERROR(__xludf.DUMMYFUNCTION("""COMPUTED_VALUE"""),"Y")</f>
        <v>Y</v>
      </c>
      <c r="D32" s="18" t="str">
        <f>IFERROR(__xludf.DUMMYFUNCTION("""COMPUTED_VALUE"""),"Baktu/Rohevan")</f>
        <v>Baktu/Rohevan</v>
      </c>
      <c r="E32" s="18" t="str">
        <f>IFERROR(__xludf.DUMMYFUNCTION("""COMPUTED_VALUE"""),"1g")</f>
        <v>1g</v>
      </c>
      <c r="F32" s="18" t="str">
        <f>IFERROR(__xludf.DUMMYFUNCTION("""COMPUTED_VALUE"""),"1 Fruit")</f>
        <v>1 Fruit</v>
      </c>
      <c r="G32" s="175">
        <f>IFERROR(__xludf.DUMMYFUNCTION("""COMPUTED_VALUE"""),2.0)</f>
        <v>2</v>
      </c>
      <c r="H32" s="18"/>
      <c r="I32" s="18">
        <f>IFERROR(__xludf.DUMMYFUNCTION("""COMPUTED_VALUE"""),8.0)</f>
        <v>8</v>
      </c>
      <c r="J32" s="18" t="str">
        <f>IFERROR(__xludf.DUMMYFUNCTION("""COMPUTED_VALUE"""),"Y")</f>
        <v>Y</v>
      </c>
      <c r="K32" s="18" t="str">
        <f>IFERROR(__xludf.DUMMYFUNCTION("""COMPUTED_VALUE"""),"Baktu/Rohevan")</f>
        <v>Baktu/Rohevan</v>
      </c>
      <c r="L32" s="18" t="str">
        <f>IFERROR(__xludf.DUMMYFUNCTION("""COMPUTED_VALUE"""),"1 Fruit")</f>
        <v>1 Fruit</v>
      </c>
      <c r="M32" s="18" t="str">
        <f>IFERROR(__xludf.DUMMYFUNCTION("""COMPUTED_VALUE"""),"1g")</f>
        <v>1g</v>
      </c>
      <c r="N32" s="18">
        <f>IFERROR(__xludf.DUMMYFUNCTION("""COMPUTED_VALUE"""),3.0)</f>
        <v>3</v>
      </c>
      <c r="O32" s="18"/>
      <c r="P32" s="18">
        <v>12.0</v>
      </c>
      <c r="Q32" s="18" t="s">
        <v>110</v>
      </c>
      <c r="R32" s="18" t="s">
        <v>115</v>
      </c>
      <c r="S32" s="18" t="s">
        <v>116</v>
      </c>
      <c r="T32" s="18" t="s">
        <v>117</v>
      </c>
      <c r="U32" s="175">
        <v>2.5</v>
      </c>
      <c r="V32" s="18"/>
    </row>
    <row r="33">
      <c r="B33" s="18">
        <f>IFERROR(__xludf.DUMMYFUNCTION("""COMPUTED_VALUE"""),20.0)</f>
        <v>20</v>
      </c>
      <c r="C33" s="18" t="str">
        <f>IFERROR(__xludf.DUMMYFUNCTION("""COMPUTED_VALUE"""),"Y")</f>
        <v>Y</v>
      </c>
      <c r="D33" s="18" t="str">
        <f>IFERROR(__xludf.DUMMYFUNCTION("""COMPUTED_VALUE"""),"Baktu/Celistark")</f>
        <v>Baktu/Celistark</v>
      </c>
      <c r="E33" s="18" t="str">
        <f>IFERROR(__xludf.DUMMYFUNCTION("""COMPUTED_VALUE"""),"1 Textiles")</f>
        <v>1 Textiles</v>
      </c>
      <c r="F33" s="18" t="str">
        <f>IFERROR(__xludf.DUMMYFUNCTION("""COMPUTED_VALUE"""),"1 Hardwood")</f>
        <v>1 Hardwood</v>
      </c>
      <c r="G33" s="175">
        <f>IFERROR(__xludf.DUMMYFUNCTION("""COMPUTED_VALUE"""),2.0)</f>
        <v>2</v>
      </c>
      <c r="H33" s="18"/>
      <c r="I33" s="18">
        <f>IFERROR(__xludf.DUMMYFUNCTION("""COMPUTED_VALUE"""),20.0)</f>
        <v>20</v>
      </c>
      <c r="J33" s="18" t="str">
        <f>IFERROR(__xludf.DUMMYFUNCTION("""COMPUTED_VALUE"""),"Y")</f>
        <v>Y</v>
      </c>
      <c r="K33" s="18" t="str">
        <f>IFERROR(__xludf.DUMMYFUNCTION("""COMPUTED_VALUE"""),"Baktu/Celistark")</f>
        <v>Baktu/Celistark</v>
      </c>
      <c r="L33" s="18" t="str">
        <f>IFERROR(__xludf.DUMMYFUNCTION("""COMPUTED_VALUE"""),"1 Hardwood")</f>
        <v>1 Hardwood</v>
      </c>
      <c r="M33" s="18" t="str">
        <f>IFERROR(__xludf.DUMMYFUNCTION("""COMPUTED_VALUE"""),"1 Textiles")</f>
        <v>1 Textiles</v>
      </c>
      <c r="N33" s="18">
        <f>IFERROR(__xludf.DUMMYFUNCTION("""COMPUTED_VALUE"""),2.0)</f>
        <v>2</v>
      </c>
      <c r="O33" s="18"/>
      <c r="P33" s="18">
        <v>7.0</v>
      </c>
      <c r="Q33" s="18" t="s">
        <v>110</v>
      </c>
      <c r="R33" s="18" t="s">
        <v>118</v>
      </c>
      <c r="S33" s="18"/>
      <c r="T33" s="18"/>
      <c r="U33" s="18"/>
      <c r="V33" s="18" t="s">
        <v>119</v>
      </c>
    </row>
    <row r="34">
      <c r="B34" s="18">
        <f>IFERROR(__xludf.DUMMYFUNCTION("""COMPUTED_VALUE"""),25.0)</f>
        <v>25</v>
      </c>
      <c r="C34" s="18" t="str">
        <f>IFERROR(__xludf.DUMMYFUNCTION("""COMPUTED_VALUE"""),"Y")</f>
        <v>Y</v>
      </c>
      <c r="D34" s="18" t="str">
        <f>IFERROR(__xludf.DUMMYFUNCTION("""COMPUTED_VALUE"""),"Celistark/Durus")</f>
        <v>Celistark/Durus</v>
      </c>
      <c r="E34" s="18" t="str">
        <f>IFERROR(__xludf.DUMMYFUNCTION("""COMPUTED_VALUE"""),"1 Ironwood")</f>
        <v>1 Ironwood</v>
      </c>
      <c r="F34" s="18" t="str">
        <f>IFERROR(__xludf.DUMMYFUNCTION("""COMPUTED_VALUE"""),"1 Steel")</f>
        <v>1 Steel</v>
      </c>
      <c r="G34" s="175">
        <f>IFERROR(__xludf.DUMMYFUNCTION("""COMPUTED_VALUE"""),2.142857142857143)</f>
        <v>2.142857143</v>
      </c>
      <c r="H34" s="18"/>
      <c r="I34" s="18">
        <f>IFERROR(__xludf.DUMMYFUNCTION("""COMPUTED_VALUE"""),25.0)</f>
        <v>25</v>
      </c>
      <c r="J34" s="18" t="str">
        <f>IFERROR(__xludf.DUMMYFUNCTION("""COMPUTED_VALUE"""),"Y")</f>
        <v>Y</v>
      </c>
      <c r="K34" s="18" t="str">
        <f>IFERROR(__xludf.DUMMYFUNCTION("""COMPUTED_VALUE"""),"Celistark/Durus")</f>
        <v>Celistark/Durus</v>
      </c>
      <c r="L34" s="18" t="str">
        <f>IFERROR(__xludf.DUMMYFUNCTION("""COMPUTED_VALUE"""),"1 Steel")</f>
        <v>1 Steel</v>
      </c>
      <c r="M34" s="18" t="str">
        <f>IFERROR(__xludf.DUMMYFUNCTION("""COMPUTED_VALUE"""),"1 Ironwood")</f>
        <v>1 Ironwood</v>
      </c>
      <c r="N34" s="18">
        <f>IFERROR(__xludf.DUMMYFUNCTION("""COMPUTED_VALUE"""),1.0)</f>
        <v>1</v>
      </c>
      <c r="O34" s="18"/>
      <c r="P34" s="18">
        <v>35.0</v>
      </c>
      <c r="Q34" s="18" t="s">
        <v>120</v>
      </c>
      <c r="R34" s="18" t="s">
        <v>121</v>
      </c>
      <c r="S34" s="18" t="s">
        <v>122</v>
      </c>
      <c r="T34" s="18" t="s">
        <v>123</v>
      </c>
      <c r="U34" s="175">
        <v>1.0</v>
      </c>
      <c r="V34" s="18"/>
    </row>
    <row r="35">
      <c r="B35" s="18">
        <f>IFERROR(__xludf.DUMMYFUNCTION("""COMPUTED_VALUE"""),8.0)</f>
        <v>8</v>
      </c>
      <c r="C35" s="18" t="str">
        <f>IFERROR(__xludf.DUMMYFUNCTION("""COMPUTED_VALUE"""),"Y")</f>
        <v>Y</v>
      </c>
      <c r="D35" s="18" t="str">
        <f>IFERROR(__xludf.DUMMYFUNCTION("""COMPUTED_VALUE"""),"Durus/Voresh")</f>
        <v>Durus/Voresh</v>
      </c>
      <c r="E35" s="18" t="str">
        <f>IFERROR(__xludf.DUMMYFUNCTION("""COMPUTED_VALUE"""),"3g")</f>
        <v>3g</v>
      </c>
      <c r="F35" s="18" t="str">
        <f>IFERROR(__xludf.DUMMYFUNCTION("""COMPUTED_VALUE"""),"1 waterwood, 1 copper")</f>
        <v>1 waterwood, 1 copper</v>
      </c>
      <c r="G35" s="175">
        <f>IFERROR(__xludf.DUMMYFUNCTION("""COMPUTED_VALUE"""),3.5)</f>
        <v>3.5</v>
      </c>
      <c r="H35" s="18"/>
      <c r="I35" s="18">
        <f>IFERROR(__xludf.DUMMYFUNCTION("""COMPUTED_VALUE"""),8.0)</f>
        <v>8</v>
      </c>
      <c r="J35" s="18" t="str">
        <f>IFERROR(__xludf.DUMMYFUNCTION("""COMPUTED_VALUE"""),"Y")</f>
        <v>Y</v>
      </c>
      <c r="K35" s="18" t="str">
        <f>IFERROR(__xludf.DUMMYFUNCTION("""COMPUTED_VALUE"""),"Durus/Voresh")</f>
        <v>Durus/Voresh</v>
      </c>
      <c r="L35" s="18" t="str">
        <f>IFERROR(__xludf.DUMMYFUNCTION("""COMPUTED_VALUE"""),"1 waterwood, 1 copper")</f>
        <v>1 waterwood, 1 copper</v>
      </c>
      <c r="M35" s="18"/>
      <c r="N35" s="18">
        <f>IFERROR(__xludf.DUMMYFUNCTION("""COMPUTED_VALUE"""),2.0)</f>
        <v>2</v>
      </c>
      <c r="O35" s="18" t="str">
        <f>IFERROR(__xludf.DUMMYFUNCTION("""COMPUTED_VALUE"""),"Counter-Intel")</f>
        <v>Counter-Intel</v>
      </c>
      <c r="P35" s="18">
        <v>35.0</v>
      </c>
      <c r="Q35" s="18" t="s">
        <v>120</v>
      </c>
      <c r="R35" s="18" t="s">
        <v>124</v>
      </c>
      <c r="S35" s="18" t="s">
        <v>125</v>
      </c>
      <c r="T35" s="18" t="s">
        <v>126</v>
      </c>
      <c r="U35" s="175">
        <v>1.0</v>
      </c>
      <c r="V35" s="18"/>
    </row>
    <row r="36">
      <c r="B36" s="18">
        <f>IFERROR(__xludf.DUMMYFUNCTION("""COMPUTED_VALUE"""),31.0)</f>
        <v>31</v>
      </c>
      <c r="C36" s="18" t="str">
        <f>IFERROR(__xludf.DUMMYFUNCTION("""COMPUTED_VALUE"""),"N")</f>
        <v>N</v>
      </c>
      <c r="D36" s="18" t="str">
        <f>IFERROR(__xludf.DUMMYFUNCTION("""COMPUTED_VALUE"""),"Durus/Primean Papal States")</f>
        <v>Durus/Primean Papal States</v>
      </c>
      <c r="E36" s="18" t="str">
        <f>IFERROR(__xludf.DUMMYFUNCTION("""COMPUTED_VALUE"""),"3g")</f>
        <v>3g</v>
      </c>
      <c r="F36" s="18" t="str">
        <f>IFERROR(__xludf.DUMMYFUNCTION("""COMPUTED_VALUE"""),"1 Crops")</f>
        <v>1 Crops</v>
      </c>
      <c r="G36" s="175">
        <f>IFERROR(__xludf.DUMMYFUNCTION("""COMPUTED_VALUE"""),3.0)</f>
        <v>3</v>
      </c>
      <c r="H36" s="18"/>
      <c r="I36" s="18">
        <f>IFERROR(__xludf.DUMMYFUNCTION("""COMPUTED_VALUE"""),31.0)</f>
        <v>31</v>
      </c>
      <c r="J36" s="18" t="str">
        <f>IFERROR(__xludf.DUMMYFUNCTION("""COMPUTED_VALUE"""),"N")</f>
        <v>N</v>
      </c>
      <c r="K36" s="18" t="str">
        <f>IFERROR(__xludf.DUMMYFUNCTION("""COMPUTED_VALUE"""),"Durus/Primean Papal States")</f>
        <v>Durus/Primean Papal States</v>
      </c>
      <c r="L36" s="18"/>
      <c r="M36" s="18" t="str">
        <f>IFERROR(__xludf.DUMMYFUNCTION("""COMPUTED_VALUE"""),"1 Seafood")</f>
        <v>1 Seafood</v>
      </c>
      <c r="N36" s="18">
        <f>IFERROR(__xludf.DUMMYFUNCTION("""COMPUTED_VALUE"""),1.0)</f>
        <v>1</v>
      </c>
      <c r="O36" s="18"/>
      <c r="P36" s="18">
        <v>36.0</v>
      </c>
      <c r="Q36" s="18" t="s">
        <v>120</v>
      </c>
      <c r="R36" s="18" t="s">
        <v>127</v>
      </c>
      <c r="S36" s="18" t="s">
        <v>128</v>
      </c>
      <c r="T36" s="18" t="s">
        <v>122</v>
      </c>
      <c r="U36" s="175">
        <v>3.5</v>
      </c>
      <c r="V36" s="18"/>
    </row>
    <row r="37">
      <c r="B37" s="18">
        <f>IFERROR(__xludf.DUMMYFUNCTION("""COMPUTED_VALUE"""),0.0)</f>
        <v>0</v>
      </c>
      <c r="C37" s="18" t="str">
        <f>IFERROR(__xludf.DUMMYFUNCTION("""COMPUTED_VALUE"""),"Y")</f>
        <v>Y</v>
      </c>
      <c r="D37" s="18" t="str">
        <f>IFERROR(__xludf.DUMMYFUNCTION("""COMPUTED_VALUE"""),"Durus/Rohevan")</f>
        <v>Durus/Rohevan</v>
      </c>
      <c r="E37" s="18" t="str">
        <f>IFERROR(__xludf.DUMMYFUNCTION("""COMPUTED_VALUE"""),"1 crops")</f>
        <v>1 crops</v>
      </c>
      <c r="F37" s="18" t="str">
        <f>IFERROR(__xludf.DUMMYFUNCTION("""COMPUTED_VALUE"""),"1g")</f>
        <v>1g</v>
      </c>
      <c r="G37" s="175">
        <f>IFERROR(__xludf.DUMMYFUNCTION("""COMPUTED_VALUE"""),3.0)</f>
        <v>3</v>
      </c>
      <c r="H37" s="18"/>
      <c r="I37" s="18">
        <f>IFERROR(__xludf.DUMMYFUNCTION("""COMPUTED_VALUE"""),0.0)</f>
        <v>0</v>
      </c>
      <c r="J37" s="18" t="str">
        <f>IFERROR(__xludf.DUMMYFUNCTION("""COMPUTED_VALUE"""),"Y")</f>
        <v>Y</v>
      </c>
      <c r="K37" s="18" t="str">
        <f>IFERROR(__xludf.DUMMYFUNCTION("""COMPUTED_VALUE"""),"Durus/Rohevan")</f>
        <v>Durus/Rohevan</v>
      </c>
      <c r="L37" s="18" t="str">
        <f>IFERROR(__xludf.DUMMYFUNCTION("""COMPUTED_VALUE"""),"1g")</f>
        <v>1g</v>
      </c>
      <c r="M37" s="18" t="str">
        <f>IFERROR(__xludf.DUMMYFUNCTION("""COMPUTED_VALUE"""),"1 crops")</f>
        <v>1 crops</v>
      </c>
      <c r="N37" s="18">
        <f>IFERROR(__xludf.DUMMYFUNCTION("""COMPUTED_VALUE"""),1.0)</f>
        <v>1</v>
      </c>
      <c r="O37" s="18"/>
      <c r="P37" s="18"/>
      <c r="Q37" s="18"/>
      <c r="R37" s="18"/>
      <c r="S37" s="18"/>
      <c r="T37" s="18"/>
      <c r="U37" s="18"/>
      <c r="V37" s="18"/>
    </row>
    <row r="38">
      <c r="B38" s="18">
        <f>IFERROR(__xludf.DUMMYFUNCTION("""COMPUTED_VALUE"""),3.0)</f>
        <v>3</v>
      </c>
      <c r="C38" s="18" t="str">
        <f>IFERROR(__xludf.DUMMYFUNCTION("""COMPUTED_VALUE"""),"Y")</f>
        <v>Y</v>
      </c>
      <c r="D38" s="18" t="str">
        <f>IFERROR(__xludf.DUMMYFUNCTION("""COMPUTED_VALUE"""),"Galicia/Afenthar")</f>
        <v>Galicia/Afenthar</v>
      </c>
      <c r="E38" s="18" t="str">
        <f>IFERROR(__xludf.DUMMYFUNCTION("""COMPUTED_VALUE"""),"1 Crops")</f>
        <v>1 Crops</v>
      </c>
      <c r="F38" s="18" t="str">
        <f>IFERROR(__xludf.DUMMYFUNCTION("""COMPUTED_VALUE"""),"1 furs")</f>
        <v>1 furs</v>
      </c>
      <c r="G38" s="175">
        <f>IFERROR(__xludf.DUMMYFUNCTION("""COMPUTED_VALUE"""),5.5)</f>
        <v>5.5</v>
      </c>
      <c r="H38" s="18"/>
      <c r="I38" s="18">
        <f>IFERROR(__xludf.DUMMYFUNCTION("""COMPUTED_VALUE"""),3.0)</f>
        <v>3</v>
      </c>
      <c r="J38" s="18" t="str">
        <f>IFERROR(__xludf.DUMMYFUNCTION("""COMPUTED_VALUE"""),"Y")</f>
        <v>Y</v>
      </c>
      <c r="K38" s="18" t="str">
        <f>IFERROR(__xludf.DUMMYFUNCTION("""COMPUTED_VALUE"""),"Galicia/Afenthar")</f>
        <v>Galicia/Afenthar</v>
      </c>
      <c r="L38" s="18" t="str">
        <f>IFERROR(__xludf.DUMMYFUNCTION("""COMPUTED_VALUE"""),"1 furs")</f>
        <v>1 furs</v>
      </c>
      <c r="M38" s="18" t="str">
        <f>IFERROR(__xludf.DUMMYFUNCTION("""COMPUTED_VALUE"""),"1 Crops")</f>
        <v>1 Crops</v>
      </c>
      <c r="N38" s="18">
        <f>IFERROR(__xludf.DUMMYFUNCTION("""COMPUTED_VALUE"""),2.0)</f>
        <v>2</v>
      </c>
      <c r="O38" s="18"/>
      <c r="P38" s="18"/>
      <c r="Q38" s="18"/>
      <c r="R38" s="18"/>
      <c r="S38" s="18"/>
      <c r="T38" s="18"/>
      <c r="U38" s="18"/>
      <c r="V38" s="18"/>
    </row>
    <row r="39">
      <c r="B39" s="18">
        <f>IFERROR(__xludf.DUMMYFUNCTION("""COMPUTED_VALUE"""),1.0)</f>
        <v>1</v>
      </c>
      <c r="C39" s="18" t="str">
        <f>IFERROR(__xludf.DUMMYFUNCTION("""COMPUTED_VALUE"""),"Y")</f>
        <v>Y</v>
      </c>
      <c r="D39" s="18" t="str">
        <f>IFERROR(__xludf.DUMMYFUNCTION("""COMPUTED_VALUE"""),"Galicia/Ti'Vashni")</f>
        <v>Galicia/Ti'Vashni</v>
      </c>
      <c r="E39" s="18" t="str">
        <f>IFERROR(__xludf.DUMMYFUNCTION("""COMPUTED_VALUE"""),"1g")</f>
        <v>1g</v>
      </c>
      <c r="F39" s="18" t="str">
        <f>IFERROR(__xludf.DUMMYFUNCTION("""COMPUTED_VALUE"""),"1 hardwood")</f>
        <v>1 hardwood</v>
      </c>
      <c r="G39" s="175">
        <f>IFERROR(__xludf.DUMMYFUNCTION("""COMPUTED_VALUE"""),1.625)</f>
        <v>1.625</v>
      </c>
      <c r="H39" s="18" t="str">
        <f>IFERROR(__xludf.DUMMYFUNCTION("""COMPUTED_VALUE"""),"Defended, damaged 9/12")</f>
        <v>Defended, damaged 9/12</v>
      </c>
      <c r="I39" s="18">
        <f>IFERROR(__xludf.DUMMYFUNCTION("""COMPUTED_VALUE"""),1.0)</f>
        <v>1</v>
      </c>
      <c r="J39" s="18" t="str">
        <f>IFERROR(__xludf.DUMMYFUNCTION("""COMPUTED_VALUE"""),"Y")</f>
        <v>Y</v>
      </c>
      <c r="K39" s="18" t="str">
        <f>IFERROR(__xludf.DUMMYFUNCTION("""COMPUTED_VALUE"""),"Galicia/Ti'Vashni")</f>
        <v>Galicia/Ti'Vashni</v>
      </c>
      <c r="L39" s="18" t="str">
        <f>IFERROR(__xludf.DUMMYFUNCTION("""COMPUTED_VALUE"""),"1 hardwood")</f>
        <v>1 hardwood</v>
      </c>
      <c r="M39" s="18" t="str">
        <f>IFERROR(__xludf.DUMMYFUNCTION("""COMPUTED_VALUE"""),"1g")</f>
        <v>1g</v>
      </c>
      <c r="N39" s="18">
        <f>IFERROR(__xludf.DUMMYFUNCTION("""COMPUTED_VALUE"""),3.0)</f>
        <v>3</v>
      </c>
      <c r="O39" s="18" t="str">
        <f>IFERROR(__xludf.DUMMYFUNCTION("""COMPUTED_VALUE"""),"Defended, damaged 9/12")</f>
        <v>Defended, damaged 9/12</v>
      </c>
      <c r="P39" s="18"/>
      <c r="Q39" s="18"/>
      <c r="R39" s="18"/>
      <c r="S39" s="18"/>
      <c r="T39" s="18"/>
      <c r="U39" s="18"/>
      <c r="V39" s="18"/>
    </row>
    <row r="40">
      <c r="B40" s="176">
        <f>IFERROR(__xludf.DUMMYFUNCTION("""COMPUTED_VALUE"""),31.0)</f>
        <v>31</v>
      </c>
      <c r="C40" s="18" t="str">
        <f>IFERROR(__xludf.DUMMYFUNCTION("""COMPUTED_VALUE"""),"N")</f>
        <v>N</v>
      </c>
      <c r="D40" s="18" t="str">
        <f>IFERROR(__xludf.DUMMYFUNCTION("""COMPUTED_VALUE"""),"Galicia/Ka'tari")</f>
        <v>Galicia/Ka'tari</v>
      </c>
      <c r="E40" s="18" t="str">
        <f>IFERROR(__xludf.DUMMYFUNCTION("""COMPUTED_VALUE"""),"1 Pearl")</f>
        <v>1 Pearl</v>
      </c>
      <c r="F40" s="18" t="str">
        <f>IFERROR(__xludf.DUMMYFUNCTION("""COMPUTED_VALUE"""),"1 Sugar")</f>
        <v>1 Sugar</v>
      </c>
      <c r="G40" s="175">
        <f>IFERROR(__xludf.DUMMYFUNCTION("""COMPUTED_VALUE"""),2.5)</f>
        <v>2.5</v>
      </c>
      <c r="H40" s="18"/>
      <c r="I40" s="18">
        <f>IFERROR(__xludf.DUMMYFUNCTION("""COMPUTED_VALUE"""),31.0)</f>
        <v>31</v>
      </c>
      <c r="J40" s="18" t="str">
        <f>IFERROR(__xludf.DUMMYFUNCTION("""COMPUTED_VALUE"""),"N")</f>
        <v>N</v>
      </c>
      <c r="K40" s="18" t="str">
        <f>IFERROR(__xludf.DUMMYFUNCTION("""COMPUTED_VALUE"""),"Galicia/Ka'tari")</f>
        <v>Galicia/Ka'tari</v>
      </c>
      <c r="L40" s="18" t="str">
        <f>IFERROR(__xludf.DUMMYFUNCTION("""COMPUTED_VALUE"""),"1 Sugar")</f>
        <v>1 Sugar</v>
      </c>
      <c r="M40" s="18" t="str">
        <f>IFERROR(__xludf.DUMMYFUNCTION("""COMPUTED_VALUE"""),"1 Pearl")</f>
        <v>1 Pearl</v>
      </c>
      <c r="N40" s="18">
        <f>IFERROR(__xludf.DUMMYFUNCTION("""COMPUTED_VALUE"""),1.0)</f>
        <v>1</v>
      </c>
      <c r="O40" s="18"/>
      <c r="P40" s="18"/>
      <c r="Q40" s="18"/>
      <c r="R40" s="18"/>
      <c r="S40" s="18"/>
      <c r="T40" s="18"/>
      <c r="U40" s="18"/>
      <c r="V40" s="18"/>
    </row>
    <row r="41">
      <c r="B41" s="18">
        <f>IFERROR(__xludf.DUMMYFUNCTION("""COMPUTED_VALUE"""),26.0)</f>
        <v>26</v>
      </c>
      <c r="C41" s="18" t="str">
        <f>IFERROR(__xludf.DUMMYFUNCTION("""COMPUTED_VALUE"""),"Y")</f>
        <v>Y</v>
      </c>
      <c r="D41" s="18" t="str">
        <f>IFERROR(__xludf.DUMMYFUNCTION("""COMPUTED_VALUE"""),"Galicia/HPE")</f>
        <v>Galicia/HPE</v>
      </c>
      <c r="E41" s="18" t="str">
        <f>IFERROR(__xludf.DUMMYFUNCTION("""COMPUTED_VALUE"""),"1 Whipwood 1 glass")</f>
        <v>1 Whipwood 1 glass</v>
      </c>
      <c r="F41" s="18" t="str">
        <f>IFERROR(__xludf.DUMMYFUNCTION("""COMPUTED_VALUE"""),"1 Lead, 1 copper, 1 iron")</f>
        <v>1 Lead, 1 copper, 1 iron</v>
      </c>
      <c r="G41" s="175">
        <f>IFERROR(__xludf.DUMMYFUNCTION("""COMPUTED_VALUE"""),3.5)</f>
        <v>3.5</v>
      </c>
      <c r="H41" s="18"/>
      <c r="I41" s="18">
        <f>IFERROR(__xludf.DUMMYFUNCTION("""COMPUTED_VALUE"""),26.0)</f>
        <v>26</v>
      </c>
      <c r="J41" s="18" t="str">
        <f>IFERROR(__xludf.DUMMYFUNCTION("""COMPUTED_VALUE"""),"Y")</f>
        <v>Y</v>
      </c>
      <c r="K41" s="18" t="str">
        <f>IFERROR(__xludf.DUMMYFUNCTION("""COMPUTED_VALUE"""),"Galicia/HPE")</f>
        <v>Galicia/HPE</v>
      </c>
      <c r="L41" s="18" t="str">
        <f>IFERROR(__xludf.DUMMYFUNCTION("""COMPUTED_VALUE"""),"1 Lead, 1 copper, 1 iron")</f>
        <v>1 Lead, 1 copper, 1 iron</v>
      </c>
      <c r="M41" s="18" t="str">
        <f>IFERROR(__xludf.DUMMYFUNCTION("""COMPUTED_VALUE"""),"1 Whipwood 1 glass")</f>
        <v>1 Whipwood 1 glass</v>
      </c>
      <c r="N41" s="18">
        <f>IFERROR(__xludf.DUMMYFUNCTION("""COMPUTED_VALUE"""),2.0)</f>
        <v>2</v>
      </c>
      <c r="O41" s="18"/>
      <c r="P41" s="18"/>
      <c r="Q41" s="18"/>
      <c r="R41" s="18"/>
      <c r="S41" s="18"/>
      <c r="T41" s="18"/>
      <c r="U41" s="18"/>
      <c r="V41" s="18"/>
    </row>
    <row r="42">
      <c r="B42" s="18">
        <f>IFERROR(__xludf.DUMMYFUNCTION("""COMPUTED_VALUE"""),28.0)</f>
        <v>28</v>
      </c>
      <c r="C42" s="18" t="str">
        <f>IFERROR(__xludf.DUMMYFUNCTION("""COMPUTED_VALUE"""),"Y")</f>
        <v>Y</v>
      </c>
      <c r="D42" s="18" t="str">
        <f>IFERROR(__xludf.DUMMYFUNCTION("""COMPUTED_VALUE"""),"Gnomergnan/Galicia")</f>
        <v>Gnomergnan/Galicia</v>
      </c>
      <c r="E42" s="18" t="str">
        <f>IFERROR(__xludf.DUMMYFUNCTION("""COMPUTED_VALUE"""),"1 medicine")</f>
        <v>1 medicine</v>
      </c>
      <c r="F42" s="18" t="str">
        <f>IFERROR(__xludf.DUMMYFUNCTION("""COMPUTED_VALUE"""),"Linite")</f>
        <v>Linite</v>
      </c>
      <c r="G42" s="175">
        <f>IFERROR(__xludf.DUMMYFUNCTION("""COMPUTED_VALUE"""),3.0)</f>
        <v>3</v>
      </c>
      <c r="H42" s="18" t="str">
        <f>IFERROR(__xludf.DUMMYFUNCTION("""COMPUTED_VALUE"""),"Defended")</f>
        <v>Defended</v>
      </c>
      <c r="I42" s="18">
        <f>IFERROR(__xludf.DUMMYFUNCTION("""COMPUTED_VALUE"""),28.0)</f>
        <v>28</v>
      </c>
      <c r="J42" s="18" t="str">
        <f>IFERROR(__xludf.DUMMYFUNCTION("""COMPUTED_VALUE"""),"Y")</f>
        <v>Y</v>
      </c>
      <c r="K42" s="18" t="str">
        <f>IFERROR(__xludf.DUMMYFUNCTION("""COMPUTED_VALUE"""),"Gnomergnan/Galicia")</f>
        <v>Gnomergnan/Galicia</v>
      </c>
      <c r="L42" s="18" t="str">
        <f>IFERROR(__xludf.DUMMYFUNCTION("""COMPUTED_VALUE"""),"Linite")</f>
        <v>Linite</v>
      </c>
      <c r="M42" s="18" t="str">
        <f>IFERROR(__xludf.DUMMYFUNCTION("""COMPUTED_VALUE"""),"1 medicine")</f>
        <v>1 medicine</v>
      </c>
      <c r="N42" s="18">
        <f>IFERROR(__xludf.DUMMYFUNCTION("""COMPUTED_VALUE"""),2.0)</f>
        <v>2</v>
      </c>
      <c r="O42" s="18" t="str">
        <f>IFERROR(__xludf.DUMMYFUNCTION("""COMPUTED_VALUE"""),"Defended")</f>
        <v>Defended</v>
      </c>
      <c r="P42" s="18"/>
      <c r="Q42" s="18"/>
      <c r="R42" s="18"/>
      <c r="S42" s="18"/>
      <c r="T42" s="18"/>
      <c r="U42" s="18"/>
      <c r="V42" s="18"/>
    </row>
    <row r="43">
      <c r="B43" s="18">
        <f>IFERROR(__xludf.DUMMYFUNCTION("""COMPUTED_VALUE"""),9.0)</f>
        <v>9</v>
      </c>
      <c r="C43" s="18" t="str">
        <f>IFERROR(__xludf.DUMMYFUNCTION("""COMPUTED_VALUE"""),"Y")</f>
        <v>Y</v>
      </c>
      <c r="D43" s="18" t="str">
        <f>IFERROR(__xludf.DUMMYFUNCTION("""COMPUTED_VALUE"""),"Gnomergnan/Karstak")</f>
        <v>Gnomergnan/Karstak</v>
      </c>
      <c r="E43" s="18" t="str">
        <f>IFERROR(__xludf.DUMMYFUNCTION("""COMPUTED_VALUE"""),"1 crops")</f>
        <v>1 crops</v>
      </c>
      <c r="F43" s="18" t="str">
        <f>IFERROR(__xludf.DUMMYFUNCTION("""COMPUTED_VALUE"""),"1 Marble")</f>
        <v>1 Marble</v>
      </c>
      <c r="G43" s="175">
        <f>IFERROR(__xludf.DUMMYFUNCTION("""COMPUTED_VALUE"""),2.0)</f>
        <v>2</v>
      </c>
      <c r="H43" s="18" t="str">
        <f>IFERROR(__xludf.DUMMYFUNCTION("""COMPUTED_VALUE"""),"Defended")</f>
        <v>Defended</v>
      </c>
      <c r="I43" s="18">
        <f>IFERROR(__xludf.DUMMYFUNCTION("""COMPUTED_VALUE"""),9.0)</f>
        <v>9</v>
      </c>
      <c r="J43" s="18" t="str">
        <f>IFERROR(__xludf.DUMMYFUNCTION("""COMPUTED_VALUE"""),"Y")</f>
        <v>Y</v>
      </c>
      <c r="K43" s="18" t="str">
        <f>IFERROR(__xludf.DUMMYFUNCTION("""COMPUTED_VALUE"""),"Gnomergnan/Karstak")</f>
        <v>Gnomergnan/Karstak</v>
      </c>
      <c r="L43" s="18" t="str">
        <f>IFERROR(__xludf.DUMMYFUNCTION("""COMPUTED_VALUE"""),"1 Marble")</f>
        <v>1 Marble</v>
      </c>
      <c r="M43" s="18" t="str">
        <f>IFERROR(__xludf.DUMMYFUNCTION("""COMPUTED_VALUE"""),"1 crops")</f>
        <v>1 crops</v>
      </c>
      <c r="N43" s="18">
        <f>IFERROR(__xludf.DUMMYFUNCTION("""COMPUTED_VALUE"""),2.0)</f>
        <v>2</v>
      </c>
      <c r="O43" s="18" t="str">
        <f>IFERROR(__xludf.DUMMYFUNCTION("""COMPUTED_VALUE"""),"Defended")</f>
        <v>Defended</v>
      </c>
      <c r="P43" s="18"/>
      <c r="Q43" s="18"/>
      <c r="R43" s="18"/>
      <c r="S43" s="18"/>
      <c r="T43" s="18"/>
      <c r="U43" s="18"/>
      <c r="V43" s="18"/>
    </row>
    <row r="44">
      <c r="B44" s="18">
        <f>IFERROR(__xludf.DUMMYFUNCTION("""COMPUTED_VALUE"""),6.0)</f>
        <v>6</v>
      </c>
      <c r="C44" s="18" t="str">
        <f>IFERROR(__xludf.DUMMYFUNCTION("""COMPUTED_VALUE"""),"Y")</f>
        <v>Y</v>
      </c>
      <c r="D44" s="18" t="str">
        <f>IFERROR(__xludf.DUMMYFUNCTION("""COMPUTED_VALUE"""),"Gnomergnan/Kenhall")</f>
        <v>Gnomergnan/Kenhall</v>
      </c>
      <c r="E44" s="18" t="str">
        <f>IFERROR(__xludf.DUMMYFUNCTION("""COMPUTED_VALUE"""),"1 Silver")</f>
        <v>1 Silver</v>
      </c>
      <c r="F44" s="18" t="str">
        <f>IFERROR(__xludf.DUMMYFUNCTION("""COMPUTED_VALUE"""),"1 Direcrops")</f>
        <v>1 Direcrops</v>
      </c>
      <c r="G44" s="175">
        <f>IFERROR(__xludf.DUMMYFUNCTION("""COMPUTED_VALUE"""),2.0)</f>
        <v>2</v>
      </c>
      <c r="H44" s="18" t="str">
        <f>IFERROR(__xludf.DUMMYFUNCTION("""COMPUTED_VALUE"""),"Defended")</f>
        <v>Defended</v>
      </c>
      <c r="I44" s="18">
        <f>IFERROR(__xludf.DUMMYFUNCTION("""COMPUTED_VALUE"""),6.0)</f>
        <v>6</v>
      </c>
      <c r="J44" s="18" t="str">
        <f>IFERROR(__xludf.DUMMYFUNCTION("""COMPUTED_VALUE"""),"Y")</f>
        <v>Y</v>
      </c>
      <c r="K44" s="18" t="str">
        <f>IFERROR(__xludf.DUMMYFUNCTION("""COMPUTED_VALUE"""),"Gnomergnan/Kenhall")</f>
        <v>Gnomergnan/Kenhall</v>
      </c>
      <c r="L44" s="18" t="str">
        <f>IFERROR(__xludf.DUMMYFUNCTION("""COMPUTED_VALUE"""),"1 Direcrops")</f>
        <v>1 Direcrops</v>
      </c>
      <c r="M44" s="18" t="str">
        <f>IFERROR(__xludf.DUMMYFUNCTION("""COMPUTED_VALUE"""),"1 Silver")</f>
        <v>1 Silver</v>
      </c>
      <c r="N44" s="18">
        <f>IFERROR(__xludf.DUMMYFUNCTION("""COMPUTED_VALUE"""),2.0)</f>
        <v>2</v>
      </c>
      <c r="O44" s="18" t="str">
        <f>IFERROR(__xludf.DUMMYFUNCTION("""COMPUTED_VALUE"""),"Defended")</f>
        <v>Defended</v>
      </c>
      <c r="P44" s="18"/>
      <c r="Q44" s="18"/>
      <c r="R44" s="18"/>
      <c r="S44" s="18"/>
      <c r="T44" s="18"/>
      <c r="U44" s="18"/>
      <c r="V44" s="18"/>
    </row>
    <row r="45">
      <c r="B45" s="18">
        <f>IFERROR(__xludf.DUMMYFUNCTION("""COMPUTED_VALUE"""),29.0)</f>
        <v>29</v>
      </c>
      <c r="C45" s="18" t="str">
        <f>IFERROR(__xludf.DUMMYFUNCTION("""COMPUTED_VALUE"""),"Y")</f>
        <v>Y</v>
      </c>
      <c r="D45" s="18" t="str">
        <f>IFERROR(__xludf.DUMMYFUNCTION("""COMPUTED_VALUE"""),"HPE/Gnomergnan")</f>
        <v>HPE/Gnomergnan</v>
      </c>
      <c r="E45" s="18" t="str">
        <f>IFERROR(__xludf.DUMMYFUNCTION("""COMPUTED_VALUE"""),"1 seafood")</f>
        <v>1 seafood</v>
      </c>
      <c r="F45" s="18" t="str">
        <f>IFERROR(__xludf.DUMMYFUNCTION("""COMPUTED_VALUE"""),"1 crops")</f>
        <v>1 crops</v>
      </c>
      <c r="G45" s="175">
        <f>IFERROR(__xludf.DUMMYFUNCTION("""COMPUTED_VALUE"""),2.8421052631578947)</f>
        <v>2.842105263</v>
      </c>
      <c r="H45" s="18"/>
      <c r="I45" s="18">
        <f>IFERROR(__xludf.DUMMYFUNCTION("""COMPUTED_VALUE"""),29.0)</f>
        <v>29</v>
      </c>
      <c r="J45" s="18" t="str">
        <f>IFERROR(__xludf.DUMMYFUNCTION("""COMPUTED_VALUE"""),"Y")</f>
        <v>Y</v>
      </c>
      <c r="K45" s="18" t="str">
        <f>IFERROR(__xludf.DUMMYFUNCTION("""COMPUTED_VALUE"""),"HPE/Gnomergnan")</f>
        <v>HPE/Gnomergnan</v>
      </c>
      <c r="L45" s="18" t="str">
        <f>IFERROR(__xludf.DUMMYFUNCTION("""COMPUTED_VALUE"""),"1 crops")</f>
        <v>1 crops</v>
      </c>
      <c r="M45" s="18" t="str">
        <f>IFERROR(__xludf.DUMMYFUNCTION("""COMPUTED_VALUE"""),"1 seafood")</f>
        <v>1 seafood</v>
      </c>
      <c r="N45" s="18">
        <f>IFERROR(__xludf.DUMMYFUNCTION("""COMPUTED_VALUE"""),1.0)</f>
        <v>1</v>
      </c>
      <c r="O45" s="18"/>
      <c r="P45" s="18"/>
      <c r="Q45" s="18"/>
      <c r="R45" s="18"/>
      <c r="S45" s="18"/>
      <c r="T45" s="18"/>
      <c r="U45" s="18"/>
      <c r="V45" s="18"/>
    </row>
    <row r="46">
      <c r="B46" s="18">
        <f>IFERROR(__xludf.DUMMYFUNCTION("""COMPUTED_VALUE"""),10.0)</f>
        <v>10</v>
      </c>
      <c r="C46" s="18" t="str">
        <f>IFERROR(__xludf.DUMMYFUNCTION("""COMPUTED_VALUE"""),"Y")</f>
        <v>Y</v>
      </c>
      <c r="D46" s="18" t="str">
        <f>IFERROR(__xludf.DUMMYFUNCTION("""COMPUTED_VALUE"""),"HPE/Emridar")</f>
        <v>HPE/Emridar</v>
      </c>
      <c r="E46" s="18" t="str">
        <f>IFERROR(__xludf.DUMMYFUNCTION("""COMPUTED_VALUE"""),"1 Ironwood")</f>
        <v>1 Ironwood</v>
      </c>
      <c r="F46" s="18" t="str">
        <f>IFERROR(__xludf.DUMMYFUNCTION("""COMPUTED_VALUE"""),"1 Crops, 1 Whipwood")</f>
        <v>1 Crops, 1 Whipwood</v>
      </c>
      <c r="G46" s="175">
        <f>IFERROR(__xludf.DUMMYFUNCTION("""COMPUTED_VALUE"""),3.0)</f>
        <v>3</v>
      </c>
      <c r="H46" s="18"/>
      <c r="I46" s="18">
        <f>IFERROR(__xludf.DUMMYFUNCTION("""COMPUTED_VALUE"""),10.0)</f>
        <v>10</v>
      </c>
      <c r="J46" s="18" t="str">
        <f>IFERROR(__xludf.DUMMYFUNCTION("""COMPUTED_VALUE"""),"Y")</f>
        <v>Y</v>
      </c>
      <c r="K46" s="18" t="str">
        <f>IFERROR(__xludf.DUMMYFUNCTION("""COMPUTED_VALUE"""),"HPE/Emridar")</f>
        <v>HPE/Emridar</v>
      </c>
      <c r="L46" s="18" t="str">
        <f>IFERROR(__xludf.DUMMYFUNCTION("""COMPUTED_VALUE"""),"1 Crops, 1 Whipwood")</f>
        <v>1 Crops, 1 Whipwood</v>
      </c>
      <c r="M46" s="18" t="str">
        <f>IFERROR(__xludf.DUMMYFUNCTION("""COMPUTED_VALUE"""),"1 Ironwood")</f>
        <v>1 Ironwood</v>
      </c>
      <c r="N46" s="18">
        <f>IFERROR(__xludf.DUMMYFUNCTION("""COMPUTED_VALUE"""),2.0)</f>
        <v>2</v>
      </c>
      <c r="O46" s="18"/>
      <c r="P46" s="18">
        <v>0.0</v>
      </c>
      <c r="Q46" s="18" t="s">
        <v>110</v>
      </c>
      <c r="R46" s="18" t="s">
        <v>129</v>
      </c>
      <c r="S46" s="18" t="s">
        <v>116</v>
      </c>
      <c r="T46" s="18" t="s">
        <v>130</v>
      </c>
      <c r="U46" s="18">
        <v>0.0</v>
      </c>
      <c r="V46" s="18"/>
    </row>
    <row r="47">
      <c r="B47" s="18">
        <f>IFERROR(__xludf.DUMMYFUNCTION("""COMPUTED_VALUE"""),32.0)</f>
        <v>32</v>
      </c>
      <c r="C47" s="18" t="str">
        <f>IFERROR(__xludf.DUMMYFUNCTION("""COMPUTED_VALUE"""),"N")</f>
        <v>N</v>
      </c>
      <c r="D47" s="18" t="str">
        <f>IFERROR(__xludf.DUMMYFUNCTION("""COMPUTED_VALUE"""),"HPE/Aelthar")</f>
        <v>HPE/Aelthar</v>
      </c>
      <c r="E47" s="18" t="str">
        <f>IFERROR(__xludf.DUMMYFUNCTION("""COMPUTED_VALUE"""),"1 Crops, 1 Seafood -&gt; 2 Food, 2 Whipwood")</f>
        <v>1 Crops, 1 Seafood -&gt; 2 Food, 2 Whipwood</v>
      </c>
      <c r="F47" s="18" t="str">
        <f>IFERROR(__xludf.DUMMYFUNCTION("""COMPUTED_VALUE"""),"1 Silver - &gt; 1 Silver, 1 Medicine")</f>
        <v>1 Silver - &gt; 1 Silver, 1 Medicine</v>
      </c>
      <c r="G47" s="175">
        <f>IFERROR(__xludf.DUMMYFUNCTION("""COMPUTED_VALUE"""),2.5)</f>
        <v>2.5</v>
      </c>
      <c r="H47" s="18"/>
      <c r="I47" s="18">
        <f>IFERROR(__xludf.DUMMYFUNCTION("""COMPUTED_VALUE"""),32.0)</f>
        <v>32</v>
      </c>
      <c r="J47" s="18" t="str">
        <f>IFERROR(__xludf.DUMMYFUNCTION("""COMPUTED_VALUE"""),"Y")</f>
        <v>Y</v>
      </c>
      <c r="K47" s="18" t="str">
        <f>IFERROR(__xludf.DUMMYFUNCTION("""COMPUTED_VALUE"""),"HPE/Aelthar")</f>
        <v>HPE/Aelthar</v>
      </c>
      <c r="L47" s="18" t="str">
        <f>IFERROR(__xludf.DUMMYFUNCTION("""COMPUTED_VALUE"""),"1 Silver - &gt; 1 Silver, 1 Medicine")</f>
        <v>1 Silver - &gt; 1 Silver, 1 Medicine</v>
      </c>
      <c r="M47" s="18" t="str">
        <f>IFERROR(__xludf.DUMMYFUNCTION("""COMPUTED_VALUE"""),"1 Crops, 1 Seafood -&gt; 2 Food, 2 Whipwood")</f>
        <v>1 Crops, 1 Seafood -&gt; 2 Food, 2 Whipwood</v>
      </c>
      <c r="N47" s="18">
        <f>IFERROR(__xludf.DUMMYFUNCTION("""COMPUTED_VALUE"""),1.0)</f>
        <v>1</v>
      </c>
      <c r="O47" s="18"/>
      <c r="P47" s="18">
        <v>9.0</v>
      </c>
      <c r="Q47" s="18" t="s">
        <v>110</v>
      </c>
      <c r="R47" s="18" t="s">
        <v>131</v>
      </c>
      <c r="S47" s="18" t="s">
        <v>132</v>
      </c>
      <c r="T47" s="18" t="s">
        <v>133</v>
      </c>
      <c r="U47" s="18">
        <v>1.0</v>
      </c>
      <c r="V47" s="18"/>
    </row>
    <row r="48">
      <c r="B48" s="18">
        <f>IFERROR(__xludf.DUMMYFUNCTION("""COMPUTED_VALUE"""),16.0)</f>
        <v>16</v>
      </c>
      <c r="C48" s="18" t="str">
        <f>IFERROR(__xludf.DUMMYFUNCTION("""COMPUTED_VALUE"""),"Y")</f>
        <v>Y</v>
      </c>
      <c r="D48" s="18" t="str">
        <f>IFERROR(__xludf.DUMMYFUNCTION("""COMPUTED_VALUE"""),"HPE/Primean Papal States")</f>
        <v>HPE/Primean Papal States</v>
      </c>
      <c r="E48" s="18" t="str">
        <f>IFERROR(__xludf.DUMMYFUNCTION("""COMPUTED_VALUE"""),"1 Starwood")</f>
        <v>1 Starwood</v>
      </c>
      <c r="F48" s="18" t="str">
        <f>IFERROR(__xludf.DUMMYFUNCTION("""COMPUTED_VALUE"""),"1 Porcelain")</f>
        <v>1 Porcelain</v>
      </c>
      <c r="G48" s="175">
        <f>IFERROR(__xludf.DUMMYFUNCTION("""COMPUTED_VALUE"""),5.5)</f>
        <v>5.5</v>
      </c>
      <c r="H48" s="18"/>
      <c r="I48" s="18">
        <f>IFERROR(__xludf.DUMMYFUNCTION("""COMPUTED_VALUE"""),16.0)</f>
        <v>16</v>
      </c>
      <c r="J48" s="18" t="str">
        <f>IFERROR(__xludf.DUMMYFUNCTION("""COMPUTED_VALUE"""),"Y")</f>
        <v>Y</v>
      </c>
      <c r="K48" s="18" t="str">
        <f>IFERROR(__xludf.DUMMYFUNCTION("""COMPUTED_VALUE"""),"HPE/Primean Papal States")</f>
        <v>HPE/Primean Papal States</v>
      </c>
      <c r="L48" s="18" t="str">
        <f>IFERROR(__xludf.DUMMYFUNCTION("""COMPUTED_VALUE"""),"1 Porcelain")</f>
        <v>1 Porcelain</v>
      </c>
      <c r="M48" s="18" t="str">
        <f>IFERROR(__xludf.DUMMYFUNCTION("""COMPUTED_VALUE"""),"1 Starwood")</f>
        <v>1 Starwood</v>
      </c>
      <c r="N48" s="18">
        <f>IFERROR(__xludf.DUMMYFUNCTION("""COMPUTED_VALUE"""),2.0)</f>
        <v>2</v>
      </c>
      <c r="O48" s="18"/>
      <c r="P48" s="18">
        <v>21.0</v>
      </c>
      <c r="Q48" s="18" t="s">
        <v>110</v>
      </c>
      <c r="R48" s="18" t="s">
        <v>134</v>
      </c>
      <c r="S48" s="18" t="s">
        <v>135</v>
      </c>
      <c r="T48" s="18" t="s">
        <v>136</v>
      </c>
      <c r="U48" s="18">
        <v>2.0</v>
      </c>
      <c r="V48" s="18"/>
    </row>
    <row r="49">
      <c r="B49" s="18">
        <f>IFERROR(__xludf.DUMMYFUNCTION("""COMPUTED_VALUE"""),13.0)</f>
        <v>13</v>
      </c>
      <c r="C49" s="18" t="str">
        <f>IFERROR(__xludf.DUMMYFUNCTION("""COMPUTED_VALUE"""),"Y")</f>
        <v>Y</v>
      </c>
      <c r="D49" s="18" t="str">
        <f>IFERROR(__xludf.DUMMYFUNCTION("""COMPUTED_VALUE"""),"HPE/Shai")</f>
        <v>HPE/Shai</v>
      </c>
      <c r="E49" s="18" t="str">
        <f>IFERROR(__xludf.DUMMYFUNCTION("""COMPUTED_VALUE"""),"1 Marble")</f>
        <v>1 Marble</v>
      </c>
      <c r="F49" s="18" t="str">
        <f>IFERROR(__xludf.DUMMYFUNCTION("""COMPUTED_VALUE"""),"1 Fruits")</f>
        <v>1 Fruits</v>
      </c>
      <c r="G49" s="175">
        <f>IFERROR(__xludf.DUMMYFUNCTION("""COMPUTED_VALUE"""),2.0)</f>
        <v>2</v>
      </c>
      <c r="H49" s="18"/>
      <c r="I49" s="18">
        <f>IFERROR(__xludf.DUMMYFUNCTION("""COMPUTED_VALUE"""),13.0)</f>
        <v>13</v>
      </c>
      <c r="J49" s="18" t="str">
        <f>IFERROR(__xludf.DUMMYFUNCTION("""COMPUTED_VALUE"""),"Y")</f>
        <v>Y</v>
      </c>
      <c r="K49" s="18" t="str">
        <f>IFERROR(__xludf.DUMMYFUNCTION("""COMPUTED_VALUE"""),"HPE/Shai")</f>
        <v>HPE/Shai</v>
      </c>
      <c r="L49" s="18" t="str">
        <f>IFERROR(__xludf.DUMMYFUNCTION("""COMPUTED_VALUE"""),"1 Fruits")</f>
        <v>1 Fruits</v>
      </c>
      <c r="M49" s="18" t="str">
        <f>IFERROR(__xludf.DUMMYFUNCTION("""COMPUTED_VALUE"""),"1 Marble")</f>
        <v>1 Marble</v>
      </c>
      <c r="N49" s="18">
        <f>IFERROR(__xludf.DUMMYFUNCTION("""COMPUTED_VALUE"""),2.0)</f>
        <v>2</v>
      </c>
      <c r="O49" s="18"/>
      <c r="P49" s="18"/>
      <c r="Q49" s="18"/>
      <c r="R49" s="18"/>
      <c r="S49" s="18"/>
      <c r="T49" s="18"/>
      <c r="U49" s="18"/>
      <c r="V49" s="18"/>
    </row>
    <row r="50">
      <c r="B50" s="18">
        <f>IFERROR(__xludf.DUMMYFUNCTION("""COMPUTED_VALUE"""),13.0)</f>
        <v>13</v>
      </c>
      <c r="C50" s="18" t="str">
        <f>IFERROR(__xludf.DUMMYFUNCTION("""COMPUTED_VALUE"""),"Y")</f>
        <v>Y</v>
      </c>
      <c r="D50" s="18" t="str">
        <f>IFERROR(__xludf.DUMMYFUNCTION("""COMPUTED_VALUE"""),"HPE/Therendrim")</f>
        <v>HPE/Therendrim</v>
      </c>
      <c r="E50" s="18" t="str">
        <f>IFERROR(__xludf.DUMMYFUNCTION("""COMPUTED_VALUE"""),"1 Copper, 1 Whipwood")</f>
        <v>1 Copper, 1 Whipwood</v>
      </c>
      <c r="F50" s="18" t="str">
        <f>IFERROR(__xludf.DUMMYFUNCTION("""COMPUTED_VALUE"""),"1 Fruits, 1 Livestock")</f>
        <v>1 Fruits, 1 Livestock</v>
      </c>
      <c r="G50" s="175">
        <f>IFERROR(__xludf.DUMMYFUNCTION("""COMPUTED_VALUE"""),3.0)</f>
        <v>3</v>
      </c>
      <c r="H50" s="18"/>
      <c r="I50" s="18">
        <f>IFERROR(__xludf.DUMMYFUNCTION("""COMPUTED_VALUE"""),13.0)</f>
        <v>13</v>
      </c>
      <c r="J50" s="18" t="str">
        <f>IFERROR(__xludf.DUMMYFUNCTION("""COMPUTED_VALUE"""),"Y")</f>
        <v>Y</v>
      </c>
      <c r="K50" s="18" t="str">
        <f>IFERROR(__xludf.DUMMYFUNCTION("""COMPUTED_VALUE"""),"HPE/Therendrim")</f>
        <v>HPE/Therendrim</v>
      </c>
      <c r="L50" s="18" t="str">
        <f>IFERROR(__xludf.DUMMYFUNCTION("""COMPUTED_VALUE"""),"1 Fruits, 1 Livestock")</f>
        <v>1 Fruits, 1 Livestock</v>
      </c>
      <c r="M50" s="18" t="str">
        <f>IFERROR(__xludf.DUMMYFUNCTION("""COMPUTED_VALUE"""),"1 Copper, 1 Whipwood")</f>
        <v>1 Copper, 1 Whipwood</v>
      </c>
      <c r="N50" s="18">
        <f>IFERROR(__xludf.DUMMYFUNCTION("""COMPUTED_VALUE"""),2.0)</f>
        <v>2</v>
      </c>
      <c r="O50" s="18"/>
      <c r="P50" s="18"/>
      <c r="Q50" s="18"/>
      <c r="R50" s="18"/>
      <c r="S50" s="18"/>
      <c r="T50" s="18"/>
      <c r="U50" s="18"/>
      <c r="V50" s="18"/>
    </row>
    <row r="51">
      <c r="B51" s="18">
        <f>IFERROR(__xludf.DUMMYFUNCTION("""COMPUTED_VALUE"""),16.0)</f>
        <v>16</v>
      </c>
      <c r="C51" s="18" t="str">
        <f>IFERROR(__xludf.DUMMYFUNCTION("""COMPUTED_VALUE"""),"Y")</f>
        <v>Y</v>
      </c>
      <c r="D51" s="18" t="str">
        <f>IFERROR(__xludf.DUMMYFUNCTION("""COMPUTED_VALUE"""),"HPE/Karstak")</f>
        <v>HPE/Karstak</v>
      </c>
      <c r="E51" s="18" t="str">
        <f>IFERROR(__xludf.DUMMYFUNCTION("""COMPUTED_VALUE"""),"1 Crops")</f>
        <v>1 Crops</v>
      </c>
      <c r="F51" s="18" t="str">
        <f>IFERROR(__xludf.DUMMYFUNCTION("""COMPUTED_VALUE"""),"1 Seafood")</f>
        <v>1 Seafood</v>
      </c>
      <c r="G51" s="175">
        <f>IFERROR(__xludf.DUMMYFUNCTION("""COMPUTED_VALUE"""),4.375)</f>
        <v>4.375</v>
      </c>
      <c r="H51" s="18"/>
      <c r="I51" s="18">
        <f>IFERROR(__xludf.DUMMYFUNCTION("""COMPUTED_VALUE"""),16.0)</f>
        <v>16</v>
      </c>
      <c r="J51" s="18" t="str">
        <f>IFERROR(__xludf.DUMMYFUNCTION("""COMPUTED_VALUE"""),"Y")</f>
        <v>Y</v>
      </c>
      <c r="K51" s="18" t="str">
        <f>IFERROR(__xludf.DUMMYFUNCTION("""COMPUTED_VALUE"""),"HPE/Karstak")</f>
        <v>HPE/Karstak</v>
      </c>
      <c r="L51" s="18" t="str">
        <f>IFERROR(__xludf.DUMMYFUNCTION("""COMPUTED_VALUE"""),"1 Seafood")</f>
        <v>1 Seafood</v>
      </c>
      <c r="M51" s="18" t="str">
        <f>IFERROR(__xludf.DUMMYFUNCTION("""COMPUTED_VALUE"""),"1 Crops")</f>
        <v>1 Crops</v>
      </c>
      <c r="N51" s="18">
        <f>IFERROR(__xludf.DUMMYFUNCTION("""COMPUTED_VALUE"""),2.0)</f>
        <v>2</v>
      </c>
      <c r="O51" s="18"/>
      <c r="P51" s="18"/>
      <c r="Q51" s="18"/>
      <c r="R51" s="18"/>
      <c r="S51" s="18"/>
      <c r="T51" s="18"/>
      <c r="U51" s="18"/>
      <c r="V51" s="18"/>
    </row>
    <row r="52">
      <c r="B52" s="18">
        <f>IFERROR(__xludf.DUMMYFUNCTION("""COMPUTED_VALUE"""),34.0)</f>
        <v>34</v>
      </c>
      <c r="C52" s="18" t="str">
        <f>IFERROR(__xludf.DUMMYFUNCTION("""COMPUTED_VALUE"""),"N")</f>
        <v>N</v>
      </c>
      <c r="D52" s="18" t="str">
        <f>IFERROR(__xludf.DUMMYFUNCTION("""COMPUTED_VALUE"""),"Jurai/Alectar")</f>
        <v>Jurai/Alectar</v>
      </c>
      <c r="E52" s="18" t="str">
        <f>IFERROR(__xludf.DUMMYFUNCTION("""COMPUTED_VALUE"""),"1g")</f>
        <v>1g</v>
      </c>
      <c r="F52" s="18" t="str">
        <f>IFERROR(__xludf.DUMMYFUNCTION("""COMPUTED_VALUE"""),"1 Silver")</f>
        <v>1 Silver</v>
      </c>
      <c r="G52" s="175">
        <f>IFERROR(__xludf.DUMMYFUNCTION("""COMPUTED_VALUE"""),-1.0)</f>
        <v>-1</v>
      </c>
      <c r="H52" s="18"/>
      <c r="I52" s="18">
        <f>IFERROR(__xludf.DUMMYFUNCTION("""COMPUTED_VALUE"""),34.0)</f>
        <v>34</v>
      </c>
      <c r="J52" s="18" t="str">
        <f>IFERROR(__xludf.DUMMYFUNCTION("""COMPUTED_VALUE"""),"N")</f>
        <v>N</v>
      </c>
      <c r="K52" s="18" t="str">
        <f>IFERROR(__xludf.DUMMYFUNCTION("""COMPUTED_VALUE"""),"Jurai/Alectar")</f>
        <v>Jurai/Alectar</v>
      </c>
      <c r="L52" s="18" t="str">
        <f>IFERROR(__xludf.DUMMYFUNCTION("""COMPUTED_VALUE"""),"1 Silver")</f>
        <v>1 Silver</v>
      </c>
      <c r="M52" s="18" t="str">
        <f>IFERROR(__xludf.DUMMYFUNCTION("""COMPUTED_VALUE"""),"1g")</f>
        <v>1g</v>
      </c>
      <c r="N52" s="18">
        <f>IFERROR(__xludf.DUMMYFUNCTION("""COMPUTED_VALUE"""),1.0)</f>
        <v>1</v>
      </c>
      <c r="O52" s="18"/>
      <c r="P52" s="18"/>
      <c r="Q52" s="18"/>
      <c r="R52" s="18"/>
      <c r="S52" s="18"/>
      <c r="T52" s="18"/>
      <c r="U52" s="18"/>
      <c r="V52" s="18"/>
    </row>
    <row r="53">
      <c r="B53" s="18">
        <f>IFERROR(__xludf.DUMMYFUNCTION("""COMPUTED_VALUE"""),6.0)</f>
        <v>6</v>
      </c>
      <c r="C53" s="18" t="str">
        <f>IFERROR(__xludf.DUMMYFUNCTION("""COMPUTED_VALUE"""),"Y")</f>
        <v>Y</v>
      </c>
      <c r="D53" s="18" t="str">
        <f>IFERROR(__xludf.DUMMYFUNCTION("""COMPUTED_VALUE"""),"Jurai/Jeweled Cities")</f>
        <v>Jurai/Jeweled Cities</v>
      </c>
      <c r="E53" s="18" t="str">
        <f>IFERROR(__xludf.DUMMYFUNCTION("""COMPUTED_VALUE"""),"1 silk, 1 Spices")</f>
        <v>1 silk, 1 Spices</v>
      </c>
      <c r="F53" s="18" t="str">
        <f>IFERROR(__xludf.DUMMYFUNCTION("""COMPUTED_VALUE"""),"1 Spirits, 1g")</f>
        <v>1 Spirits, 1g</v>
      </c>
      <c r="G53" s="175">
        <f>IFERROR(__xludf.DUMMYFUNCTION("""COMPUTED_VALUE"""),4.0)</f>
        <v>4</v>
      </c>
      <c r="H53" s="18"/>
      <c r="I53" s="18">
        <f>IFERROR(__xludf.DUMMYFUNCTION("""COMPUTED_VALUE"""),6.0)</f>
        <v>6</v>
      </c>
      <c r="J53" s="18" t="str">
        <f>IFERROR(__xludf.DUMMYFUNCTION("""COMPUTED_VALUE"""),"Y")</f>
        <v>Y</v>
      </c>
      <c r="K53" s="18" t="str">
        <f>IFERROR(__xludf.DUMMYFUNCTION("""COMPUTED_VALUE"""),"Jurai/Jeweled Cities")</f>
        <v>Jurai/Jeweled Cities</v>
      </c>
      <c r="L53" s="18" t="str">
        <f>IFERROR(__xludf.DUMMYFUNCTION("""COMPUTED_VALUE"""),"1 Spirits, 1g")</f>
        <v>1 Spirits, 1g</v>
      </c>
      <c r="M53" s="18" t="str">
        <f>IFERROR(__xludf.DUMMYFUNCTION("""COMPUTED_VALUE"""),"1 silk, 1 Spices")</f>
        <v>1 silk, 1 Spices</v>
      </c>
      <c r="N53" s="18">
        <f>IFERROR(__xludf.DUMMYFUNCTION("""COMPUTED_VALUE"""),1.0)</f>
        <v>1</v>
      </c>
      <c r="O53" s="18"/>
      <c r="P53" s="18"/>
      <c r="Q53" s="18"/>
      <c r="R53" s="18"/>
      <c r="S53" s="18"/>
      <c r="T53" s="18"/>
      <c r="U53" s="18"/>
      <c r="V53" s="18"/>
    </row>
    <row r="54">
      <c r="B54" s="18">
        <f>IFERROR(__xludf.DUMMYFUNCTION("""COMPUTED_VALUE"""),22.0)</f>
        <v>22</v>
      </c>
      <c r="C54" s="18" t="str">
        <f>IFERROR(__xludf.DUMMYFUNCTION("""COMPUTED_VALUE"""),"Y")</f>
        <v>Y</v>
      </c>
      <c r="D54" s="18" t="str">
        <f>IFERROR(__xludf.DUMMYFUNCTION("""COMPUTED_VALUE"""),"Jurai/Karanex")</f>
        <v>Jurai/Karanex</v>
      </c>
      <c r="E54" s="18" t="str">
        <f>IFERROR(__xludf.DUMMYFUNCTION("""COMPUTED_VALUE"""),"1 medicine")</f>
        <v>1 medicine</v>
      </c>
      <c r="F54" s="18" t="str">
        <f>IFERROR(__xludf.DUMMYFUNCTION("""COMPUTED_VALUE"""),"2g")</f>
        <v>2g</v>
      </c>
      <c r="G54" s="175">
        <f>IFERROR(__xludf.DUMMYFUNCTION("""COMPUTED_VALUE"""),6.0)</f>
        <v>6</v>
      </c>
      <c r="H54" s="18" t="str">
        <f>IFERROR(__xludf.DUMMYFUNCTION("""COMPUTED_VALUE"""),"Damaged 13/14")</f>
        <v>Damaged 13/14</v>
      </c>
      <c r="I54" s="18">
        <f>IFERROR(__xludf.DUMMYFUNCTION("""COMPUTED_VALUE"""),22.0)</f>
        <v>22</v>
      </c>
      <c r="J54" s="18" t="str">
        <f>IFERROR(__xludf.DUMMYFUNCTION("""COMPUTED_VALUE"""),"Y")</f>
        <v>Y</v>
      </c>
      <c r="K54" s="18" t="str">
        <f>IFERROR(__xludf.DUMMYFUNCTION("""COMPUTED_VALUE"""),"Jurai/Karanex")</f>
        <v>Jurai/Karanex</v>
      </c>
      <c r="L54" s="18" t="str">
        <f>IFERROR(__xludf.DUMMYFUNCTION("""COMPUTED_VALUE"""),"2g")</f>
        <v>2g</v>
      </c>
      <c r="M54" s="18" t="str">
        <f>IFERROR(__xludf.DUMMYFUNCTION("""COMPUTED_VALUE"""),"1 medicine")</f>
        <v>1 medicine</v>
      </c>
      <c r="N54" s="18">
        <f>IFERROR(__xludf.DUMMYFUNCTION("""COMPUTED_VALUE"""),0.0)</f>
        <v>0</v>
      </c>
      <c r="O54" s="18"/>
      <c r="P54" s="18"/>
      <c r="Q54" s="18"/>
      <c r="R54" s="18"/>
      <c r="S54" s="18"/>
      <c r="T54" s="18"/>
      <c r="U54" s="18"/>
      <c r="V54" s="18"/>
    </row>
    <row r="55">
      <c r="B55" s="18">
        <f>IFERROR(__xludf.DUMMYFUNCTION("""COMPUTED_VALUE"""),9.0)</f>
        <v>9</v>
      </c>
      <c r="C55" s="18" t="str">
        <f>IFERROR(__xludf.DUMMYFUNCTION("""COMPUTED_VALUE"""),"Y")</f>
        <v>Y</v>
      </c>
      <c r="D55" s="18" t="str">
        <f>IFERROR(__xludf.DUMMYFUNCTION("""COMPUTED_VALUE"""),"Jurai/Ostwil")</f>
        <v>Jurai/Ostwil</v>
      </c>
      <c r="E55" s="18" t="str">
        <f>IFERROR(__xludf.DUMMYFUNCTION("""COMPUTED_VALUE"""),"1 Spirits")</f>
        <v>1 Spirits</v>
      </c>
      <c r="F55" s="18" t="str">
        <f>IFERROR(__xludf.DUMMYFUNCTION("""COMPUTED_VALUE"""),"1 Marble, 1g")</f>
        <v>1 Marble, 1g</v>
      </c>
      <c r="G55" s="175">
        <f>IFERROR(__xludf.DUMMYFUNCTION("""COMPUTED_VALUE"""),7.5)</f>
        <v>7.5</v>
      </c>
      <c r="H55" s="18"/>
      <c r="I55" s="18">
        <f>IFERROR(__xludf.DUMMYFUNCTION("""COMPUTED_VALUE"""),9.0)</f>
        <v>9</v>
      </c>
      <c r="J55" s="18" t="str">
        <f>IFERROR(__xludf.DUMMYFUNCTION("""COMPUTED_VALUE"""),"Y")</f>
        <v>Y</v>
      </c>
      <c r="K55" s="18" t="str">
        <f>IFERROR(__xludf.DUMMYFUNCTION("""COMPUTED_VALUE"""),"Jurai/Ostwil")</f>
        <v>Jurai/Ostwil</v>
      </c>
      <c r="L55" s="18" t="str">
        <f>IFERROR(__xludf.DUMMYFUNCTION("""COMPUTED_VALUE"""),"1 Marble, 1g")</f>
        <v>1 Marble, 1g</v>
      </c>
      <c r="M55" s="18" t="str">
        <f>IFERROR(__xludf.DUMMYFUNCTION("""COMPUTED_VALUE"""),"1 Spirits")</f>
        <v>1 Spirits</v>
      </c>
      <c r="N55" s="18">
        <f>IFERROR(__xludf.DUMMYFUNCTION("""COMPUTED_VALUE"""),1.0)</f>
        <v>1</v>
      </c>
      <c r="O55" s="18"/>
      <c r="P55" s="18"/>
      <c r="Q55" s="18"/>
      <c r="R55" s="18"/>
      <c r="S55" s="18"/>
      <c r="T55" s="18"/>
      <c r="U55" s="18"/>
      <c r="V55" s="18"/>
    </row>
    <row r="56">
      <c r="B56" s="18">
        <f>IFERROR(__xludf.DUMMYFUNCTION("""COMPUTED_VALUE"""),36.0)</f>
        <v>36</v>
      </c>
      <c r="C56" s="18" t="str">
        <f>IFERROR(__xludf.DUMMYFUNCTION("""COMPUTED_VALUE"""),"N")</f>
        <v>N</v>
      </c>
      <c r="D56" s="18" t="str">
        <f>IFERROR(__xludf.DUMMYFUNCTION("""COMPUTED_VALUE"""),"Jurai/Therendrim")</f>
        <v>Jurai/Therendrim</v>
      </c>
      <c r="E56" s="18" t="str">
        <f>IFERROR(__xludf.DUMMYFUNCTION("""COMPUTED_VALUE"""),"1 Gold")</f>
        <v>1 Gold</v>
      </c>
      <c r="F56" s="18" t="str">
        <f>IFERROR(__xludf.DUMMYFUNCTION("""COMPUTED_VALUE"""),"1 Holystone")</f>
        <v>1 Holystone</v>
      </c>
      <c r="G56" s="175">
        <f>IFERROR(__xludf.DUMMYFUNCTION("""COMPUTED_VALUE"""),2.9791666666666665)</f>
        <v>2.979166667</v>
      </c>
      <c r="H56" s="18"/>
      <c r="I56" s="18">
        <f>IFERROR(__xludf.DUMMYFUNCTION("""COMPUTED_VALUE"""),36.0)</f>
        <v>36</v>
      </c>
      <c r="J56" s="18" t="str">
        <f>IFERROR(__xludf.DUMMYFUNCTION("""COMPUTED_VALUE"""),"N")</f>
        <v>N</v>
      </c>
      <c r="K56" s="18" t="str">
        <f>IFERROR(__xludf.DUMMYFUNCTION("""COMPUTED_VALUE"""),"Jurai/Therendrim")</f>
        <v>Jurai/Therendrim</v>
      </c>
      <c r="L56" s="18" t="str">
        <f>IFERROR(__xludf.DUMMYFUNCTION("""COMPUTED_VALUE"""),"1 Holystone")</f>
        <v>1 Holystone</v>
      </c>
      <c r="M56" s="18" t="str">
        <f>IFERROR(__xludf.DUMMYFUNCTION("""COMPUTED_VALUE"""),"1 Gold")</f>
        <v>1 Gold</v>
      </c>
      <c r="N56" s="18">
        <f>IFERROR(__xludf.DUMMYFUNCTION("""COMPUTED_VALUE"""),0.0)</f>
        <v>0</v>
      </c>
      <c r="O56" s="18"/>
      <c r="P56" s="18"/>
      <c r="Q56" s="18"/>
      <c r="R56" s="18"/>
      <c r="S56" s="18"/>
      <c r="T56" s="18"/>
      <c r="U56" s="18"/>
      <c r="V56" s="18"/>
    </row>
    <row r="57">
      <c r="B57" s="18">
        <f>IFERROR(__xludf.DUMMYFUNCTION("""COMPUTED_VALUE"""),30.0)</f>
        <v>30</v>
      </c>
      <c r="C57" s="18" t="str">
        <f>IFERROR(__xludf.DUMMYFUNCTION("""COMPUTED_VALUE"""),"Y")</f>
        <v>Y</v>
      </c>
      <c r="D57" s="18" t="str">
        <f>IFERROR(__xludf.DUMMYFUNCTION("""COMPUTED_VALUE"""),"Jurai/Athasian")</f>
        <v>Jurai/Athasian</v>
      </c>
      <c r="E57" s="18" t="str">
        <f>IFERROR(__xludf.DUMMYFUNCTION("""COMPUTED_VALUE"""),"1 Iron")</f>
        <v>1 Iron</v>
      </c>
      <c r="F57" s="18" t="str">
        <f>IFERROR(__xludf.DUMMYFUNCTION("""COMPUTED_VALUE"""),"1 Hardwood")</f>
        <v>1 Hardwood</v>
      </c>
      <c r="G57" s="175">
        <f>IFERROR(__xludf.DUMMYFUNCTION("""COMPUTED_VALUE"""),3.25)</f>
        <v>3.25</v>
      </c>
      <c r="H57" s="18"/>
      <c r="I57" s="18">
        <f>IFERROR(__xludf.DUMMYFUNCTION("""COMPUTED_VALUE"""),30.0)</f>
        <v>30</v>
      </c>
      <c r="J57" s="18" t="str">
        <f>IFERROR(__xludf.DUMMYFUNCTION("""COMPUTED_VALUE"""),"Y")</f>
        <v>Y</v>
      </c>
      <c r="K57" s="18" t="str">
        <f>IFERROR(__xludf.DUMMYFUNCTION("""COMPUTED_VALUE"""),"Jurai/Athasian")</f>
        <v>Jurai/Athasian</v>
      </c>
      <c r="L57" s="18" t="str">
        <f>IFERROR(__xludf.DUMMYFUNCTION("""COMPUTED_VALUE"""),"1 Hardwood")</f>
        <v>1 Hardwood</v>
      </c>
      <c r="M57" s="18" t="str">
        <f>IFERROR(__xludf.DUMMYFUNCTION("""COMPUTED_VALUE"""),"1 Iron")</f>
        <v>1 Iron</v>
      </c>
      <c r="N57" s="18">
        <f>IFERROR(__xludf.DUMMYFUNCTION("""COMPUTED_VALUE"""),2.0)</f>
        <v>2</v>
      </c>
      <c r="O57" s="18"/>
      <c r="P57" s="18"/>
      <c r="Q57" s="18"/>
      <c r="R57" s="18"/>
      <c r="S57" s="18"/>
      <c r="T57" s="18"/>
      <c r="U57" s="18"/>
      <c r="V57" s="18"/>
    </row>
    <row r="58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</row>
    <row r="59">
      <c r="B59" s="18">
        <f>IFERROR(__xludf.DUMMYFUNCTION("""COMPUTED_VALUE"""),9.0)</f>
        <v>9</v>
      </c>
      <c r="C59" s="18" t="str">
        <f>IFERROR(__xludf.DUMMYFUNCTION("""COMPUTED_VALUE"""),"Y")</f>
        <v>Y</v>
      </c>
      <c r="D59" s="18" t="str">
        <f>IFERROR(__xludf.DUMMYFUNCTION("""COMPUTED_VALUE"""),"Karis/Kenhall")</f>
        <v>Karis/Kenhall</v>
      </c>
      <c r="E59" s="18" t="str">
        <f>IFERROR(__xludf.DUMMYFUNCTION("""COMPUTED_VALUE"""),"1 Residuum")</f>
        <v>1 Residuum</v>
      </c>
      <c r="F59" s="18" t="str">
        <f>IFERROR(__xludf.DUMMYFUNCTION("""COMPUTED_VALUE"""),"1g")</f>
        <v>1g</v>
      </c>
      <c r="G59" s="175">
        <f>IFERROR(__xludf.DUMMYFUNCTION("""COMPUTED_VALUE"""),5.5)</f>
        <v>5.5</v>
      </c>
      <c r="H59" s="18"/>
      <c r="I59" s="18">
        <f>IFERROR(__xludf.DUMMYFUNCTION("""COMPUTED_VALUE"""),9.0)</f>
        <v>9</v>
      </c>
      <c r="J59" s="18" t="str">
        <f>IFERROR(__xludf.DUMMYFUNCTION("""COMPUTED_VALUE"""),"Y")</f>
        <v>Y</v>
      </c>
      <c r="K59" s="18" t="str">
        <f>IFERROR(__xludf.DUMMYFUNCTION("""COMPUTED_VALUE"""),"Karis/Kenhall")</f>
        <v>Karis/Kenhall</v>
      </c>
      <c r="L59" s="18" t="str">
        <f>IFERROR(__xludf.DUMMYFUNCTION("""COMPUTED_VALUE"""),"1g")</f>
        <v>1g</v>
      </c>
      <c r="M59" s="18" t="str">
        <f>IFERROR(__xludf.DUMMYFUNCTION("""COMPUTED_VALUE"""),"1 Residuum")</f>
        <v>1 Residuum</v>
      </c>
      <c r="N59" s="18">
        <f>IFERROR(__xludf.DUMMYFUNCTION("""COMPUTED_VALUE"""),1.0)</f>
        <v>1</v>
      </c>
      <c r="O59" s="18"/>
      <c r="P59" s="18"/>
      <c r="Q59" s="18"/>
      <c r="R59" s="18"/>
      <c r="S59" s="18"/>
      <c r="T59" s="18"/>
      <c r="U59" s="18"/>
      <c r="V59" s="18"/>
    </row>
    <row r="60">
      <c r="B60" s="18">
        <f>IFERROR(__xludf.DUMMYFUNCTION("""COMPUTED_VALUE"""),18.0)</f>
        <v>18</v>
      </c>
      <c r="C60" s="18" t="str">
        <f>IFERROR(__xludf.DUMMYFUNCTION("""COMPUTED_VALUE"""),"Y")</f>
        <v>Y</v>
      </c>
      <c r="D60" s="18" t="str">
        <f>IFERROR(__xludf.DUMMYFUNCTION("""COMPUTED_VALUE"""),"Karis/Korim")</f>
        <v>Karis/Korim</v>
      </c>
      <c r="E60" s="18" t="str">
        <f>IFERROR(__xludf.DUMMYFUNCTION("""COMPUTED_VALUE"""),"1 Linite (Hot)")</f>
        <v>1 Linite (Hot)</v>
      </c>
      <c r="F60" s="18" t="str">
        <f>IFERROR(__xludf.DUMMYFUNCTION("""COMPUTED_VALUE"""),"1 Ironwood")</f>
        <v>1 Ironwood</v>
      </c>
      <c r="G60" s="175">
        <f>IFERROR(__xludf.DUMMYFUNCTION("""COMPUTED_VALUE"""),2.0)</f>
        <v>2</v>
      </c>
      <c r="H60" s="18"/>
      <c r="I60" s="18">
        <f>IFERROR(__xludf.DUMMYFUNCTION("""COMPUTED_VALUE"""),18.0)</f>
        <v>18</v>
      </c>
      <c r="J60" s="18" t="str">
        <f>IFERROR(__xludf.DUMMYFUNCTION("""COMPUTED_VALUE"""),"Y")</f>
        <v>Y</v>
      </c>
      <c r="K60" s="18" t="str">
        <f>IFERROR(__xludf.DUMMYFUNCTION("""COMPUTED_VALUE"""),"Karis/Korim")</f>
        <v>Karis/Korim</v>
      </c>
      <c r="L60" s="18" t="str">
        <f>IFERROR(__xludf.DUMMYFUNCTION("""COMPUTED_VALUE"""),"1 Ironwood")</f>
        <v>1 Ironwood</v>
      </c>
      <c r="M60" s="18" t="str">
        <f>IFERROR(__xludf.DUMMYFUNCTION("""COMPUTED_VALUE"""),"1 Linite (Hot)")</f>
        <v>1 Linite (Hot)</v>
      </c>
      <c r="N60" s="18">
        <f>IFERROR(__xludf.DUMMYFUNCTION("""COMPUTED_VALUE"""),2.0)</f>
        <v>2</v>
      </c>
      <c r="O60" s="18"/>
      <c r="P60" s="18"/>
      <c r="Q60" s="18"/>
      <c r="R60" s="18"/>
      <c r="S60" s="18"/>
      <c r="T60" s="18"/>
      <c r="U60" s="18"/>
      <c r="V60" s="18"/>
    </row>
    <row r="61">
      <c r="B61" s="18">
        <f>IFERROR(__xludf.DUMMYFUNCTION("""COMPUTED_VALUE"""),0.0)</f>
        <v>0</v>
      </c>
      <c r="C61" s="18" t="str">
        <f>IFERROR(__xludf.DUMMYFUNCTION("""COMPUTED_VALUE"""),"Y")</f>
        <v>Y</v>
      </c>
      <c r="D61" s="18" t="str">
        <f>IFERROR(__xludf.DUMMYFUNCTION("""COMPUTED_VALUE"""),"Kenhall/Prindar")</f>
        <v>Kenhall/Prindar</v>
      </c>
      <c r="E61" s="18" t="str">
        <f>IFERROR(__xludf.DUMMYFUNCTION("""COMPUTED_VALUE"""),"1 Herb")</f>
        <v>1 Herb</v>
      </c>
      <c r="F61" s="18" t="str">
        <f>IFERROR(__xludf.DUMMYFUNCTION("""COMPUTED_VALUE"""),"1g")</f>
        <v>1g</v>
      </c>
      <c r="G61" s="175">
        <f>IFERROR(__xludf.DUMMYFUNCTION("""COMPUTED_VALUE"""),1.8)</f>
        <v>1.8</v>
      </c>
      <c r="H61" s="18" t="str">
        <f>IFERROR(__xludf.DUMMYFUNCTION("""COMPUTED_VALUE"""),"Damaged 9/10")</f>
        <v>Damaged 9/10</v>
      </c>
      <c r="I61" s="18">
        <f>IFERROR(__xludf.DUMMYFUNCTION("""COMPUTED_VALUE"""),0.0)</f>
        <v>0</v>
      </c>
      <c r="J61" s="18" t="str">
        <f>IFERROR(__xludf.DUMMYFUNCTION("""COMPUTED_VALUE"""),"Y")</f>
        <v>Y</v>
      </c>
      <c r="K61" s="18" t="str">
        <f>IFERROR(__xludf.DUMMYFUNCTION("""COMPUTED_VALUE"""),"Kenhall/Prindar")</f>
        <v>Kenhall/Prindar</v>
      </c>
      <c r="L61" s="18" t="str">
        <f>IFERROR(__xludf.DUMMYFUNCTION("""COMPUTED_VALUE"""),"1g")</f>
        <v>1g</v>
      </c>
      <c r="M61" s="18" t="str">
        <f>IFERROR(__xludf.DUMMYFUNCTION("""COMPUTED_VALUE"""),"1 Herb")</f>
        <v>1 Herb</v>
      </c>
      <c r="N61" s="18">
        <f>IFERROR(__xludf.DUMMYFUNCTION("""COMPUTED_VALUE"""),0.0)</f>
        <v>0</v>
      </c>
      <c r="O61" s="178" t="str">
        <f>IFERROR(__xludf.DUMMYFUNCTION("""COMPUTED_VALUE"""),"Damaged 9/10")</f>
        <v>Damaged 9/10</v>
      </c>
      <c r="P61" s="178" t="s">
        <v>137</v>
      </c>
      <c r="Q61" s="123"/>
      <c r="R61" s="123"/>
      <c r="S61" s="123"/>
      <c r="T61" s="123"/>
      <c r="U61" s="123"/>
      <c r="V61" s="123"/>
    </row>
    <row r="62">
      <c r="B62" s="18">
        <f>IFERROR(__xludf.DUMMYFUNCTION("""COMPUTED_VALUE"""),29.0)</f>
        <v>29</v>
      </c>
      <c r="C62" s="18" t="str">
        <f>IFERROR(__xludf.DUMMYFUNCTION("""COMPUTED_VALUE"""),"Y")</f>
        <v>Y</v>
      </c>
      <c r="D62" s="18" t="str">
        <f>IFERROR(__xludf.DUMMYFUNCTION("""COMPUTED_VALUE"""),"Kenhall/HPE")</f>
        <v>Kenhall/HPE</v>
      </c>
      <c r="E62" s="18" t="str">
        <f>IFERROR(__xludf.DUMMYFUNCTION("""COMPUTED_VALUE"""),"1 Holystone")</f>
        <v>1 Holystone</v>
      </c>
      <c r="F62" s="18" t="str">
        <f>IFERROR(__xludf.DUMMYFUNCTION("""COMPUTED_VALUE"""),"1 Fine Clothes")</f>
        <v>1 Fine Clothes</v>
      </c>
      <c r="G62" s="175">
        <f>IFERROR(__xludf.DUMMYFUNCTION("""COMPUTED_VALUE"""),2.0)</f>
        <v>2</v>
      </c>
      <c r="H62" s="18"/>
      <c r="I62" s="18">
        <f>IFERROR(__xludf.DUMMYFUNCTION("""COMPUTED_VALUE"""),29.0)</f>
        <v>29</v>
      </c>
      <c r="J62" s="18" t="str">
        <f>IFERROR(__xludf.DUMMYFUNCTION("""COMPUTED_VALUE"""),"Y")</f>
        <v>Y</v>
      </c>
      <c r="K62" s="18" t="str">
        <f>IFERROR(__xludf.DUMMYFUNCTION("""COMPUTED_VALUE"""),"Kenhall/HPE")</f>
        <v>Kenhall/HPE</v>
      </c>
      <c r="L62" s="18" t="str">
        <f>IFERROR(__xludf.DUMMYFUNCTION("""COMPUTED_VALUE"""),"1 Fine Clothes")</f>
        <v>1 Fine Clothes</v>
      </c>
      <c r="M62" s="18" t="str">
        <f>IFERROR(__xludf.DUMMYFUNCTION("""COMPUTED_VALUE"""),"1 Holystone")</f>
        <v>1 Holystone</v>
      </c>
      <c r="N62" s="18">
        <f>IFERROR(__xludf.DUMMYFUNCTION("""COMPUTED_VALUE"""),2.0)</f>
        <v>2</v>
      </c>
      <c r="O62" s="123"/>
      <c r="P62" s="123">
        <f>IFERROR(__xludf.DUMMYFUNCTION("sort(filter(P31:V60,search(""*"",R31:R60)), 1, TRUE )"),0.0)</f>
        <v>0</v>
      </c>
      <c r="Q62" s="123" t="str">
        <f>IFERROR(__xludf.DUMMYFUNCTION("""COMPUTED_VALUE"""),"Y")</f>
        <v>Y</v>
      </c>
      <c r="R62" s="123" t="str">
        <f>IFERROR(__xludf.DUMMYFUNCTION("""COMPUTED_VALUE"""),"Athasian/Ostwil")</f>
        <v>Athasian/Ostwil</v>
      </c>
      <c r="S62" s="123" t="str">
        <f>IFERROR(__xludf.DUMMYFUNCTION("""COMPUTED_VALUE"""),"2g")</f>
        <v>2g</v>
      </c>
      <c r="T62" s="123" t="str">
        <f>IFERROR(__xludf.DUMMYFUNCTION("""COMPUTED_VALUE"""),"1 crops, 1 hardwood")</f>
        <v>1 crops, 1 hardwood</v>
      </c>
      <c r="U62" s="123">
        <f>IFERROR(__xludf.DUMMYFUNCTION("""COMPUTED_VALUE"""),0.0)</f>
        <v>0</v>
      </c>
      <c r="V62" s="123"/>
    </row>
    <row r="63">
      <c r="B63" s="18">
        <f>IFERROR(__xludf.DUMMYFUNCTION("""COMPUTED_VALUE"""),11.0)</f>
        <v>11</v>
      </c>
      <c r="C63" s="18" t="str">
        <f>IFERROR(__xludf.DUMMYFUNCTION("""COMPUTED_VALUE"""),"Y")</f>
        <v>Y</v>
      </c>
      <c r="D63" s="18" t="str">
        <f>IFERROR(__xludf.DUMMYFUNCTION("""COMPUTED_VALUE"""),"Kenhall/Ker'zerak")</f>
        <v>Kenhall/Ker'zerak</v>
      </c>
      <c r="E63" s="18" t="str">
        <f>IFERROR(__xludf.DUMMYFUNCTION("""COMPUTED_VALUE"""),"10g")</f>
        <v>10g</v>
      </c>
      <c r="F63" s="18" t="str">
        <f>IFERROR(__xludf.DUMMYFUNCTION("""COMPUTED_VALUE"""),"1 slaves")</f>
        <v>1 slaves</v>
      </c>
      <c r="G63" s="175">
        <f>IFERROR(__xludf.DUMMYFUNCTION("""COMPUTED_VALUE"""),-7.5)</f>
        <v>-7.5</v>
      </c>
      <c r="H63" s="18"/>
      <c r="I63" s="18">
        <f>IFERROR(__xludf.DUMMYFUNCTION("""COMPUTED_VALUE"""),11.0)</f>
        <v>11</v>
      </c>
      <c r="J63" s="18" t="str">
        <f>IFERROR(__xludf.DUMMYFUNCTION("""COMPUTED_VALUE"""),"Y")</f>
        <v>Y</v>
      </c>
      <c r="K63" s="18" t="str">
        <f>IFERROR(__xludf.DUMMYFUNCTION("""COMPUTED_VALUE"""),"Kenhall/Ker'zerak")</f>
        <v>Kenhall/Ker'zerak</v>
      </c>
      <c r="L63" s="18" t="str">
        <f>IFERROR(__xludf.DUMMYFUNCTION("""COMPUTED_VALUE"""),"1 slaves")</f>
        <v>1 slaves</v>
      </c>
      <c r="M63" s="18" t="str">
        <f>IFERROR(__xludf.DUMMYFUNCTION("""COMPUTED_VALUE"""),"10g")</f>
        <v>10g</v>
      </c>
      <c r="N63" s="18">
        <f>IFERROR(__xludf.DUMMYFUNCTION("""COMPUTED_VALUE"""),12.0)</f>
        <v>12</v>
      </c>
      <c r="O63" s="123"/>
      <c r="P63" s="123">
        <f>IFERROR(__xludf.DUMMYFUNCTION("""COMPUTED_VALUE"""),7.0)</f>
        <v>7</v>
      </c>
      <c r="Q63" s="123" t="str">
        <f>IFERROR(__xludf.DUMMYFUNCTION("""COMPUTED_VALUE"""),"Y")</f>
        <v>Y</v>
      </c>
      <c r="R63" s="123" t="str">
        <f>IFERROR(__xludf.DUMMYFUNCTION("""COMPUTED_VALUE"""),"Ostwil/Ti'Vashni")</f>
        <v>Ostwil/Ti'Vashni</v>
      </c>
      <c r="S63" s="123"/>
      <c r="T63" s="123"/>
      <c r="U63" s="123"/>
      <c r="V63" s="123" t="str">
        <f>IFERROR(__xludf.DUMMYFUNCTION("""COMPUTED_VALUE"""),"Defended 9 Extra HP,  paused by Ti'Vashni")</f>
        <v>Defended 9 Extra HP,  paused by Ti'Vashni</v>
      </c>
    </row>
    <row r="64">
      <c r="B64" s="18">
        <f>IFERROR(__xludf.DUMMYFUNCTION("""COMPUTED_VALUE"""),27.0)</f>
        <v>27</v>
      </c>
      <c r="C64" s="18" t="str">
        <f>IFERROR(__xludf.DUMMYFUNCTION("""COMPUTED_VALUE"""),"Y")</f>
        <v>Y</v>
      </c>
      <c r="D64" s="18" t="str">
        <f>IFERROR(__xludf.DUMMYFUNCTION("""COMPUTED_VALUE"""),"Kenhall/Lycaeum")</f>
        <v>Kenhall/Lycaeum</v>
      </c>
      <c r="E64" s="18" t="str">
        <f>IFERROR(__xludf.DUMMYFUNCTION("""COMPUTED_VALUE"""),"1 Dire Crops")</f>
        <v>1 Dire Crops</v>
      </c>
      <c r="F64" s="18" t="str">
        <f>IFERROR(__xludf.DUMMYFUNCTION("""COMPUTED_VALUE"""),"2g")</f>
        <v>2g</v>
      </c>
      <c r="G64" s="175">
        <f>IFERROR(__xludf.DUMMYFUNCTION("""COMPUTED_VALUE"""),4.0)</f>
        <v>4</v>
      </c>
      <c r="H64" s="18"/>
      <c r="I64" s="18">
        <f>IFERROR(__xludf.DUMMYFUNCTION("""COMPUTED_VALUE"""),27.0)</f>
        <v>27</v>
      </c>
      <c r="J64" s="18" t="str">
        <f>IFERROR(__xludf.DUMMYFUNCTION("""COMPUTED_VALUE"""),"Y")</f>
        <v>Y</v>
      </c>
      <c r="K64" s="18" t="str">
        <f>IFERROR(__xludf.DUMMYFUNCTION("""COMPUTED_VALUE"""),"Kenhall/Lycaeum")</f>
        <v>Kenhall/Lycaeum</v>
      </c>
      <c r="L64" s="18" t="str">
        <f>IFERROR(__xludf.DUMMYFUNCTION("""COMPUTED_VALUE"""),"2g")</f>
        <v>2g</v>
      </c>
      <c r="M64" s="18" t="str">
        <f>IFERROR(__xludf.DUMMYFUNCTION("""COMPUTED_VALUE"""),"1 Dire Crops")</f>
        <v>1 Dire Crops</v>
      </c>
      <c r="N64" s="18">
        <f>IFERROR(__xludf.DUMMYFUNCTION("""COMPUTED_VALUE"""),0.0)</f>
        <v>0</v>
      </c>
      <c r="O64" s="123"/>
      <c r="P64" s="123">
        <f>IFERROR(__xludf.DUMMYFUNCTION("""COMPUTED_VALUE"""),9.0)</f>
        <v>9</v>
      </c>
      <c r="Q64" s="123" t="str">
        <f>IFERROR(__xludf.DUMMYFUNCTION("""COMPUTED_VALUE"""),"Y")</f>
        <v>Y</v>
      </c>
      <c r="R64" s="123" t="str">
        <f>IFERROR(__xludf.DUMMYFUNCTION("""COMPUTED_VALUE"""),"Jurai/Ostwil")</f>
        <v>Jurai/Ostwil</v>
      </c>
      <c r="S64" s="123" t="str">
        <f>IFERROR(__xludf.DUMMYFUNCTION("""COMPUTED_VALUE"""),"1 Marble, 1g")</f>
        <v>1 Marble, 1g</v>
      </c>
      <c r="T64" s="123" t="str">
        <f>IFERROR(__xludf.DUMMYFUNCTION("""COMPUTED_VALUE"""),"1 Spirits")</f>
        <v>1 Spirits</v>
      </c>
      <c r="U64" s="123">
        <f>IFERROR(__xludf.DUMMYFUNCTION("""COMPUTED_VALUE"""),1.0)</f>
        <v>1</v>
      </c>
      <c r="V64" s="123"/>
    </row>
    <row r="65">
      <c r="B65" s="18">
        <f>IFERROR(__xludf.DUMMYFUNCTION("""COMPUTED_VALUE"""),26.0)</f>
        <v>26</v>
      </c>
      <c r="C65" s="18" t="str">
        <f>IFERROR(__xludf.DUMMYFUNCTION("""COMPUTED_VALUE"""),"Y")</f>
        <v>Y</v>
      </c>
      <c r="D65" s="18" t="str">
        <f>IFERROR(__xludf.DUMMYFUNCTION("""COMPUTED_VALUE"""),"Kenhall/Karanex")</f>
        <v>Kenhall/Karanex</v>
      </c>
      <c r="E65" s="18" t="str">
        <f>IFERROR(__xludf.DUMMYFUNCTION("""COMPUTED_VALUE"""),"1 direcrop")</f>
        <v>1 direcrop</v>
      </c>
      <c r="F65" s="18" t="str">
        <f>IFERROR(__xludf.DUMMYFUNCTION("""COMPUTED_VALUE"""),"2g")</f>
        <v>2g</v>
      </c>
      <c r="G65" s="18">
        <f>IFERROR(__xludf.DUMMYFUNCTION("""COMPUTED_VALUE"""),2.0)</f>
        <v>2</v>
      </c>
      <c r="H65" s="18"/>
      <c r="I65" s="18">
        <f>IFERROR(__xludf.DUMMYFUNCTION("""COMPUTED_VALUE"""),26.0)</f>
        <v>26</v>
      </c>
      <c r="J65" s="18" t="str">
        <f>IFERROR(__xludf.DUMMYFUNCTION("""COMPUTED_VALUE"""),"Y")</f>
        <v>Y</v>
      </c>
      <c r="K65" s="18" t="str">
        <f>IFERROR(__xludf.DUMMYFUNCTION("""COMPUTED_VALUE"""),"Kenhall/Karanex")</f>
        <v>Kenhall/Karanex</v>
      </c>
      <c r="L65" s="18" t="str">
        <f>IFERROR(__xludf.DUMMYFUNCTION("""COMPUTED_VALUE"""),"2g")</f>
        <v>2g</v>
      </c>
      <c r="M65" s="18" t="str">
        <f>IFERROR(__xludf.DUMMYFUNCTION("""COMPUTED_VALUE"""),"1 direcrop")</f>
        <v>1 direcrop</v>
      </c>
      <c r="N65" s="18">
        <f>IFERROR(__xludf.DUMMYFUNCTION("""COMPUTED_VALUE"""),2.0)</f>
        <v>2</v>
      </c>
      <c r="O65" s="123"/>
      <c r="P65" s="123">
        <f>IFERROR(__xludf.DUMMYFUNCTION("""COMPUTED_VALUE"""),12.0)</f>
        <v>12</v>
      </c>
      <c r="Q65" s="123" t="str">
        <f>IFERROR(__xludf.DUMMYFUNCTION("""COMPUTED_VALUE"""),"Y")</f>
        <v>Y</v>
      </c>
      <c r="R65" s="123" t="str">
        <f>IFERROR(__xludf.DUMMYFUNCTION("""COMPUTED_VALUE"""),"Ostwil/Voresh")</f>
        <v>Ostwil/Voresh</v>
      </c>
      <c r="S65" s="123" t="str">
        <f>IFERROR(__xludf.DUMMYFUNCTION("""COMPUTED_VALUE"""),"2g")</f>
        <v>2g</v>
      </c>
      <c r="T65" s="123" t="str">
        <f>IFERROR(__xludf.DUMMYFUNCTION("""COMPUTED_VALUE"""),"1 narcotics")</f>
        <v>1 narcotics</v>
      </c>
      <c r="U65" s="179">
        <f>IFERROR(__xludf.DUMMYFUNCTION("""COMPUTED_VALUE"""),2.5)</f>
        <v>2.5</v>
      </c>
      <c r="V65" s="123"/>
    </row>
    <row r="66">
      <c r="B66" s="18">
        <f>IFERROR(__xludf.DUMMYFUNCTION("""COMPUTED_VALUE"""),6.0)</f>
        <v>6</v>
      </c>
      <c r="C66" s="18" t="str">
        <f>IFERROR(__xludf.DUMMYFUNCTION("""COMPUTED_VALUE"""),"Y")</f>
        <v>Y</v>
      </c>
      <c r="D66" s="18" t="str">
        <f>IFERROR(__xludf.DUMMYFUNCTION("""COMPUTED_VALUE"""),"Kenhall/Morgaard")</f>
        <v>Kenhall/Morgaard</v>
      </c>
      <c r="E66" s="18" t="str">
        <f>IFERROR(__xludf.DUMMYFUNCTION("""COMPUTED_VALUE"""),"1 direcrop")</f>
        <v>1 direcrop</v>
      </c>
      <c r="F66" s="18" t="str">
        <f>IFERROR(__xludf.DUMMYFUNCTION("""COMPUTED_VALUE"""),"1 Glass")</f>
        <v>1 Glass</v>
      </c>
      <c r="G66" s="175">
        <f>IFERROR(__xludf.DUMMYFUNCTION("""COMPUTED_VALUE"""),2.5)</f>
        <v>2.5</v>
      </c>
      <c r="H66" s="18"/>
      <c r="I66" s="18">
        <f>IFERROR(__xludf.DUMMYFUNCTION("""COMPUTED_VALUE"""),6.0)</f>
        <v>6</v>
      </c>
      <c r="J66" s="18" t="str">
        <f>IFERROR(__xludf.DUMMYFUNCTION("""COMPUTED_VALUE"""),"Y")</f>
        <v>Y</v>
      </c>
      <c r="K66" s="18" t="str">
        <f>IFERROR(__xludf.DUMMYFUNCTION("""COMPUTED_VALUE"""),"Kenhall/Morgaard")</f>
        <v>Kenhall/Morgaard</v>
      </c>
      <c r="L66" s="18" t="str">
        <f>IFERROR(__xludf.DUMMYFUNCTION("""COMPUTED_VALUE"""),"1 Glass")</f>
        <v>1 Glass</v>
      </c>
      <c r="M66" s="18" t="str">
        <f>IFERROR(__xludf.DUMMYFUNCTION("""COMPUTED_VALUE"""),"1 direcrop")</f>
        <v>1 direcrop</v>
      </c>
      <c r="N66" s="18">
        <f>IFERROR(__xludf.DUMMYFUNCTION("""COMPUTED_VALUE"""),2.0)</f>
        <v>2</v>
      </c>
      <c r="O66" s="123"/>
      <c r="P66" s="123">
        <f>IFERROR(__xludf.DUMMYFUNCTION("""COMPUTED_VALUE"""),21.0)</f>
        <v>21</v>
      </c>
      <c r="Q66" s="123" t="str">
        <f>IFERROR(__xludf.DUMMYFUNCTION("""COMPUTED_VALUE"""),"Y")</f>
        <v>Y</v>
      </c>
      <c r="R66" s="123" t="str">
        <f>IFERROR(__xludf.DUMMYFUNCTION("""COMPUTED_VALUE"""),"Levain/Ostwil")</f>
        <v>Levain/Ostwil</v>
      </c>
      <c r="S66" s="123" t="str">
        <f>IFERROR(__xludf.DUMMYFUNCTION("""COMPUTED_VALUE"""),"1 Glass")</f>
        <v>1 Glass</v>
      </c>
      <c r="T66" s="123" t="str">
        <f>IFERROR(__xludf.DUMMYFUNCTION("""COMPUTED_VALUE"""),"1 Spice")</f>
        <v>1 Spice</v>
      </c>
      <c r="U66" s="123">
        <f>IFERROR(__xludf.DUMMYFUNCTION("""COMPUTED_VALUE"""),2.0)</f>
        <v>2</v>
      </c>
      <c r="V66" s="18"/>
      <c r="W66" s="180">
        <f>sum(U62:U77)</f>
        <v>20.5</v>
      </c>
    </row>
    <row r="67">
      <c r="B67" s="18">
        <f>IFERROR(__xludf.DUMMYFUNCTION("""COMPUTED_VALUE"""),23.0)</f>
        <v>23</v>
      </c>
      <c r="C67" s="18" t="str">
        <f>IFERROR(__xludf.DUMMYFUNCTION("""COMPUTED_VALUE"""),"Y")</f>
        <v>Y</v>
      </c>
      <c r="D67" s="18" t="str">
        <f>IFERROR(__xludf.DUMMYFUNCTION("""COMPUTED_VALUE"""),"Kenhall/Alaria")</f>
        <v>Kenhall/Alaria</v>
      </c>
      <c r="E67" s="18" t="str">
        <f>IFERROR(__xludf.DUMMYFUNCTION("""COMPUTED_VALUE"""),"1 direcrop")</f>
        <v>1 direcrop</v>
      </c>
      <c r="F67" s="18" t="str">
        <f>IFERROR(__xludf.DUMMYFUNCTION("""COMPUTED_VALUE"""),"1 Coal")</f>
        <v>1 Coal</v>
      </c>
      <c r="G67" s="175">
        <f>IFERROR(__xludf.DUMMYFUNCTION("""COMPUTED_VALUE"""),3.5)</f>
        <v>3.5</v>
      </c>
      <c r="H67" s="18"/>
      <c r="I67" s="18">
        <f>IFERROR(__xludf.DUMMYFUNCTION("""COMPUTED_VALUE"""),23.0)</f>
        <v>23</v>
      </c>
      <c r="J67" s="18" t="str">
        <f>IFERROR(__xludf.DUMMYFUNCTION("""COMPUTED_VALUE"""),"Y")</f>
        <v>Y</v>
      </c>
      <c r="K67" s="18" t="str">
        <f>IFERROR(__xludf.DUMMYFUNCTION("""COMPUTED_VALUE"""),"Kenhall/Alaria")</f>
        <v>Kenhall/Alaria</v>
      </c>
      <c r="L67" s="18" t="str">
        <f>IFERROR(__xludf.DUMMYFUNCTION("""COMPUTED_VALUE"""),"1 Coal")</f>
        <v>1 Coal</v>
      </c>
      <c r="M67" s="18" t="str">
        <f>IFERROR(__xludf.DUMMYFUNCTION("""COMPUTED_VALUE"""),"1 direcrop")</f>
        <v>1 direcrop</v>
      </c>
      <c r="N67" s="18">
        <f>IFERROR(__xludf.DUMMYFUNCTION("""COMPUTED_VALUE"""),2.0)</f>
        <v>2</v>
      </c>
      <c r="O67" s="18"/>
      <c r="P67" s="18">
        <f>IFERROR(__xludf.DUMMYFUNCTION("""COMPUTED_VALUE"""),25.0)</f>
        <v>25</v>
      </c>
      <c r="Q67" s="18" t="str">
        <f>IFERROR(__xludf.DUMMYFUNCTION("""COMPUTED_VALUE"""),"Y")</f>
        <v>Y</v>
      </c>
      <c r="R67" s="18" t="str">
        <f>IFERROR(__xludf.DUMMYFUNCTION("""COMPUTED_VALUE"""),"Ostwil/Ashen'gar")</f>
        <v>Ostwil/Ashen'gar</v>
      </c>
      <c r="S67" s="18" t="str">
        <f>IFERROR(__xludf.DUMMYFUNCTION("""COMPUTED_VALUE"""),"1 Greenwood")</f>
        <v>1 Greenwood</v>
      </c>
      <c r="T67" s="18" t="str">
        <f>IFERROR(__xludf.DUMMYFUNCTION("""COMPUTED_VALUE"""),"1 Marble")</f>
        <v>1 Marble</v>
      </c>
      <c r="U67" s="175">
        <f>IFERROR(__xludf.DUMMYFUNCTION("""COMPUTED_VALUE"""),9.5)</f>
        <v>9.5</v>
      </c>
      <c r="V67" s="18" t="str">
        <f>IFERROR(__xludf.DUMMYFUNCTION("""COMPUTED_VALUE"""),"Defended")</f>
        <v>Defended</v>
      </c>
    </row>
    <row r="68">
      <c r="B68" s="18">
        <f>IFERROR(__xludf.DUMMYFUNCTION("""COMPUTED_VALUE"""),0.0)</f>
        <v>0</v>
      </c>
      <c r="C68" s="18" t="str">
        <f>IFERROR(__xludf.DUMMYFUNCTION("""COMPUTED_VALUE"""),"Y")</f>
        <v>Y</v>
      </c>
      <c r="D68" s="18" t="str">
        <f>IFERROR(__xludf.DUMMYFUNCTION("""COMPUTED_VALUE"""),"Kenhall/Stildar")</f>
        <v>Kenhall/Stildar</v>
      </c>
      <c r="E68" s="18" t="str">
        <f>IFERROR(__xludf.DUMMYFUNCTION("""COMPUTED_VALUE"""),"1 crops")</f>
        <v>1 crops</v>
      </c>
      <c r="F68" s="18" t="str">
        <f>IFERROR(__xludf.DUMMYFUNCTION("""COMPUTED_VALUE"""),"1 herbs")</f>
        <v>1 herbs</v>
      </c>
      <c r="G68" s="175">
        <f>IFERROR(__xludf.DUMMYFUNCTION("""COMPUTED_VALUE"""),2.0)</f>
        <v>2</v>
      </c>
      <c r="H68" s="18"/>
      <c r="I68" s="18">
        <f>IFERROR(__xludf.DUMMYFUNCTION("""COMPUTED_VALUE"""),0.0)</f>
        <v>0</v>
      </c>
      <c r="J68" s="18" t="str">
        <f>IFERROR(__xludf.DUMMYFUNCTION("""COMPUTED_VALUE"""),"Y")</f>
        <v>Y</v>
      </c>
      <c r="K68" s="18" t="str">
        <f>IFERROR(__xludf.DUMMYFUNCTION("""COMPUTED_VALUE"""),"Kenhall/Stildar")</f>
        <v>Kenhall/Stildar</v>
      </c>
      <c r="L68" s="18" t="str">
        <f>IFERROR(__xludf.DUMMYFUNCTION("""COMPUTED_VALUE"""),"1 herbs")</f>
        <v>1 herbs</v>
      </c>
      <c r="M68" s="18" t="str">
        <f>IFERROR(__xludf.DUMMYFUNCTION("""COMPUTED_VALUE"""),"1 crops")</f>
        <v>1 crops</v>
      </c>
      <c r="N68" s="18">
        <f>IFERROR(__xludf.DUMMYFUNCTION("""COMPUTED_VALUE"""),2.0)</f>
        <v>2</v>
      </c>
      <c r="O68" s="18"/>
      <c r="P68" s="18">
        <f>IFERROR(__xludf.DUMMYFUNCTION("""COMPUTED_VALUE"""),35.0)</f>
        <v>35</v>
      </c>
      <c r="Q68" s="18" t="str">
        <f>IFERROR(__xludf.DUMMYFUNCTION("""COMPUTED_VALUE"""),"N")</f>
        <v>N</v>
      </c>
      <c r="R68" s="18" t="str">
        <f>IFERROR(__xludf.DUMMYFUNCTION("""COMPUTED_VALUE"""),"Ostwil/Rohevan")</f>
        <v>Ostwil/Rohevan</v>
      </c>
      <c r="S68" s="18" t="str">
        <f>IFERROR(__xludf.DUMMYFUNCTION("""COMPUTED_VALUE"""),"1g")</f>
        <v>1g</v>
      </c>
      <c r="T68" s="18" t="str">
        <f>IFERROR(__xludf.DUMMYFUNCTION("""COMPUTED_VALUE"""),"1 Iron")</f>
        <v>1 Iron</v>
      </c>
      <c r="U68" s="175">
        <f>IFERROR(__xludf.DUMMYFUNCTION("""COMPUTED_VALUE"""),1.0)</f>
        <v>1</v>
      </c>
      <c r="V68" s="18"/>
    </row>
    <row r="69">
      <c r="B69" s="18">
        <f>IFERROR(__xludf.DUMMYFUNCTION("""COMPUTED_VALUE"""),8.0)</f>
        <v>8</v>
      </c>
      <c r="C69" s="18" t="str">
        <f>IFERROR(__xludf.DUMMYFUNCTION("""COMPUTED_VALUE"""),"Y")</f>
        <v>Y</v>
      </c>
      <c r="D69" s="18" t="str">
        <f>IFERROR(__xludf.DUMMYFUNCTION("""COMPUTED_VALUE"""),"Ker'zerak/Voresh")</f>
        <v>Ker'zerak/Voresh</v>
      </c>
      <c r="E69" s="18"/>
      <c r="F69" s="18" t="str">
        <f>IFERROR(__xludf.DUMMYFUNCTION("""COMPUTED_VALUE"""),"1 Diamond")</f>
        <v>1 Diamond</v>
      </c>
      <c r="G69" s="175">
        <f>IFERROR(__xludf.DUMMYFUNCTION("""COMPUTED_VALUE"""),1.6)</f>
        <v>1.6</v>
      </c>
      <c r="H69" s="18"/>
      <c r="I69" s="18">
        <f>IFERROR(__xludf.DUMMYFUNCTION("""COMPUTED_VALUE"""),8.0)</f>
        <v>8</v>
      </c>
      <c r="J69" s="18" t="str">
        <f>IFERROR(__xludf.DUMMYFUNCTION("""COMPUTED_VALUE"""),"Y")</f>
        <v>Y</v>
      </c>
      <c r="K69" s="18" t="str">
        <f>IFERROR(__xludf.DUMMYFUNCTION("""COMPUTED_VALUE"""),"Ker'zerak/Voresh")</f>
        <v>Ker'zerak/Voresh</v>
      </c>
      <c r="L69" s="18" t="str">
        <f>IFERROR(__xludf.DUMMYFUNCTION("""COMPUTED_VALUE"""),"1 Diamond")</f>
        <v>1 Diamond</v>
      </c>
      <c r="M69" s="18"/>
      <c r="N69" s="18">
        <f>IFERROR(__xludf.DUMMYFUNCTION("""COMPUTED_VALUE"""),2.0)</f>
        <v>2</v>
      </c>
      <c r="O69" s="18" t="str">
        <f>IFERROR(__xludf.DUMMYFUNCTION("""COMPUTED_VALUE"""),"Damaged 8/10")</f>
        <v>Damaged 8/10</v>
      </c>
      <c r="P69" s="18">
        <f>IFERROR(__xludf.DUMMYFUNCTION("""COMPUTED_VALUE"""),35.0)</f>
        <v>35</v>
      </c>
      <c r="Q69" s="18" t="str">
        <f>IFERROR(__xludf.DUMMYFUNCTION("""COMPUTED_VALUE"""),"N")</f>
        <v>N</v>
      </c>
      <c r="R69" s="18" t="str">
        <f>IFERROR(__xludf.DUMMYFUNCTION("""COMPUTED_VALUE"""),"Ostwil/HPE")</f>
        <v>Ostwil/HPE</v>
      </c>
      <c r="S69" s="18" t="str">
        <f>IFERROR(__xludf.DUMMYFUNCTION("""COMPUTED_VALUE"""),"1 Pearl")</f>
        <v>1 Pearl</v>
      </c>
      <c r="T69" s="18" t="str">
        <f>IFERROR(__xludf.DUMMYFUNCTION("""COMPUTED_VALUE"""),"1 Livestock 1 Crop")</f>
        <v>1 Livestock 1 Crop</v>
      </c>
      <c r="U69" s="175">
        <f>IFERROR(__xludf.DUMMYFUNCTION("""COMPUTED_VALUE"""),1.0)</f>
        <v>1</v>
      </c>
      <c r="V69" s="18"/>
    </row>
    <row r="70">
      <c r="B70" s="18">
        <f>IFERROR(__xludf.DUMMYFUNCTION("""COMPUTED_VALUE"""),11.0)</f>
        <v>11</v>
      </c>
      <c r="C70" s="18" t="str">
        <f>IFERROR(__xludf.DUMMYFUNCTION("""COMPUTED_VALUE"""),"Y")</f>
        <v>Y</v>
      </c>
      <c r="D70" s="18" t="str">
        <f>IFERROR(__xludf.DUMMYFUNCTION("""COMPUTED_VALUE"""),"Ker'zerak/Durus")</f>
        <v>Ker'zerak/Durus</v>
      </c>
      <c r="E70" s="18" t="str">
        <f>IFERROR(__xludf.DUMMYFUNCTION("""COMPUTED_VALUE"""),"1 Poison")</f>
        <v>1 Poison</v>
      </c>
      <c r="F70" s="18" t="str">
        <f>IFERROR(__xludf.DUMMYFUNCTION("""COMPUTED_VALUE"""),"1 Medicine")</f>
        <v>1 Medicine</v>
      </c>
      <c r="G70" s="175">
        <f>IFERROR(__xludf.DUMMYFUNCTION("""COMPUTED_VALUE"""),2.0)</f>
        <v>2</v>
      </c>
      <c r="H70" s="18"/>
      <c r="I70" s="18">
        <f>IFERROR(__xludf.DUMMYFUNCTION("""COMPUTED_VALUE"""),11.0)</f>
        <v>11</v>
      </c>
      <c r="J70" s="18" t="str">
        <f>IFERROR(__xludf.DUMMYFUNCTION("""COMPUTED_VALUE"""),"Y")</f>
        <v>Y</v>
      </c>
      <c r="K70" s="18" t="str">
        <f>IFERROR(__xludf.DUMMYFUNCTION("""COMPUTED_VALUE"""),"Ker'zerak/Durus")</f>
        <v>Ker'zerak/Durus</v>
      </c>
      <c r="L70" s="18" t="str">
        <f>IFERROR(__xludf.DUMMYFUNCTION("""COMPUTED_VALUE"""),"1 Medicine")</f>
        <v>1 Medicine</v>
      </c>
      <c r="M70" s="18" t="str">
        <f>IFERROR(__xludf.DUMMYFUNCTION("""COMPUTED_VALUE"""),"1 Poison")</f>
        <v>1 Poison</v>
      </c>
      <c r="N70" s="18">
        <f>IFERROR(__xludf.DUMMYFUNCTION("""COMPUTED_VALUE"""),2.0)</f>
        <v>2</v>
      </c>
      <c r="O70" s="18"/>
      <c r="P70" s="18">
        <f>IFERROR(__xludf.DUMMYFUNCTION("""COMPUTED_VALUE"""),36.0)</f>
        <v>36</v>
      </c>
      <c r="Q70" s="18" t="str">
        <f>IFERROR(__xludf.DUMMYFUNCTION("""COMPUTED_VALUE"""),"N")</f>
        <v>N</v>
      </c>
      <c r="R70" s="18" t="str">
        <f>IFERROR(__xludf.DUMMYFUNCTION("""COMPUTED_VALUE"""),"Ostwil/Morgaard")</f>
        <v>Ostwil/Morgaard</v>
      </c>
      <c r="S70" s="18" t="str">
        <f>IFERROR(__xludf.DUMMYFUNCTION("""COMPUTED_VALUE"""),"1 LiveStock")</f>
        <v>1 LiveStock</v>
      </c>
      <c r="T70" s="18" t="str">
        <f>IFERROR(__xludf.DUMMYFUNCTION("""COMPUTED_VALUE"""),"1g")</f>
        <v>1g</v>
      </c>
      <c r="U70" s="175">
        <f>IFERROR(__xludf.DUMMYFUNCTION("""COMPUTED_VALUE"""),3.5)</f>
        <v>3.5</v>
      </c>
      <c r="V70" s="18"/>
    </row>
    <row r="71">
      <c r="B71" s="18">
        <f>IFERROR(__xludf.DUMMYFUNCTION("""COMPUTED_VALUE"""),22.0)</f>
        <v>22</v>
      </c>
      <c r="C71" s="18" t="str">
        <f>IFERROR(__xludf.DUMMYFUNCTION("""COMPUTED_VALUE"""),"Y")</f>
        <v>Y</v>
      </c>
      <c r="D71" s="18" t="str">
        <f>IFERROR(__xludf.DUMMYFUNCTION("""COMPUTED_VALUE"""),"Ker'zerak/Eshendar")</f>
        <v>Ker'zerak/Eshendar</v>
      </c>
      <c r="E71" s="18" t="str">
        <f>IFERROR(__xludf.DUMMYFUNCTION("""COMPUTED_VALUE"""),"1 Coal")</f>
        <v>1 Coal</v>
      </c>
      <c r="F71" s="18" t="str">
        <f>IFERROR(__xludf.DUMMYFUNCTION("""COMPUTED_VALUE"""),"1 Hardwood")</f>
        <v>1 Hardwood</v>
      </c>
      <c r="G71" s="175">
        <f>IFERROR(__xludf.DUMMYFUNCTION("""COMPUTED_VALUE"""),4.5)</f>
        <v>4.5</v>
      </c>
      <c r="H71" s="18"/>
      <c r="I71" s="18">
        <f>IFERROR(__xludf.DUMMYFUNCTION("""COMPUTED_VALUE"""),22.0)</f>
        <v>22</v>
      </c>
      <c r="J71" s="18" t="str">
        <f>IFERROR(__xludf.DUMMYFUNCTION("""COMPUTED_VALUE"""),"Y")</f>
        <v>Y</v>
      </c>
      <c r="K71" s="18" t="str">
        <f>IFERROR(__xludf.DUMMYFUNCTION("""COMPUTED_VALUE"""),"Ker'zerak/Eshendar")</f>
        <v>Ker'zerak/Eshendar</v>
      </c>
      <c r="L71" s="18" t="str">
        <f>IFERROR(__xludf.DUMMYFUNCTION("""COMPUTED_VALUE"""),"1 Hardwood")</f>
        <v>1 Hardwood</v>
      </c>
      <c r="M71" s="18" t="str">
        <f>IFERROR(__xludf.DUMMYFUNCTION("""COMPUTED_VALUE"""),"1 Coal")</f>
        <v>1 Coal</v>
      </c>
      <c r="N71" s="18">
        <f>IFERROR(__xludf.DUMMYFUNCTION("""COMPUTED_VALUE"""),2.0)</f>
        <v>2</v>
      </c>
      <c r="O71" s="18"/>
    </row>
    <row r="72">
      <c r="B72" s="18">
        <f>IFERROR(__xludf.DUMMYFUNCTION("""COMPUTED_VALUE"""),8.0)</f>
        <v>8</v>
      </c>
      <c r="C72" s="18" t="str">
        <f>IFERROR(__xludf.DUMMYFUNCTION("""COMPUTED_VALUE"""),"Y")</f>
        <v>Y</v>
      </c>
      <c r="D72" s="18" t="str">
        <f>IFERROR(__xludf.DUMMYFUNCTION("""COMPUTED_VALUE"""),"Khazak-Dhur/Ker'zerak")</f>
        <v>Khazak-Dhur/Ker'zerak</v>
      </c>
      <c r="E72" s="18" t="str">
        <f>IFERROR(__xludf.DUMMYFUNCTION("""COMPUTED_VALUE"""),"1 Steel")</f>
        <v>1 Steel</v>
      </c>
      <c r="F72" s="18" t="str">
        <f>IFERROR(__xludf.DUMMYFUNCTION("""COMPUTED_VALUE"""),"2 Crops")</f>
        <v>2 Crops</v>
      </c>
      <c r="G72" s="175">
        <f>IFERROR(__xludf.DUMMYFUNCTION("""COMPUTED_VALUE"""),4.5)</f>
        <v>4.5</v>
      </c>
      <c r="H72" s="18"/>
      <c r="I72" s="18">
        <f>IFERROR(__xludf.DUMMYFUNCTION("""COMPUTED_VALUE"""),8.0)</f>
        <v>8</v>
      </c>
      <c r="J72" s="18" t="str">
        <f>IFERROR(__xludf.DUMMYFUNCTION("""COMPUTED_VALUE"""),"Y")</f>
        <v>Y</v>
      </c>
      <c r="K72" s="18" t="str">
        <f>IFERROR(__xludf.DUMMYFUNCTION("""COMPUTED_VALUE"""),"Khazak-Dhur/Ker'zerak")</f>
        <v>Khazak-Dhur/Ker'zerak</v>
      </c>
      <c r="L72" s="18" t="str">
        <f>IFERROR(__xludf.DUMMYFUNCTION("""COMPUTED_VALUE"""),"2 Crops")</f>
        <v>2 Crops</v>
      </c>
      <c r="M72" s="18" t="str">
        <f>IFERROR(__xludf.DUMMYFUNCTION("""COMPUTED_VALUE"""),"1 Steel")</f>
        <v>1 Steel</v>
      </c>
      <c r="N72" s="18">
        <f>IFERROR(__xludf.DUMMYFUNCTION("""COMPUTED_VALUE"""),2.0)</f>
        <v>2</v>
      </c>
      <c r="O72" s="18"/>
    </row>
    <row r="73">
      <c r="B73" s="18">
        <f>IFERROR(__xludf.DUMMYFUNCTION("""COMPUTED_VALUE"""),25.0)</f>
        <v>25</v>
      </c>
      <c r="C73" s="18" t="str">
        <f>IFERROR(__xludf.DUMMYFUNCTION("""COMPUTED_VALUE"""),"Y")</f>
        <v>Y</v>
      </c>
      <c r="D73" s="18" t="str">
        <f>IFERROR(__xludf.DUMMYFUNCTION("""COMPUTED_VALUE"""),"Khazak-Dhur/Aelthar")</f>
        <v>Khazak-Dhur/Aelthar</v>
      </c>
      <c r="E73" s="18" t="str">
        <f>IFERROR(__xludf.DUMMYFUNCTION("""COMPUTED_VALUE"""),"1 gems")</f>
        <v>1 gems</v>
      </c>
      <c r="F73" s="18" t="str">
        <f>IFERROR(__xludf.DUMMYFUNCTION("""COMPUTED_VALUE"""),"1 Steel")</f>
        <v>1 Steel</v>
      </c>
      <c r="G73" s="175">
        <f>IFERROR(__xludf.DUMMYFUNCTION("""COMPUTED_VALUE"""),5.0)</f>
        <v>5</v>
      </c>
      <c r="H73" s="18"/>
      <c r="I73" s="18">
        <f>IFERROR(__xludf.DUMMYFUNCTION("""COMPUTED_VALUE"""),25.0)</f>
        <v>25</v>
      </c>
      <c r="J73" s="18" t="str">
        <f>IFERROR(__xludf.DUMMYFUNCTION("""COMPUTED_VALUE"""),"Y")</f>
        <v>Y</v>
      </c>
      <c r="K73" s="18" t="str">
        <f>IFERROR(__xludf.DUMMYFUNCTION("""COMPUTED_VALUE"""),"Khazak-Dhur/Aelthar")</f>
        <v>Khazak-Dhur/Aelthar</v>
      </c>
      <c r="L73" s="18" t="str">
        <f>IFERROR(__xludf.DUMMYFUNCTION("""COMPUTED_VALUE"""),"1 Steel")</f>
        <v>1 Steel</v>
      </c>
      <c r="M73" s="18" t="str">
        <f>IFERROR(__xludf.DUMMYFUNCTION("""COMPUTED_VALUE"""),"1 gems")</f>
        <v>1 gems</v>
      </c>
      <c r="N73" s="18">
        <f>IFERROR(__xludf.DUMMYFUNCTION("""COMPUTED_VALUE"""),3.0)</f>
        <v>3</v>
      </c>
      <c r="O73" s="18"/>
    </row>
    <row r="74">
      <c r="B74" s="18">
        <f>IFERROR(__xludf.DUMMYFUNCTION("""COMPUTED_VALUE"""),2.0)</f>
        <v>2</v>
      </c>
      <c r="C74" s="18" t="str">
        <f>IFERROR(__xludf.DUMMYFUNCTION("""COMPUTED_VALUE"""),"Y")</f>
        <v>Y</v>
      </c>
      <c r="D74" s="18" t="str">
        <f>IFERROR(__xludf.DUMMYFUNCTION("""COMPUTED_VALUE"""),"Khazak-Dhur/Gnomergnan")</f>
        <v>Khazak-Dhur/Gnomergnan</v>
      </c>
      <c r="E74" s="18" t="str">
        <f>IFERROR(__xludf.DUMMYFUNCTION("""COMPUTED_VALUE"""),"1 Diamonds")</f>
        <v>1 Diamonds</v>
      </c>
      <c r="F74" s="18" t="str">
        <f>IFERROR(__xludf.DUMMYFUNCTION("""COMPUTED_VALUE"""),"1 Orichalcum")</f>
        <v>1 Orichalcum</v>
      </c>
      <c r="G74" s="175">
        <f>IFERROR(__xludf.DUMMYFUNCTION("""COMPUTED_VALUE"""),3.5)</f>
        <v>3.5</v>
      </c>
      <c r="H74" s="18" t="str">
        <f>IFERROR(__xludf.DUMMYFUNCTION("""COMPUTED_VALUE"""),"Defended")</f>
        <v>Defended</v>
      </c>
      <c r="I74" s="18">
        <f>IFERROR(__xludf.DUMMYFUNCTION("""COMPUTED_VALUE"""),2.0)</f>
        <v>2</v>
      </c>
      <c r="J74" s="18" t="str">
        <f>IFERROR(__xludf.DUMMYFUNCTION("""COMPUTED_VALUE"""),"Y")</f>
        <v>Y</v>
      </c>
      <c r="K74" s="18" t="str">
        <f>IFERROR(__xludf.DUMMYFUNCTION("""COMPUTED_VALUE"""),"Khazak-Dhur/Gnomergnan")</f>
        <v>Khazak-Dhur/Gnomergnan</v>
      </c>
      <c r="L74" s="18" t="str">
        <f>IFERROR(__xludf.DUMMYFUNCTION("""COMPUTED_VALUE"""),"1 Orichalcum")</f>
        <v>1 Orichalcum</v>
      </c>
      <c r="M74" s="18" t="str">
        <f>IFERROR(__xludf.DUMMYFUNCTION("""COMPUTED_VALUE"""),"1 Diamonds")</f>
        <v>1 Diamonds</v>
      </c>
      <c r="N74" s="18">
        <f>IFERROR(__xludf.DUMMYFUNCTION("""COMPUTED_VALUE"""),2.0)</f>
        <v>2</v>
      </c>
      <c r="O74" s="18" t="str">
        <f>IFERROR(__xludf.DUMMYFUNCTION("""COMPUTED_VALUE"""),"Defended")</f>
        <v>Defended</v>
      </c>
    </row>
    <row r="75">
      <c r="B75" s="18">
        <f>IFERROR(__xludf.DUMMYFUNCTION("""COMPUTED_VALUE"""),26.0)</f>
        <v>26</v>
      </c>
      <c r="C75" s="18" t="str">
        <f>IFERROR(__xludf.DUMMYFUNCTION("""COMPUTED_VALUE"""),"Y")</f>
        <v>Y</v>
      </c>
      <c r="D75" s="18" t="str">
        <f>IFERROR(__xludf.DUMMYFUNCTION("""COMPUTED_VALUE"""),"Levain/Lycaeum")</f>
        <v>Levain/Lycaeum</v>
      </c>
      <c r="E75" s="18" t="str">
        <f>IFERROR(__xludf.DUMMYFUNCTION("""COMPUTED_VALUE"""),"1 Honey")</f>
        <v>1 Honey</v>
      </c>
      <c r="F75" s="18" t="str">
        <f>IFERROR(__xludf.DUMMYFUNCTION("""COMPUTED_VALUE"""),"1 Direcrops")</f>
        <v>1 Direcrops</v>
      </c>
      <c r="G75" s="175">
        <f>IFERROR(__xludf.DUMMYFUNCTION("""COMPUTED_VALUE"""),5.5)</f>
        <v>5.5</v>
      </c>
      <c r="H75" s="18"/>
      <c r="I75" s="18">
        <f>IFERROR(__xludf.DUMMYFUNCTION("""COMPUTED_VALUE"""),26.0)</f>
        <v>26</v>
      </c>
      <c r="J75" s="18" t="str">
        <f>IFERROR(__xludf.DUMMYFUNCTION("""COMPUTED_VALUE"""),"Y")</f>
        <v>Y</v>
      </c>
      <c r="K75" s="18" t="str">
        <f>IFERROR(__xludf.DUMMYFUNCTION("""COMPUTED_VALUE"""),"Levain/Lycaeum")</f>
        <v>Levain/Lycaeum</v>
      </c>
      <c r="L75" s="18" t="str">
        <f>IFERROR(__xludf.DUMMYFUNCTION("""COMPUTED_VALUE"""),"1 Direcrops")</f>
        <v>1 Direcrops</v>
      </c>
      <c r="M75" s="18" t="str">
        <f>IFERROR(__xludf.DUMMYFUNCTION("""COMPUTED_VALUE"""),"1 Honey")</f>
        <v>1 Honey</v>
      </c>
      <c r="N75" s="18">
        <f>IFERROR(__xludf.DUMMYFUNCTION("""COMPUTED_VALUE"""),2.0)</f>
        <v>2</v>
      </c>
      <c r="O75" s="18"/>
    </row>
    <row r="76">
      <c r="B76" s="18">
        <f>IFERROR(__xludf.DUMMYFUNCTION("""COMPUTED_VALUE"""),9.0)</f>
        <v>9</v>
      </c>
      <c r="C76" s="18" t="str">
        <f>IFERROR(__xludf.DUMMYFUNCTION("""COMPUTED_VALUE"""),"Y")</f>
        <v>Y</v>
      </c>
      <c r="D76" s="18" t="str">
        <f>IFERROR(__xludf.DUMMYFUNCTION("""COMPUTED_VALUE"""),"Levain/Kenhall")</f>
        <v>Levain/Kenhall</v>
      </c>
      <c r="E76" s="18" t="str">
        <f>IFERROR(__xludf.DUMMYFUNCTION("""COMPUTED_VALUE"""),"1 Baubles")</f>
        <v>1 Baubles</v>
      </c>
      <c r="F76" s="18" t="str">
        <f>IFERROR(__xludf.DUMMYFUNCTION("""COMPUTED_VALUE"""),"1 Direcrops")</f>
        <v>1 Direcrops</v>
      </c>
      <c r="G76" s="175">
        <f>IFERROR(__xludf.DUMMYFUNCTION("""COMPUTED_VALUE"""),3.5)</f>
        <v>3.5</v>
      </c>
      <c r="H76" s="18"/>
      <c r="I76" s="18">
        <f>IFERROR(__xludf.DUMMYFUNCTION("""COMPUTED_VALUE"""),9.0)</f>
        <v>9</v>
      </c>
      <c r="J76" s="18" t="str">
        <f>IFERROR(__xludf.DUMMYFUNCTION("""COMPUTED_VALUE"""),"Y")</f>
        <v>Y</v>
      </c>
      <c r="K76" s="18" t="str">
        <f>IFERROR(__xludf.DUMMYFUNCTION("""COMPUTED_VALUE"""),"Levain/Kenhall")</f>
        <v>Levain/Kenhall</v>
      </c>
      <c r="L76" s="18" t="str">
        <f>IFERROR(__xludf.DUMMYFUNCTION("""COMPUTED_VALUE"""),"1 Direcrops")</f>
        <v>1 Direcrops</v>
      </c>
      <c r="M76" s="18" t="str">
        <f>IFERROR(__xludf.DUMMYFUNCTION("""COMPUTED_VALUE"""),"1 Baubles")</f>
        <v>1 Baubles</v>
      </c>
      <c r="N76" s="18">
        <f>IFERROR(__xludf.DUMMYFUNCTION("""COMPUTED_VALUE"""),2.0)</f>
        <v>2</v>
      </c>
      <c r="O76" s="18"/>
    </row>
    <row r="77">
      <c r="B77" s="18">
        <f>IFERROR(__xludf.DUMMYFUNCTION("""COMPUTED_VALUE"""),19.0)</f>
        <v>19</v>
      </c>
      <c r="C77" s="18" t="str">
        <f>IFERROR(__xludf.DUMMYFUNCTION("""COMPUTED_VALUE"""),"Y")</f>
        <v>Y</v>
      </c>
      <c r="D77" s="18" t="str">
        <f>IFERROR(__xludf.DUMMYFUNCTION("""COMPUTED_VALUE"""),"Levain/Karis")</f>
        <v>Levain/Karis</v>
      </c>
      <c r="E77" s="18" t="str">
        <f>IFERROR(__xludf.DUMMYFUNCTION("""COMPUTED_VALUE"""),"2g")</f>
        <v>2g</v>
      </c>
      <c r="F77" s="18" t="str">
        <f>IFERROR(__xludf.DUMMYFUNCTION("""COMPUTED_VALUE"""),"Residuum")</f>
        <v>Residuum</v>
      </c>
      <c r="G77" s="175">
        <f>IFERROR(__xludf.DUMMYFUNCTION("""COMPUTED_VALUE"""),1.8461538461538463)</f>
        <v>1.846153846</v>
      </c>
      <c r="H77" s="18" t="str">
        <f>IFERROR(__xludf.DUMMYFUNCTION("""COMPUTED_VALUE"""),"Paused by Karis")</f>
        <v>Paused by Karis</v>
      </c>
      <c r="I77" s="18">
        <f>IFERROR(__xludf.DUMMYFUNCTION("""COMPUTED_VALUE"""),19.0)</f>
        <v>19</v>
      </c>
      <c r="J77" s="18" t="str">
        <f>IFERROR(__xludf.DUMMYFUNCTION("""COMPUTED_VALUE"""),"Y")</f>
        <v>Y</v>
      </c>
      <c r="K77" s="18" t="str">
        <f>IFERROR(__xludf.DUMMYFUNCTION("""COMPUTED_VALUE"""),"Levain/Karis")</f>
        <v>Levain/Karis</v>
      </c>
      <c r="L77" s="18" t="str">
        <f>IFERROR(__xludf.DUMMYFUNCTION("""COMPUTED_VALUE"""),"Residuum")</f>
        <v>Residuum</v>
      </c>
      <c r="M77" s="18" t="str">
        <f>IFERROR(__xludf.DUMMYFUNCTION("""COMPUTED_VALUE"""),"2g")</f>
        <v>2g</v>
      </c>
      <c r="N77" s="18">
        <f>IFERROR(__xludf.DUMMYFUNCTION("""COMPUTED_VALUE"""),3.0)</f>
        <v>3</v>
      </c>
      <c r="O77" s="18"/>
    </row>
    <row r="78">
      <c r="B78" s="18">
        <f>IFERROR(__xludf.DUMMYFUNCTION("""COMPUTED_VALUE"""),21.0)</f>
        <v>21</v>
      </c>
      <c r="C78" s="18" t="str">
        <f>IFERROR(__xludf.DUMMYFUNCTION("""COMPUTED_VALUE"""),"Y")</f>
        <v>Y</v>
      </c>
      <c r="D78" s="18" t="str">
        <f>IFERROR(__xludf.DUMMYFUNCTION("""COMPUTED_VALUE"""),"Levain/Ostwil")</f>
        <v>Levain/Ostwil</v>
      </c>
      <c r="E78" s="18" t="str">
        <f>IFERROR(__xludf.DUMMYFUNCTION("""COMPUTED_VALUE"""),"1 Spice")</f>
        <v>1 Spice</v>
      </c>
      <c r="F78" s="18" t="str">
        <f>IFERROR(__xludf.DUMMYFUNCTION("""COMPUTED_VALUE"""),"1 Glass")</f>
        <v>1 Glass</v>
      </c>
      <c r="G78" s="175">
        <f>IFERROR(__xludf.DUMMYFUNCTION("""COMPUTED_VALUE"""),3.2)</f>
        <v>3.2</v>
      </c>
      <c r="H78" s="18"/>
      <c r="I78" s="18">
        <f>IFERROR(__xludf.DUMMYFUNCTION("""COMPUTED_VALUE"""),21.0)</f>
        <v>21</v>
      </c>
      <c r="J78" s="18" t="str">
        <f>IFERROR(__xludf.DUMMYFUNCTION("""COMPUTED_VALUE"""),"Y")</f>
        <v>Y</v>
      </c>
      <c r="K78" s="18" t="str">
        <f>IFERROR(__xludf.DUMMYFUNCTION("""COMPUTED_VALUE"""),"Levain/Ostwil")</f>
        <v>Levain/Ostwil</v>
      </c>
      <c r="L78" s="18" t="str">
        <f>IFERROR(__xludf.DUMMYFUNCTION("""COMPUTED_VALUE"""),"1 Glass")</f>
        <v>1 Glass</v>
      </c>
      <c r="M78" s="18" t="str">
        <f>IFERROR(__xludf.DUMMYFUNCTION("""COMPUTED_VALUE"""),"1 Spice")</f>
        <v>1 Spice</v>
      </c>
      <c r="N78" s="18">
        <f>IFERROR(__xludf.DUMMYFUNCTION("""COMPUTED_VALUE"""),2.0)</f>
        <v>2</v>
      </c>
      <c r="O78" s="18"/>
    </row>
    <row r="79"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</row>
    <row r="80">
      <c r="B80" s="18">
        <f>IFERROR(__xludf.DUMMYFUNCTION("""COMPUTED_VALUE"""),25.0)</f>
        <v>25</v>
      </c>
      <c r="C80" s="18" t="str">
        <f>IFERROR(__xludf.DUMMYFUNCTION("""COMPUTED_VALUE"""),"Y")</f>
        <v>Y</v>
      </c>
      <c r="D80" s="18" t="str">
        <f>IFERROR(__xludf.DUMMYFUNCTION("""COMPUTED_VALUE"""),"Ostwil/Ashen'gar")</f>
        <v>Ostwil/Ashen'gar</v>
      </c>
      <c r="E80" s="18" t="str">
        <f>IFERROR(__xludf.DUMMYFUNCTION("""COMPUTED_VALUE"""),"1 Greenwood")</f>
        <v>1 Greenwood</v>
      </c>
      <c r="F80" s="18" t="str">
        <f>IFERROR(__xludf.DUMMYFUNCTION("""COMPUTED_VALUE"""),"1 Marble")</f>
        <v>1 Marble</v>
      </c>
      <c r="G80" s="175">
        <f>IFERROR(__xludf.DUMMYFUNCTION("""COMPUTED_VALUE"""),9.5)</f>
        <v>9.5</v>
      </c>
      <c r="H80" s="18" t="str">
        <f>IFERROR(__xludf.DUMMYFUNCTION("""COMPUTED_VALUE"""),"Defended")</f>
        <v>Defended</v>
      </c>
      <c r="I80" s="18">
        <f>IFERROR(__xludf.DUMMYFUNCTION("""COMPUTED_VALUE"""),25.0)</f>
        <v>25</v>
      </c>
      <c r="J80" s="18" t="str">
        <f>IFERROR(__xludf.DUMMYFUNCTION("""COMPUTED_VALUE"""),"Y")</f>
        <v>Y</v>
      </c>
      <c r="K80" s="18" t="str">
        <f>IFERROR(__xludf.DUMMYFUNCTION("""COMPUTED_VALUE"""),"Ostwil/Ashen'gar")</f>
        <v>Ostwil/Ashen'gar</v>
      </c>
      <c r="L80" s="18" t="str">
        <f>IFERROR(__xludf.DUMMYFUNCTION("""COMPUTED_VALUE"""),"1 Marble")</f>
        <v>1 Marble</v>
      </c>
      <c r="M80" s="18" t="str">
        <f>IFERROR(__xludf.DUMMYFUNCTION("""COMPUTED_VALUE"""),"1 Greenwood")</f>
        <v>1 Greenwood</v>
      </c>
      <c r="N80" s="18">
        <f>IFERROR(__xludf.DUMMYFUNCTION("""COMPUTED_VALUE"""),2.0)</f>
        <v>2</v>
      </c>
      <c r="O80" s="18" t="str">
        <f>IFERROR(__xludf.DUMMYFUNCTION("""COMPUTED_VALUE"""),"Defended")</f>
        <v>Defended</v>
      </c>
    </row>
    <row r="81">
      <c r="B81" s="18">
        <f>IFERROR(__xludf.DUMMYFUNCTION("""COMPUTED_VALUE"""),12.0)</f>
        <v>12</v>
      </c>
      <c r="C81" s="18" t="str">
        <f>IFERROR(__xludf.DUMMYFUNCTION("""COMPUTED_VALUE"""),"Y")</f>
        <v>Y</v>
      </c>
      <c r="D81" s="18" t="str">
        <f>IFERROR(__xludf.DUMMYFUNCTION("""COMPUTED_VALUE"""),"Ostwil/Voresh")</f>
        <v>Ostwil/Voresh</v>
      </c>
      <c r="E81" s="18" t="str">
        <f>IFERROR(__xludf.DUMMYFUNCTION("""COMPUTED_VALUE"""),"2g")</f>
        <v>2g</v>
      </c>
      <c r="F81" s="18" t="str">
        <f>IFERROR(__xludf.DUMMYFUNCTION("""COMPUTED_VALUE"""),"1 narcotics")</f>
        <v>1 narcotics</v>
      </c>
      <c r="G81" s="175">
        <f>IFERROR(__xludf.DUMMYFUNCTION("""COMPUTED_VALUE"""),2.5)</f>
        <v>2.5</v>
      </c>
      <c r="H81" s="18"/>
      <c r="I81" s="18">
        <f>IFERROR(__xludf.DUMMYFUNCTION("""COMPUTED_VALUE"""),12.0)</f>
        <v>12</v>
      </c>
      <c r="J81" s="18" t="str">
        <f>IFERROR(__xludf.DUMMYFUNCTION("""COMPUTED_VALUE"""),"Y")</f>
        <v>Y</v>
      </c>
      <c r="K81" s="18" t="str">
        <f>IFERROR(__xludf.DUMMYFUNCTION("""COMPUTED_VALUE"""),"Ostwil/Voresh")</f>
        <v>Ostwil/Voresh</v>
      </c>
      <c r="L81" s="18" t="str">
        <f>IFERROR(__xludf.DUMMYFUNCTION("""COMPUTED_VALUE"""),"1 narcotics")</f>
        <v>1 narcotics</v>
      </c>
      <c r="M81" s="18" t="str">
        <f>IFERROR(__xludf.DUMMYFUNCTION("""COMPUTED_VALUE"""),"2g")</f>
        <v>2g</v>
      </c>
      <c r="N81" s="18">
        <f>IFERROR(__xludf.DUMMYFUNCTION("""COMPUTED_VALUE"""),4.0)</f>
        <v>4</v>
      </c>
      <c r="O81" s="18"/>
    </row>
    <row r="82">
      <c r="B82" s="18">
        <f>IFERROR(__xludf.DUMMYFUNCTION("""COMPUTED_VALUE"""),7.0)</f>
        <v>7</v>
      </c>
      <c r="C82" s="18" t="str">
        <f>IFERROR(__xludf.DUMMYFUNCTION("""COMPUTED_VALUE"""),"Y")</f>
        <v>Y</v>
      </c>
      <c r="D82" s="18" t="str">
        <f>IFERROR(__xludf.DUMMYFUNCTION("""COMPUTED_VALUE"""),"Ostwil/Ti'Vashni")</f>
        <v>Ostwil/Ti'Vashni</v>
      </c>
      <c r="E82" s="18"/>
      <c r="F82" s="18"/>
      <c r="G82" s="18"/>
      <c r="H82" s="18" t="str">
        <f>IFERROR(__xludf.DUMMYFUNCTION("""COMPUTED_VALUE"""),"Defended 9 Extra HP,  paused by Ti'Vashni")</f>
        <v>Defended 9 Extra HP,  paused by Ti'Vashni</v>
      </c>
      <c r="I82" s="18">
        <f>IFERROR(__xludf.DUMMYFUNCTION("""COMPUTED_VALUE"""),7.0)</f>
        <v>7</v>
      </c>
      <c r="J82" s="18" t="str">
        <f>IFERROR(__xludf.DUMMYFUNCTION("""COMPUTED_VALUE"""),"Y")</f>
        <v>Y</v>
      </c>
      <c r="K82" s="18" t="str">
        <f>IFERROR(__xludf.DUMMYFUNCTION("""COMPUTED_VALUE"""),"Ostwil/Ti'Vashni")</f>
        <v>Ostwil/Ti'Vashni</v>
      </c>
      <c r="L82" s="18"/>
      <c r="M82" s="18"/>
      <c r="N82" s="18"/>
      <c r="O82" s="18" t="str">
        <f>IFERROR(__xludf.DUMMYFUNCTION("""COMPUTED_VALUE"""),"Defended 9 Extra HP,  paused by Ti'Vashni")</f>
        <v>Defended 9 Extra HP,  paused by Ti'Vashni</v>
      </c>
    </row>
    <row r="83">
      <c r="B83" s="18">
        <f>IFERROR(__xludf.DUMMYFUNCTION("""COMPUTED_VALUE"""),9.0)</f>
        <v>9</v>
      </c>
      <c r="C83" s="18" t="str">
        <f>IFERROR(__xludf.DUMMYFUNCTION("""COMPUTED_VALUE"""),"Y")</f>
        <v>Y</v>
      </c>
      <c r="D83" s="18" t="str">
        <f>IFERROR(__xludf.DUMMYFUNCTION("""COMPUTED_VALUE"""),"Plane of Water/Tanaf")</f>
        <v>Plane of Water/Tanaf</v>
      </c>
      <c r="E83" s="18" t="str">
        <f>IFERROR(__xludf.DUMMYFUNCTION("""COMPUTED_VALUE"""),"1 Seafood, 2g")</f>
        <v>1 Seafood, 2g</v>
      </c>
      <c r="F83" s="18" t="str">
        <f>IFERROR(__xludf.DUMMYFUNCTION("""COMPUTED_VALUE"""),"1 glass")</f>
        <v>1 glass</v>
      </c>
      <c r="G83" s="175">
        <f>IFERROR(__xludf.DUMMYFUNCTION("""COMPUTED_VALUE"""),0.0)</f>
        <v>0</v>
      </c>
      <c r="H83" s="18"/>
      <c r="I83" s="18">
        <f>IFERROR(__xludf.DUMMYFUNCTION("""COMPUTED_VALUE"""),9.0)</f>
        <v>9</v>
      </c>
      <c r="J83" s="18" t="str">
        <f>IFERROR(__xludf.DUMMYFUNCTION("""COMPUTED_VALUE"""),"Y")</f>
        <v>Y</v>
      </c>
      <c r="K83" s="18" t="str">
        <f>IFERROR(__xludf.DUMMYFUNCTION("""COMPUTED_VALUE"""),"Plane of Water/Tanaf")</f>
        <v>Plane of Water/Tanaf</v>
      </c>
      <c r="L83" s="18" t="str">
        <f>IFERROR(__xludf.DUMMYFUNCTION("""COMPUTED_VALUE"""),"1 glass")</f>
        <v>1 glass</v>
      </c>
      <c r="M83" s="18" t="str">
        <f>IFERROR(__xludf.DUMMYFUNCTION("""COMPUTED_VALUE"""),"1 Seafood, 2g")</f>
        <v>1 Seafood, 2g</v>
      </c>
      <c r="N83" s="18">
        <f>IFERROR(__xludf.DUMMYFUNCTION("""COMPUTED_VALUE"""),4.0)</f>
        <v>4</v>
      </c>
      <c r="O83" s="18" t="str">
        <f>IFERROR(__xludf.DUMMYFUNCTION("""COMPUTED_VALUE"""),"Damaged 8/10")</f>
        <v>Damaged 8/10</v>
      </c>
    </row>
    <row r="84">
      <c r="B84" s="18">
        <f>IFERROR(__xludf.DUMMYFUNCTION("""COMPUTED_VALUE"""),3.0)</f>
        <v>3</v>
      </c>
      <c r="C84" s="18" t="str">
        <f>IFERROR(__xludf.DUMMYFUNCTION("""COMPUTED_VALUE"""),"Y")</f>
        <v>Y</v>
      </c>
      <c r="D84" s="18" t="str">
        <f>IFERROR(__xludf.DUMMYFUNCTION("""COMPUTED_VALUE"""),"Prindar/Khazak-Dhur")</f>
        <v>Prindar/Khazak-Dhur</v>
      </c>
      <c r="E84" s="18" t="str">
        <f>IFERROR(__xludf.DUMMYFUNCTION("""COMPUTED_VALUE"""),"1 Medicine, 1 Pearl, 2g")</f>
        <v>1 Medicine, 1 Pearl, 2g</v>
      </c>
      <c r="F84" s="18" t="str">
        <f>IFERROR(__xludf.DUMMYFUNCTION("""COMPUTED_VALUE"""),"1 diamond, 1 coal")</f>
        <v>1 diamond, 1 coal</v>
      </c>
      <c r="G84" s="175">
        <f>IFERROR(__xludf.DUMMYFUNCTION("""COMPUTED_VALUE"""),3.5)</f>
        <v>3.5</v>
      </c>
      <c r="H84" s="18"/>
      <c r="I84" s="18">
        <f>IFERROR(__xludf.DUMMYFUNCTION("""COMPUTED_VALUE"""),3.0)</f>
        <v>3</v>
      </c>
      <c r="J84" s="18" t="str">
        <f>IFERROR(__xludf.DUMMYFUNCTION("""COMPUTED_VALUE"""),"Y")</f>
        <v>Y</v>
      </c>
      <c r="K84" s="18" t="str">
        <f>IFERROR(__xludf.DUMMYFUNCTION("""COMPUTED_VALUE"""),"Prindar/Khazak-Dhur")</f>
        <v>Prindar/Khazak-Dhur</v>
      </c>
      <c r="L84" s="18" t="str">
        <f>IFERROR(__xludf.DUMMYFUNCTION("""COMPUTED_VALUE"""),"1 diamond, 1 coal")</f>
        <v>1 diamond, 1 coal</v>
      </c>
      <c r="M84" s="18" t="str">
        <f>IFERROR(__xludf.DUMMYFUNCTION("""COMPUTED_VALUE"""),"1 Medicine, 1 Pearl, 2g")</f>
        <v>1 Medicine, 1 Pearl, 2g</v>
      </c>
      <c r="N84" s="18">
        <f>IFERROR(__xludf.DUMMYFUNCTION("""COMPUTED_VALUE"""),4.0)</f>
        <v>4</v>
      </c>
      <c r="O84" s="18"/>
    </row>
    <row r="85">
      <c r="B85" s="18">
        <f>IFERROR(__xludf.DUMMYFUNCTION("""COMPUTED_VALUE"""),14.0)</f>
        <v>14</v>
      </c>
      <c r="C85" s="18" t="str">
        <f>IFERROR(__xludf.DUMMYFUNCTION("""COMPUTED_VALUE"""),"Y")</f>
        <v>Y</v>
      </c>
      <c r="D85" s="18" t="str">
        <f>IFERROR(__xludf.DUMMYFUNCTION("""COMPUTED_VALUE"""),"Prindar/Rohevan")</f>
        <v>Prindar/Rohevan</v>
      </c>
      <c r="E85" s="18" t="str">
        <f>IFERROR(__xludf.DUMMYFUNCTION("""COMPUTED_VALUE"""),"1 Bloodstone")</f>
        <v>1 Bloodstone</v>
      </c>
      <c r="F85" s="18" t="str">
        <f>IFERROR(__xludf.DUMMYFUNCTION("""COMPUTED_VALUE"""),"2g")</f>
        <v>2g</v>
      </c>
      <c r="G85" s="175">
        <f>IFERROR(__xludf.DUMMYFUNCTION("""COMPUTED_VALUE"""),6.5)</f>
        <v>6.5</v>
      </c>
      <c r="H85" s="18"/>
      <c r="I85" s="18">
        <f>IFERROR(__xludf.DUMMYFUNCTION("""COMPUTED_VALUE"""),14.0)</f>
        <v>14</v>
      </c>
      <c r="J85" s="18" t="str">
        <f>IFERROR(__xludf.DUMMYFUNCTION("""COMPUTED_VALUE"""),"Y")</f>
        <v>Y</v>
      </c>
      <c r="K85" s="18" t="str">
        <f>IFERROR(__xludf.DUMMYFUNCTION("""COMPUTED_VALUE"""),"Prindar/Rohevan")</f>
        <v>Prindar/Rohevan</v>
      </c>
      <c r="L85" s="18" t="str">
        <f>IFERROR(__xludf.DUMMYFUNCTION("""COMPUTED_VALUE"""),"2g")</f>
        <v>2g</v>
      </c>
      <c r="M85" s="18" t="str">
        <f>IFERROR(__xludf.DUMMYFUNCTION("""COMPUTED_VALUE"""),"1 Bloodstone")</f>
        <v>1 Bloodstone</v>
      </c>
      <c r="N85" s="18">
        <f>IFERROR(__xludf.DUMMYFUNCTION("""COMPUTED_VALUE"""),0.0)</f>
        <v>0</v>
      </c>
      <c r="O85" s="18"/>
    </row>
    <row r="86">
      <c r="B86" s="18">
        <f>IFERROR(__xludf.DUMMYFUNCTION("""COMPUTED_VALUE"""),10.0)</f>
        <v>10</v>
      </c>
      <c r="C86" s="18" t="str">
        <f>IFERROR(__xludf.DUMMYFUNCTION("""COMPUTED_VALUE"""),"Y")</f>
        <v>Y</v>
      </c>
      <c r="D86" s="18" t="str">
        <f>IFERROR(__xludf.DUMMYFUNCTION("""COMPUTED_VALUE"""),"Rohevan/HPE")</f>
        <v>Rohevan/HPE</v>
      </c>
      <c r="E86" s="18" t="str">
        <f>IFERROR(__xludf.DUMMYFUNCTION("""COMPUTED_VALUE"""),"1 linite")</f>
        <v>1 linite</v>
      </c>
      <c r="F86" s="18" t="str">
        <f>IFERROR(__xludf.DUMMYFUNCTION("""COMPUTED_VALUE"""),"1 ironwood")</f>
        <v>1 ironwood</v>
      </c>
      <c r="G86" s="175">
        <f>IFERROR(__xludf.DUMMYFUNCTION("""COMPUTED_VALUE"""),2.0)</f>
        <v>2</v>
      </c>
      <c r="H86" s="18"/>
      <c r="I86" s="18">
        <f>IFERROR(__xludf.DUMMYFUNCTION("""COMPUTED_VALUE"""),10.0)</f>
        <v>10</v>
      </c>
      <c r="J86" s="18" t="str">
        <f>IFERROR(__xludf.DUMMYFUNCTION("""COMPUTED_VALUE"""),"Y")</f>
        <v>Y</v>
      </c>
      <c r="K86" s="18" t="str">
        <f>IFERROR(__xludf.DUMMYFUNCTION("""COMPUTED_VALUE"""),"Rohevan/HPE")</f>
        <v>Rohevan/HPE</v>
      </c>
      <c r="L86" s="18" t="str">
        <f>IFERROR(__xludf.DUMMYFUNCTION("""COMPUTED_VALUE"""),"1 ironwood")</f>
        <v>1 ironwood</v>
      </c>
      <c r="M86" s="18" t="str">
        <f>IFERROR(__xludf.DUMMYFUNCTION("""COMPUTED_VALUE"""),"1 linite")</f>
        <v>1 linite</v>
      </c>
      <c r="N86" s="18">
        <f>IFERROR(__xludf.DUMMYFUNCTION("""COMPUTED_VALUE"""),2.0)</f>
        <v>2</v>
      </c>
      <c r="O86" s="18"/>
    </row>
    <row r="87">
      <c r="B87" s="18">
        <f>IFERROR(__xludf.DUMMYFUNCTION("""COMPUTED_VALUE"""),29.0)</f>
        <v>29</v>
      </c>
      <c r="C87" s="18" t="str">
        <f>IFERROR(__xludf.DUMMYFUNCTION("""COMPUTED_VALUE"""),"Y")</f>
        <v>Y</v>
      </c>
      <c r="D87" s="18" t="str">
        <f>IFERROR(__xludf.DUMMYFUNCTION("""COMPUTED_VALUE"""),"Rohevan/Primean Papal States")</f>
        <v>Rohevan/Primean Papal States</v>
      </c>
      <c r="E87" s="18" t="str">
        <f>IFERROR(__xludf.DUMMYFUNCTION("""COMPUTED_VALUE"""),"1 seafood")</f>
        <v>1 seafood</v>
      </c>
      <c r="F87" s="18" t="str">
        <f>IFERROR(__xludf.DUMMYFUNCTION("""COMPUTED_VALUE"""),"1g")</f>
        <v>1g</v>
      </c>
      <c r="G87" s="175">
        <f>IFERROR(__xludf.DUMMYFUNCTION("""COMPUTED_VALUE"""),4.6)</f>
        <v>4.6</v>
      </c>
      <c r="H87" s="18"/>
      <c r="I87" s="18">
        <f>IFERROR(__xludf.DUMMYFUNCTION("""COMPUTED_VALUE"""),29.0)</f>
        <v>29</v>
      </c>
      <c r="J87" s="18" t="str">
        <f>IFERROR(__xludf.DUMMYFUNCTION("""COMPUTED_VALUE"""),"Y")</f>
        <v>Y</v>
      </c>
      <c r="K87" s="18" t="str">
        <f>IFERROR(__xludf.DUMMYFUNCTION("""COMPUTED_VALUE"""),"Rohevan/Primean Papal States")</f>
        <v>Rohevan/Primean Papal States</v>
      </c>
      <c r="L87" s="18" t="str">
        <f>IFERROR(__xludf.DUMMYFUNCTION("""COMPUTED_VALUE"""),"1g")</f>
        <v>1g</v>
      </c>
      <c r="M87" s="18" t="str">
        <f>IFERROR(__xludf.DUMMYFUNCTION("""COMPUTED_VALUE"""),"1 seafood")</f>
        <v>1 seafood</v>
      </c>
      <c r="N87" s="18">
        <f>IFERROR(__xludf.DUMMYFUNCTION("""COMPUTED_VALUE"""),1.0)</f>
        <v>1</v>
      </c>
      <c r="O87" s="18"/>
    </row>
    <row r="88">
      <c r="B88" s="18">
        <f>IFERROR(__xludf.DUMMYFUNCTION("""COMPUTED_VALUE"""),8.0)</f>
        <v>8</v>
      </c>
      <c r="C88" s="18" t="str">
        <f>IFERROR(__xludf.DUMMYFUNCTION("""COMPUTED_VALUE"""),"Y")</f>
        <v>Y</v>
      </c>
      <c r="D88" s="18" t="str">
        <f>IFERROR(__xludf.DUMMYFUNCTION("""COMPUTED_VALUE"""),"Rohevan/Alaria")</f>
        <v>Rohevan/Alaria</v>
      </c>
      <c r="E88" s="18" t="str">
        <f>IFERROR(__xludf.DUMMYFUNCTION("""COMPUTED_VALUE"""),"1 wax")</f>
        <v>1 wax</v>
      </c>
      <c r="F88" s="18" t="str">
        <f>IFERROR(__xludf.DUMMYFUNCTION("""COMPUTED_VALUE"""),"1g")</f>
        <v>1g</v>
      </c>
      <c r="G88" s="175">
        <f>IFERROR(__xludf.DUMMYFUNCTION("""COMPUTED_VALUE"""),4.0)</f>
        <v>4</v>
      </c>
      <c r="H88" s="18"/>
      <c r="I88" s="18">
        <f>IFERROR(__xludf.DUMMYFUNCTION("""COMPUTED_VALUE"""),8.0)</f>
        <v>8</v>
      </c>
      <c r="J88" s="18" t="str">
        <f>IFERROR(__xludf.DUMMYFUNCTION("""COMPUTED_VALUE"""),"Y")</f>
        <v>Y</v>
      </c>
      <c r="K88" s="18" t="str">
        <f>IFERROR(__xludf.DUMMYFUNCTION("""COMPUTED_VALUE"""),"Rohevan/Alaria")</f>
        <v>Rohevan/Alaria</v>
      </c>
      <c r="L88" s="18" t="str">
        <f>IFERROR(__xludf.DUMMYFUNCTION("""COMPUTED_VALUE"""),"1g")</f>
        <v>1g</v>
      </c>
      <c r="M88" s="18" t="str">
        <f>IFERROR(__xludf.DUMMYFUNCTION("""COMPUTED_VALUE"""),"1 wax")</f>
        <v>1 wax</v>
      </c>
      <c r="N88" s="18">
        <f>IFERROR(__xludf.DUMMYFUNCTION("""COMPUTED_VALUE"""),1.0)</f>
        <v>1</v>
      </c>
      <c r="O88" s="18"/>
    </row>
    <row r="89">
      <c r="B89" s="18">
        <f>IFERROR(__xludf.DUMMYFUNCTION("""COMPUTED_VALUE"""),13.0)</f>
        <v>13</v>
      </c>
      <c r="C89" s="18" t="str">
        <f>IFERROR(__xludf.DUMMYFUNCTION("""COMPUTED_VALUE"""),"Y")</f>
        <v>Y</v>
      </c>
      <c r="D89" s="18" t="str">
        <f>IFERROR(__xludf.DUMMYFUNCTION("""COMPUTED_VALUE"""),"Rohevan/Malim")</f>
        <v>Rohevan/Malim</v>
      </c>
      <c r="E89" s="18" t="str">
        <f>IFERROR(__xludf.DUMMYFUNCTION("""COMPUTED_VALUE"""),"2g")</f>
        <v>2g</v>
      </c>
      <c r="F89" s="18" t="str">
        <f>IFERROR(__xludf.DUMMYFUNCTION("""COMPUTED_VALUE"""),"1 Dyes")</f>
        <v>1 Dyes</v>
      </c>
      <c r="G89" s="175">
        <f>IFERROR(__xludf.DUMMYFUNCTION("""COMPUTED_VALUE"""),0.5)</f>
        <v>0.5</v>
      </c>
      <c r="H89" s="18"/>
      <c r="I89" s="18">
        <f>IFERROR(__xludf.DUMMYFUNCTION("""COMPUTED_VALUE"""),13.0)</f>
        <v>13</v>
      </c>
      <c r="J89" s="18" t="str">
        <f>IFERROR(__xludf.DUMMYFUNCTION("""COMPUTED_VALUE"""),"Y")</f>
        <v>Y</v>
      </c>
      <c r="K89" s="18" t="str">
        <f>IFERROR(__xludf.DUMMYFUNCTION("""COMPUTED_VALUE"""),"Rohevan/Malim")</f>
        <v>Rohevan/Malim</v>
      </c>
      <c r="L89" s="18" t="str">
        <f>IFERROR(__xludf.DUMMYFUNCTION("""COMPUTED_VALUE"""),"1 Dyes")</f>
        <v>1 Dyes</v>
      </c>
      <c r="M89" s="18" t="str">
        <f>IFERROR(__xludf.DUMMYFUNCTION("""COMPUTED_VALUE"""),"2g")</f>
        <v>2g</v>
      </c>
      <c r="N89" s="18">
        <f>IFERROR(__xludf.DUMMYFUNCTION("""COMPUTED_VALUE"""),4.0)</f>
        <v>4</v>
      </c>
      <c r="O89" s="18"/>
    </row>
    <row r="90">
      <c r="B90" s="18">
        <f>IFERROR(__xludf.DUMMYFUNCTION("""COMPUTED_VALUE"""),26.0)</f>
        <v>26</v>
      </c>
      <c r="C90" s="18" t="str">
        <f>IFERROR(__xludf.DUMMYFUNCTION("""COMPUTED_VALUE"""),"Y")</f>
        <v>Y</v>
      </c>
      <c r="D90" s="18" t="str">
        <f>IFERROR(__xludf.DUMMYFUNCTION("""COMPUTED_VALUE"""),"Seldur/Aelthar")</f>
        <v>Seldur/Aelthar</v>
      </c>
      <c r="E90" s="18" t="str">
        <f>IFERROR(__xludf.DUMMYFUNCTION("""COMPUTED_VALUE"""),"1 Deathstone")</f>
        <v>1 Deathstone</v>
      </c>
      <c r="F90" s="18" t="str">
        <f>IFERROR(__xludf.DUMMYFUNCTION("""COMPUTED_VALUE"""),"1 Residuum")</f>
        <v>1 Residuum</v>
      </c>
      <c r="G90" s="175">
        <f>IFERROR(__xludf.DUMMYFUNCTION("""COMPUTED_VALUE"""),7.767857142857142)</f>
        <v>7.767857143</v>
      </c>
      <c r="H90" s="18" t="str">
        <f>IFERROR(__xludf.DUMMYFUNCTION("""COMPUTED_VALUE"""),"Hidden")</f>
        <v>Hidden</v>
      </c>
      <c r="I90" s="18">
        <f>IFERROR(__xludf.DUMMYFUNCTION("""COMPUTED_VALUE"""),26.0)</f>
        <v>26</v>
      </c>
      <c r="J90" s="18" t="str">
        <f>IFERROR(__xludf.DUMMYFUNCTION("""COMPUTED_VALUE"""),"Y")</f>
        <v>Y</v>
      </c>
      <c r="K90" s="18" t="str">
        <f>IFERROR(__xludf.DUMMYFUNCTION("""COMPUTED_VALUE"""),"Seldur/Aelthar")</f>
        <v>Seldur/Aelthar</v>
      </c>
      <c r="L90" s="18" t="str">
        <f>IFERROR(__xludf.DUMMYFUNCTION("""COMPUTED_VALUE"""),"1 Residuum")</f>
        <v>1 Residuum</v>
      </c>
      <c r="M90" s="18" t="str">
        <f>IFERROR(__xludf.DUMMYFUNCTION("""COMPUTED_VALUE"""),"1 Deathstone")</f>
        <v>1 Deathstone</v>
      </c>
      <c r="N90" s="18">
        <f>IFERROR(__xludf.DUMMYFUNCTION("""COMPUTED_VALUE"""),3.0)</f>
        <v>3</v>
      </c>
      <c r="O90" s="18" t="str">
        <f>IFERROR(__xludf.DUMMYFUNCTION("""COMPUTED_VALUE"""),"Hidden")</f>
        <v>Hidden</v>
      </c>
    </row>
    <row r="91">
      <c r="B91" s="18">
        <f>IFERROR(__xludf.DUMMYFUNCTION("""COMPUTED_VALUE"""),4.0)</f>
        <v>4</v>
      </c>
      <c r="C91" s="18" t="str">
        <f>IFERROR(__xludf.DUMMYFUNCTION("""COMPUTED_VALUE"""),"Y")</f>
        <v>Y</v>
      </c>
      <c r="D91" s="18" t="str">
        <f>IFERROR(__xludf.DUMMYFUNCTION("""COMPUTED_VALUE"""),"Shai/Therendrim")</f>
        <v>Shai/Therendrim</v>
      </c>
      <c r="E91" s="18" t="str">
        <f>IFERROR(__xludf.DUMMYFUNCTION("""COMPUTED_VALUE"""),"1 Herbs")</f>
        <v>1 Herbs</v>
      </c>
      <c r="F91" s="18" t="str">
        <f>IFERROR(__xludf.DUMMYFUNCTION("""COMPUTED_VALUE"""),"1 Textiles")</f>
        <v>1 Textiles</v>
      </c>
      <c r="G91" s="175">
        <f>IFERROR(__xludf.DUMMYFUNCTION("""COMPUTED_VALUE"""),2.0)</f>
        <v>2</v>
      </c>
      <c r="H91" s="18"/>
      <c r="I91" s="18">
        <f>IFERROR(__xludf.DUMMYFUNCTION("""COMPUTED_VALUE"""),4.0)</f>
        <v>4</v>
      </c>
      <c r="J91" s="18" t="str">
        <f>IFERROR(__xludf.DUMMYFUNCTION("""COMPUTED_VALUE"""),"Y")</f>
        <v>Y</v>
      </c>
      <c r="K91" s="18" t="str">
        <f>IFERROR(__xludf.DUMMYFUNCTION("""COMPUTED_VALUE"""),"Shai/Therendrim")</f>
        <v>Shai/Therendrim</v>
      </c>
      <c r="L91" s="18" t="str">
        <f>IFERROR(__xludf.DUMMYFUNCTION("""COMPUTED_VALUE"""),"1 Textiles")</f>
        <v>1 Textiles</v>
      </c>
      <c r="M91" s="18" t="str">
        <f>IFERROR(__xludf.DUMMYFUNCTION("""COMPUTED_VALUE"""),"1 Herbs")</f>
        <v>1 Herbs</v>
      </c>
      <c r="N91" s="18">
        <f>IFERROR(__xludf.DUMMYFUNCTION("""COMPUTED_VALUE"""),2.0)</f>
        <v>2</v>
      </c>
      <c r="O91" s="18"/>
    </row>
    <row r="92">
      <c r="B92" s="18">
        <f>IFERROR(__xludf.DUMMYFUNCTION("""COMPUTED_VALUE"""),16.0)</f>
        <v>16</v>
      </c>
      <c r="C92" s="18" t="str">
        <f>IFERROR(__xludf.DUMMYFUNCTION("""COMPUTED_VALUE"""),"Y")</f>
        <v>Y</v>
      </c>
      <c r="D92" s="18" t="str">
        <f>IFERROR(__xludf.DUMMYFUNCTION("""COMPUTED_VALUE"""),"Shai/Aelthar")</f>
        <v>Shai/Aelthar</v>
      </c>
      <c r="E92" s="18" t="str">
        <f>IFERROR(__xludf.DUMMYFUNCTION("""COMPUTED_VALUE"""),"1 Fruit")</f>
        <v>1 Fruit</v>
      </c>
      <c r="F92" s="18" t="str">
        <f>IFERROR(__xludf.DUMMYFUNCTION("""COMPUTED_VALUE"""),"1 Fruit")</f>
        <v>1 Fruit</v>
      </c>
      <c r="G92" s="175">
        <f>IFERROR(__xludf.DUMMYFUNCTION("""COMPUTED_VALUE"""),2.0)</f>
        <v>2</v>
      </c>
      <c r="H92" s="18"/>
      <c r="I92" s="18">
        <f>IFERROR(__xludf.DUMMYFUNCTION("""COMPUTED_VALUE"""),16.0)</f>
        <v>16</v>
      </c>
      <c r="J92" s="18" t="str">
        <f>IFERROR(__xludf.DUMMYFUNCTION("""COMPUTED_VALUE"""),"Y")</f>
        <v>Y</v>
      </c>
      <c r="K92" s="18" t="str">
        <f>IFERROR(__xludf.DUMMYFUNCTION("""COMPUTED_VALUE"""),"Shai/Aelthar")</f>
        <v>Shai/Aelthar</v>
      </c>
      <c r="L92" s="18" t="str">
        <f>IFERROR(__xludf.DUMMYFUNCTION("""COMPUTED_VALUE"""),"1 Fruit")</f>
        <v>1 Fruit</v>
      </c>
      <c r="M92" s="18" t="str">
        <f>IFERROR(__xludf.DUMMYFUNCTION("""COMPUTED_VALUE"""),"1 Fruit")</f>
        <v>1 Fruit</v>
      </c>
      <c r="N92" s="18">
        <f>IFERROR(__xludf.DUMMYFUNCTION("""COMPUTED_VALUE"""),3.0)</f>
        <v>3</v>
      </c>
      <c r="O92" s="18"/>
    </row>
    <row r="93">
      <c r="B93" s="18">
        <f>IFERROR(__xludf.DUMMYFUNCTION("""COMPUTED_VALUE"""),20.0)</f>
        <v>20</v>
      </c>
      <c r="C93" s="18" t="str">
        <f>IFERROR(__xludf.DUMMYFUNCTION("""COMPUTED_VALUE"""),"Y")</f>
        <v>Y</v>
      </c>
      <c r="D93" s="18" t="str">
        <f>IFERROR(__xludf.DUMMYFUNCTION("""COMPUTED_VALUE"""),"Shai/Celistark")</f>
        <v>Shai/Celistark</v>
      </c>
      <c r="E93" s="18" t="str">
        <f>IFERROR(__xludf.DUMMYFUNCTION("""COMPUTED_VALUE"""),"1 Fish")</f>
        <v>1 Fish</v>
      </c>
      <c r="F93" s="18" t="str">
        <f>IFERROR(__xludf.DUMMYFUNCTION("""COMPUTED_VALUE"""),"1 Herbs")</f>
        <v>1 Herbs</v>
      </c>
      <c r="G93" s="175">
        <f>IFERROR(__xludf.DUMMYFUNCTION("""COMPUTED_VALUE"""),2.0)</f>
        <v>2</v>
      </c>
      <c r="H93" s="18"/>
      <c r="I93" s="18">
        <f>IFERROR(__xludf.DUMMYFUNCTION("""COMPUTED_VALUE"""),20.0)</f>
        <v>20</v>
      </c>
      <c r="J93" s="18" t="str">
        <f>IFERROR(__xludf.DUMMYFUNCTION("""COMPUTED_VALUE"""),"Y")</f>
        <v>Y</v>
      </c>
      <c r="K93" s="18" t="str">
        <f>IFERROR(__xludf.DUMMYFUNCTION("""COMPUTED_VALUE"""),"Shai/Celistark")</f>
        <v>Shai/Celistark</v>
      </c>
      <c r="L93" s="18" t="str">
        <f>IFERROR(__xludf.DUMMYFUNCTION("""COMPUTED_VALUE"""),"1 Herbs")</f>
        <v>1 Herbs</v>
      </c>
      <c r="M93" s="18" t="str">
        <f>IFERROR(__xludf.DUMMYFUNCTION("""COMPUTED_VALUE"""),"1 Fish")</f>
        <v>1 Fish</v>
      </c>
      <c r="N93" s="18">
        <f>IFERROR(__xludf.DUMMYFUNCTION("""COMPUTED_VALUE"""),2.0)</f>
        <v>2</v>
      </c>
      <c r="O93" s="18"/>
    </row>
    <row r="94">
      <c r="B94" s="18">
        <f>IFERROR(__xludf.DUMMYFUNCTION("""COMPUTED_VALUE"""),17.0)</f>
        <v>17</v>
      </c>
      <c r="C94" s="18" t="str">
        <f>IFERROR(__xludf.DUMMYFUNCTION("""COMPUTED_VALUE"""),"Y")</f>
        <v>Y</v>
      </c>
      <c r="D94" s="18" t="str">
        <f>IFERROR(__xludf.DUMMYFUNCTION("""COMPUTED_VALUE"""),"Shan/Korim")</f>
        <v>Shan/Korim</v>
      </c>
      <c r="E94" s="18" t="str">
        <f>IFERROR(__xludf.DUMMYFUNCTION("""COMPUTED_VALUE"""),"1 Ironwood")</f>
        <v>1 Ironwood</v>
      </c>
      <c r="F94" s="18" t="str">
        <f>IFERROR(__xludf.DUMMYFUNCTION("""COMPUTED_VALUE"""),"1g")</f>
        <v>1g</v>
      </c>
      <c r="G94" s="175">
        <f>IFERROR(__xludf.DUMMYFUNCTION("""COMPUTED_VALUE"""),3.0)</f>
        <v>3</v>
      </c>
      <c r="H94" s="18"/>
      <c r="I94" s="18">
        <f>IFERROR(__xludf.DUMMYFUNCTION("""COMPUTED_VALUE"""),17.0)</f>
        <v>17</v>
      </c>
      <c r="J94" s="18" t="str">
        <f>IFERROR(__xludf.DUMMYFUNCTION("""COMPUTED_VALUE"""),"Y")</f>
        <v>Y</v>
      </c>
      <c r="K94" s="18" t="str">
        <f>IFERROR(__xludf.DUMMYFUNCTION("""COMPUTED_VALUE"""),"Shan/Korim")</f>
        <v>Shan/Korim</v>
      </c>
      <c r="L94" s="18" t="str">
        <f>IFERROR(__xludf.DUMMYFUNCTION("""COMPUTED_VALUE"""),"1g")</f>
        <v>1g</v>
      </c>
      <c r="M94" s="18" t="str">
        <f>IFERROR(__xludf.DUMMYFUNCTION("""COMPUTED_VALUE"""),"1 Ironwood")</f>
        <v>1 Ironwood</v>
      </c>
      <c r="N94" s="18">
        <f>IFERROR(__xludf.DUMMYFUNCTION("""COMPUTED_VALUE"""),1.0)</f>
        <v>1</v>
      </c>
      <c r="O94" s="18"/>
    </row>
    <row r="95">
      <c r="B95" s="18">
        <f>IFERROR(__xludf.DUMMYFUNCTION("""COMPUTED_VALUE"""),27.0)</f>
        <v>27</v>
      </c>
      <c r="C95" s="18" t="str">
        <f>IFERROR(__xludf.DUMMYFUNCTION("""COMPUTED_VALUE"""),"Y")</f>
        <v>Y</v>
      </c>
      <c r="D95" s="18" t="str">
        <f>IFERROR(__xludf.DUMMYFUNCTION("""COMPUTED_VALUE"""),"Stildar/Lycaeum")</f>
        <v>Stildar/Lycaeum</v>
      </c>
      <c r="E95" s="18" t="str">
        <f>IFERROR(__xludf.DUMMYFUNCTION("""COMPUTED_VALUE"""),"1 Healing Potions")</f>
        <v>1 Healing Potions</v>
      </c>
      <c r="F95" s="18" t="str">
        <f>IFERROR(__xludf.DUMMYFUNCTION("""COMPUTED_VALUE"""),"1 Herbs")</f>
        <v>1 Herbs</v>
      </c>
      <c r="G95" s="175">
        <f>IFERROR(__xludf.DUMMYFUNCTION("""COMPUTED_VALUE"""),3.0)</f>
        <v>3</v>
      </c>
      <c r="H95" s="18"/>
      <c r="I95" s="18">
        <f>IFERROR(__xludf.DUMMYFUNCTION("""COMPUTED_VALUE"""),27.0)</f>
        <v>27</v>
      </c>
      <c r="J95" s="18" t="str">
        <f>IFERROR(__xludf.DUMMYFUNCTION("""COMPUTED_VALUE"""),"Y")</f>
        <v>Y</v>
      </c>
      <c r="K95" s="18" t="str">
        <f>IFERROR(__xludf.DUMMYFUNCTION("""COMPUTED_VALUE"""),"Stildar/Lycaeum")</f>
        <v>Stildar/Lycaeum</v>
      </c>
      <c r="L95" s="18" t="str">
        <f>IFERROR(__xludf.DUMMYFUNCTION("""COMPUTED_VALUE"""),"1 Herbs")</f>
        <v>1 Herbs</v>
      </c>
      <c r="M95" s="18" t="str">
        <f>IFERROR(__xludf.DUMMYFUNCTION("""COMPUTED_VALUE"""),"1 Healing Potions")</f>
        <v>1 Healing Potions</v>
      </c>
      <c r="N95" s="18">
        <f>IFERROR(__xludf.DUMMYFUNCTION("""COMPUTED_VALUE"""),2.0)</f>
        <v>2</v>
      </c>
      <c r="O95" s="18"/>
    </row>
    <row r="96">
      <c r="B96" s="18">
        <f>IFERROR(__xludf.DUMMYFUNCTION("""COMPUTED_VALUE"""),9.0)</f>
        <v>9</v>
      </c>
      <c r="C96" s="18" t="str">
        <f>IFERROR(__xludf.DUMMYFUNCTION("""COMPUTED_VALUE"""),"Y")</f>
        <v>Y</v>
      </c>
      <c r="D96" s="18" t="str">
        <f>IFERROR(__xludf.DUMMYFUNCTION("""COMPUTED_VALUE"""),"Stildar/Aelthar")</f>
        <v>Stildar/Aelthar</v>
      </c>
      <c r="E96" s="18" t="str">
        <f>IFERROR(__xludf.DUMMYFUNCTION("""COMPUTED_VALUE"""),"1 Herbs")</f>
        <v>1 Herbs</v>
      </c>
      <c r="F96" s="18" t="str">
        <f>IFERROR(__xludf.DUMMYFUNCTION("""COMPUTED_VALUE"""),"1g")</f>
        <v>1g</v>
      </c>
      <c r="G96" s="175">
        <f>IFERROR(__xludf.DUMMYFUNCTION("""COMPUTED_VALUE"""),3.5)</f>
        <v>3.5</v>
      </c>
      <c r="H96" s="18"/>
      <c r="I96" s="18">
        <f>IFERROR(__xludf.DUMMYFUNCTION("""COMPUTED_VALUE"""),9.0)</f>
        <v>9</v>
      </c>
      <c r="J96" s="18" t="str">
        <f>IFERROR(__xludf.DUMMYFUNCTION("""COMPUTED_VALUE"""),"Y")</f>
        <v>Y</v>
      </c>
      <c r="K96" s="18" t="str">
        <f>IFERROR(__xludf.DUMMYFUNCTION("""COMPUTED_VALUE"""),"Stildar/Aelthar")</f>
        <v>Stildar/Aelthar</v>
      </c>
      <c r="L96" s="18" t="str">
        <f>IFERROR(__xludf.DUMMYFUNCTION("""COMPUTED_VALUE"""),"1g")</f>
        <v>1g</v>
      </c>
      <c r="M96" s="18" t="str">
        <f>IFERROR(__xludf.DUMMYFUNCTION("""COMPUTED_VALUE"""),"1 Herbs")</f>
        <v>1 Herbs</v>
      </c>
      <c r="N96" s="18">
        <f>IFERROR(__xludf.DUMMYFUNCTION("""COMPUTED_VALUE"""),2.0)</f>
        <v>2</v>
      </c>
      <c r="O96" s="18"/>
    </row>
    <row r="97">
      <c r="B97" s="18">
        <f>IFERROR(__xludf.DUMMYFUNCTION("""COMPUTED_VALUE"""),34.0)</f>
        <v>34</v>
      </c>
      <c r="C97" s="18" t="str">
        <f>IFERROR(__xludf.DUMMYFUNCTION("""COMPUTED_VALUE"""),"N")</f>
        <v>N</v>
      </c>
      <c r="D97" s="18" t="str">
        <f>IFERROR(__xludf.DUMMYFUNCTION("""COMPUTED_VALUE"""),"Stildar/Plane of Water")</f>
        <v>Stildar/Plane of Water</v>
      </c>
      <c r="E97" s="18" t="str">
        <f>IFERROR(__xludf.DUMMYFUNCTION("""COMPUTED_VALUE"""),"1 Herbs, 1 Linite")</f>
        <v>1 Herbs, 1 Linite</v>
      </c>
      <c r="F97" s="18" t="str">
        <f>IFERROR(__xludf.DUMMYFUNCTION("""COMPUTED_VALUE"""),"1 Whales")</f>
        <v>1 Whales</v>
      </c>
      <c r="G97" s="175">
        <f>IFERROR(__xludf.DUMMYFUNCTION("""COMPUTED_VALUE"""),5.5)</f>
        <v>5.5</v>
      </c>
      <c r="H97" s="18"/>
      <c r="I97" s="18">
        <f>IFERROR(__xludf.DUMMYFUNCTION("""COMPUTED_VALUE"""),34.0)</f>
        <v>34</v>
      </c>
      <c r="J97" s="18" t="str">
        <f>IFERROR(__xludf.DUMMYFUNCTION("""COMPUTED_VALUE"""),"N")</f>
        <v>N</v>
      </c>
      <c r="K97" s="18" t="str">
        <f>IFERROR(__xludf.DUMMYFUNCTION("""COMPUTED_VALUE"""),"Stildar/Plane of Water")</f>
        <v>Stildar/Plane of Water</v>
      </c>
      <c r="L97" s="18" t="str">
        <f>IFERROR(__xludf.DUMMYFUNCTION("""COMPUTED_VALUE"""),"1 Whales")</f>
        <v>1 Whales</v>
      </c>
      <c r="M97" s="18" t="str">
        <f>IFERROR(__xludf.DUMMYFUNCTION("""COMPUTED_VALUE"""),"1 Herbs, 1 Linite")</f>
        <v>1 Herbs, 1 Linite</v>
      </c>
      <c r="N97" s="18">
        <f>IFERROR(__xludf.DUMMYFUNCTION("""COMPUTED_VALUE"""),2.0)</f>
        <v>2</v>
      </c>
      <c r="O97" s="18"/>
    </row>
    <row r="98">
      <c r="B98" s="18">
        <f>IFERROR(__xludf.DUMMYFUNCTION("""COMPUTED_VALUE"""),8.0)</f>
        <v>8</v>
      </c>
      <c r="C98" s="18" t="str">
        <f>IFERROR(__xludf.DUMMYFUNCTION("""COMPUTED_VALUE"""),"Y")</f>
        <v>Y</v>
      </c>
      <c r="D98" s="18" t="str">
        <f>IFERROR(__xludf.DUMMYFUNCTION("""COMPUTED_VALUE"""),"Stildar/Gnomergnan")</f>
        <v>Stildar/Gnomergnan</v>
      </c>
      <c r="E98" s="18" t="str">
        <f>IFERROR(__xludf.DUMMYFUNCTION("""COMPUTED_VALUE"""),"1 Coal")</f>
        <v>1 Coal</v>
      </c>
      <c r="F98" s="18" t="str">
        <f>IFERROR(__xludf.DUMMYFUNCTION("""COMPUTED_VALUE"""),"1 Crops")</f>
        <v>1 Crops</v>
      </c>
      <c r="G98" s="175">
        <f>IFERROR(__xludf.DUMMYFUNCTION("""COMPUTED_VALUE"""),3.5)</f>
        <v>3.5</v>
      </c>
      <c r="H98" s="18" t="str">
        <f>IFERROR(__xludf.DUMMYFUNCTION("""COMPUTED_VALUE"""),"Defended (Flying)")</f>
        <v>Defended (Flying)</v>
      </c>
      <c r="I98" s="18">
        <f>IFERROR(__xludf.DUMMYFUNCTION("""COMPUTED_VALUE"""),8.0)</f>
        <v>8</v>
      </c>
      <c r="J98" s="18" t="str">
        <f>IFERROR(__xludf.DUMMYFUNCTION("""COMPUTED_VALUE"""),"Y")</f>
        <v>Y</v>
      </c>
      <c r="K98" s="18" t="str">
        <f>IFERROR(__xludf.DUMMYFUNCTION("""COMPUTED_VALUE"""),"Stildar/Gnomergnan")</f>
        <v>Stildar/Gnomergnan</v>
      </c>
      <c r="L98" s="18" t="str">
        <f>IFERROR(__xludf.DUMMYFUNCTION("""COMPUTED_VALUE"""),"1 Crops")</f>
        <v>1 Crops</v>
      </c>
      <c r="M98" s="18" t="str">
        <f>IFERROR(__xludf.DUMMYFUNCTION("""COMPUTED_VALUE"""),"1 Coal")</f>
        <v>1 Coal</v>
      </c>
      <c r="N98" s="18">
        <f>IFERROR(__xludf.DUMMYFUNCTION("""COMPUTED_VALUE"""),2.0)</f>
        <v>2</v>
      </c>
      <c r="O98" s="18" t="str">
        <f>IFERROR(__xludf.DUMMYFUNCTION("""COMPUTED_VALUE"""),"Defended (flying)")</f>
        <v>Defended (flying)</v>
      </c>
    </row>
    <row r="99">
      <c r="B99" s="18">
        <f>IFERROR(__xludf.DUMMYFUNCTION("""COMPUTED_VALUE"""),19.0)</f>
        <v>19</v>
      </c>
      <c r="C99" s="18" t="str">
        <f>IFERROR(__xludf.DUMMYFUNCTION("""COMPUTED_VALUE"""),"Y")</f>
        <v>Y</v>
      </c>
      <c r="D99" s="18" t="str">
        <f>IFERROR(__xludf.DUMMYFUNCTION("""COMPUTED_VALUE"""),"Stildar/Levain")</f>
        <v>Stildar/Levain</v>
      </c>
      <c r="E99" s="18" t="str">
        <f>IFERROR(__xludf.DUMMYFUNCTION("""COMPUTED_VALUE"""),"1 Spices")</f>
        <v>1 Spices</v>
      </c>
      <c r="F99" s="18" t="str">
        <f>IFERROR(__xludf.DUMMYFUNCTION("""COMPUTED_VALUE"""),"1 Baubles")</f>
        <v>1 Baubles</v>
      </c>
      <c r="G99" s="175">
        <f>IFERROR(__xludf.DUMMYFUNCTION("""COMPUTED_VALUE"""),3.0)</f>
        <v>3</v>
      </c>
      <c r="H99" s="18"/>
      <c r="I99" s="18">
        <f>IFERROR(__xludf.DUMMYFUNCTION("""COMPUTED_VALUE"""),19.0)</f>
        <v>19</v>
      </c>
      <c r="J99" s="18" t="str">
        <f>IFERROR(__xludf.DUMMYFUNCTION("""COMPUTED_VALUE"""),"Y")</f>
        <v>Y</v>
      </c>
      <c r="K99" s="18" t="str">
        <f>IFERROR(__xludf.DUMMYFUNCTION("""COMPUTED_VALUE"""),"Stildar/Levain")</f>
        <v>Stildar/Levain</v>
      </c>
      <c r="L99" s="18" t="str">
        <f>IFERROR(__xludf.DUMMYFUNCTION("""COMPUTED_VALUE"""),"1 Baubles")</f>
        <v>1 Baubles</v>
      </c>
      <c r="M99" s="18" t="str">
        <f>IFERROR(__xludf.DUMMYFUNCTION("""COMPUTED_VALUE"""),"1 Spices")</f>
        <v>1 Spices</v>
      </c>
      <c r="N99" s="18">
        <f>IFERROR(__xludf.DUMMYFUNCTION("""COMPUTED_VALUE"""),2.0)</f>
        <v>2</v>
      </c>
      <c r="O99" s="18"/>
    </row>
    <row r="100">
      <c r="B100" s="18">
        <f>IFERROR(__xludf.DUMMYFUNCTION("""COMPUTED_VALUE"""),3.0)</f>
        <v>3</v>
      </c>
      <c r="C100" s="18" t="str">
        <f>IFERROR(__xludf.DUMMYFUNCTION("""COMPUTED_VALUE"""),"Y")</f>
        <v>Y</v>
      </c>
      <c r="D100" s="18" t="str">
        <f>IFERROR(__xludf.DUMMYFUNCTION("""COMPUTED_VALUE"""),"Tanaf/Afenthar")</f>
        <v>Tanaf/Afenthar</v>
      </c>
      <c r="E100" s="18" t="str">
        <f>IFERROR(__xludf.DUMMYFUNCTION("""COMPUTED_VALUE"""),"1 incense")</f>
        <v>1 incense</v>
      </c>
      <c r="F100" s="18" t="str">
        <f>IFERROR(__xludf.DUMMYFUNCTION("""COMPUTED_VALUE"""),"1 ivory")</f>
        <v>1 ivory</v>
      </c>
      <c r="G100" s="175">
        <f>IFERROR(__xludf.DUMMYFUNCTION("""COMPUTED_VALUE"""),2.5)</f>
        <v>2.5</v>
      </c>
      <c r="H100" s="18"/>
      <c r="I100" s="18">
        <f>IFERROR(__xludf.DUMMYFUNCTION("""COMPUTED_VALUE"""),3.0)</f>
        <v>3</v>
      </c>
      <c r="J100" s="18" t="str">
        <f>IFERROR(__xludf.DUMMYFUNCTION("""COMPUTED_VALUE"""),"Y")</f>
        <v>Y</v>
      </c>
      <c r="K100" s="18" t="str">
        <f>IFERROR(__xludf.DUMMYFUNCTION("""COMPUTED_VALUE"""),"Tanaf/Afenthar")</f>
        <v>Tanaf/Afenthar</v>
      </c>
      <c r="L100" s="18" t="str">
        <f>IFERROR(__xludf.DUMMYFUNCTION("""COMPUTED_VALUE"""),"1 ivory")</f>
        <v>1 ivory</v>
      </c>
      <c r="M100" s="18" t="str">
        <f>IFERROR(__xludf.DUMMYFUNCTION("""COMPUTED_VALUE"""),"1 incense")</f>
        <v>1 incense</v>
      </c>
      <c r="N100" s="18">
        <f>IFERROR(__xludf.DUMMYFUNCTION("""COMPUTED_VALUE"""),2.0)</f>
        <v>2</v>
      </c>
      <c r="O100" s="18"/>
    </row>
    <row r="101">
      <c r="B101" s="18">
        <f>IFERROR(__xludf.DUMMYFUNCTION("""COMPUTED_VALUE"""),0.0)</f>
        <v>0</v>
      </c>
      <c r="C101" s="18" t="str">
        <f>IFERROR(__xludf.DUMMYFUNCTION("""COMPUTED_VALUE"""),"Y")</f>
        <v>Y</v>
      </c>
      <c r="D101" s="18" t="str">
        <f>IFERROR(__xludf.DUMMYFUNCTION("""COMPUTED_VALUE"""),"Tanaf/Plane of Fire")</f>
        <v>Tanaf/Plane of Fire</v>
      </c>
      <c r="E101" s="18" t="str">
        <f>IFERROR(__xludf.DUMMYFUNCTION("""COMPUTED_VALUE"""),"1 crops")</f>
        <v>1 crops</v>
      </c>
      <c r="F101" s="18" t="str">
        <f>IFERROR(__xludf.DUMMYFUNCTION("""COMPUTED_VALUE"""),"1 narcotics")</f>
        <v>1 narcotics</v>
      </c>
      <c r="G101" s="175">
        <f>IFERROR(__xludf.DUMMYFUNCTION("""COMPUTED_VALUE"""),3.235294117647059)</f>
        <v>3.235294118</v>
      </c>
      <c r="H101" s="18"/>
      <c r="I101" s="18">
        <f>IFERROR(__xludf.DUMMYFUNCTION("""COMPUTED_VALUE"""),0.0)</f>
        <v>0</v>
      </c>
      <c r="J101" s="18" t="str">
        <f>IFERROR(__xludf.DUMMYFUNCTION("""COMPUTED_VALUE"""),"Y")</f>
        <v>Y</v>
      </c>
      <c r="K101" s="18" t="str">
        <f>IFERROR(__xludf.DUMMYFUNCTION("""COMPUTED_VALUE"""),"Tanaf/Plane of Fire")</f>
        <v>Tanaf/Plane of Fire</v>
      </c>
      <c r="L101" s="18" t="str">
        <f>IFERROR(__xludf.DUMMYFUNCTION("""COMPUTED_VALUE"""),"1 narcotics")</f>
        <v>1 narcotics</v>
      </c>
      <c r="M101" s="18" t="str">
        <f>IFERROR(__xludf.DUMMYFUNCTION("""COMPUTED_VALUE"""),"1 crops")</f>
        <v>1 crops</v>
      </c>
      <c r="N101" s="18">
        <f>IFERROR(__xludf.DUMMYFUNCTION("""COMPUTED_VALUE"""),1.0)</f>
        <v>1</v>
      </c>
      <c r="O101" s="18"/>
    </row>
    <row r="102">
      <c r="B102" s="18">
        <f>IFERROR(__xludf.DUMMYFUNCTION("""COMPUTED_VALUE"""),15.0)</f>
        <v>15</v>
      </c>
      <c r="C102" s="18" t="str">
        <f>IFERROR(__xludf.DUMMYFUNCTION("""COMPUTED_VALUE"""),"Y")</f>
        <v>Y</v>
      </c>
      <c r="D102" s="18" t="str">
        <f>IFERROR(__xludf.DUMMYFUNCTION("""COMPUTED_VALUE"""),"Tanaf/Aelthar")</f>
        <v>Tanaf/Aelthar</v>
      </c>
      <c r="E102" s="18" t="str">
        <f>IFERROR(__xludf.DUMMYFUNCTION("""COMPUTED_VALUE"""),"1 Seafood")</f>
        <v>1 Seafood</v>
      </c>
      <c r="F102" s="18" t="str">
        <f>IFERROR(__xludf.DUMMYFUNCTION("""COMPUTED_VALUE"""),"1 Fur -&gt; 1 Fur, 2 Whipwood")</f>
        <v>1 Fur -&gt; 1 Fur, 2 Whipwood</v>
      </c>
      <c r="G102" s="175">
        <f>IFERROR(__xludf.DUMMYFUNCTION("""COMPUTED_VALUE"""),3.0)</f>
        <v>3</v>
      </c>
      <c r="H102" s="18"/>
      <c r="I102" s="18">
        <f>IFERROR(__xludf.DUMMYFUNCTION("""COMPUTED_VALUE"""),15.0)</f>
        <v>15</v>
      </c>
      <c r="J102" s="18" t="str">
        <f>IFERROR(__xludf.DUMMYFUNCTION("""COMPUTED_VALUE"""),"Y")</f>
        <v>Y</v>
      </c>
      <c r="K102" s="18" t="str">
        <f>IFERROR(__xludf.DUMMYFUNCTION("""COMPUTED_VALUE"""),"Tanaf/Aelthar")</f>
        <v>Tanaf/Aelthar</v>
      </c>
      <c r="L102" s="18" t="str">
        <f>IFERROR(__xludf.DUMMYFUNCTION("""COMPUTED_VALUE"""),"1 Fur -&gt; 1 Fur, 2 Whipwood")</f>
        <v>1 Fur -&gt; 1 Fur, 2 Whipwood</v>
      </c>
      <c r="M102" s="18" t="str">
        <f>IFERROR(__xludf.DUMMYFUNCTION("""COMPUTED_VALUE"""),"1 Seafood")</f>
        <v>1 Seafood</v>
      </c>
      <c r="N102" s="18">
        <f>IFERROR(__xludf.DUMMYFUNCTION("""COMPUTED_VALUE"""),3.0)</f>
        <v>3</v>
      </c>
      <c r="O102" s="18"/>
    </row>
    <row r="103">
      <c r="B103" s="18">
        <f>IFERROR(__xludf.DUMMYFUNCTION("""COMPUTED_VALUE"""),22.0)</f>
        <v>22</v>
      </c>
      <c r="C103" s="18" t="str">
        <f>IFERROR(__xludf.DUMMYFUNCTION("""COMPUTED_VALUE"""),"Y")</f>
        <v>Y</v>
      </c>
      <c r="D103" s="18" t="str">
        <f>IFERROR(__xludf.DUMMYFUNCTION("""COMPUTED_VALUE"""),"Tanaf/Karis")</f>
        <v>Tanaf/Karis</v>
      </c>
      <c r="E103" s="18" t="str">
        <f>IFERROR(__xludf.DUMMYFUNCTION("""COMPUTED_VALUE"""),"1g")</f>
        <v>1g</v>
      </c>
      <c r="F103" s="18" t="str">
        <f>IFERROR(__xludf.DUMMYFUNCTION("""COMPUTED_VALUE"""),"1 Incense")</f>
        <v>1 Incense</v>
      </c>
      <c r="G103" s="175">
        <f>IFERROR(__xludf.DUMMYFUNCTION("""COMPUTED_VALUE"""),1.0)</f>
        <v>1</v>
      </c>
      <c r="H103" s="18"/>
      <c r="I103" s="18">
        <f>IFERROR(__xludf.DUMMYFUNCTION("""COMPUTED_VALUE"""),22.0)</f>
        <v>22</v>
      </c>
      <c r="J103" s="18" t="str">
        <f>IFERROR(__xludf.DUMMYFUNCTION("""COMPUTED_VALUE"""),"Y")</f>
        <v>Y</v>
      </c>
      <c r="K103" s="18" t="str">
        <f>IFERROR(__xludf.DUMMYFUNCTION("""COMPUTED_VALUE"""),"Tanaf/Karis")</f>
        <v>Tanaf/Karis</v>
      </c>
      <c r="L103" s="18" t="str">
        <f>IFERROR(__xludf.DUMMYFUNCTION("""COMPUTED_VALUE"""),"1 Incense")</f>
        <v>1 Incense</v>
      </c>
      <c r="M103" s="18" t="str">
        <f>IFERROR(__xludf.DUMMYFUNCTION("""COMPUTED_VALUE"""),"1g")</f>
        <v>1g</v>
      </c>
      <c r="N103" s="18">
        <f>IFERROR(__xludf.DUMMYFUNCTION("""COMPUTED_VALUE"""),3.0)</f>
        <v>3</v>
      </c>
      <c r="O103" s="18"/>
    </row>
    <row r="104">
      <c r="B104" s="18">
        <f>IFERROR(__xludf.DUMMYFUNCTION("""COMPUTED_VALUE"""),17.0)</f>
        <v>17</v>
      </c>
      <c r="C104" s="18" t="str">
        <f>IFERROR(__xludf.DUMMYFUNCTION("""COMPUTED_VALUE"""),"Y")</f>
        <v>Y</v>
      </c>
      <c r="D104" s="18" t="str">
        <f>IFERROR(__xludf.DUMMYFUNCTION("""COMPUTED_VALUE"""),"Tanaf/Korim")</f>
        <v>Tanaf/Korim</v>
      </c>
      <c r="E104" s="18" t="str">
        <f>IFERROR(__xludf.DUMMYFUNCTION("""COMPUTED_VALUE"""),"1g")</f>
        <v>1g</v>
      </c>
      <c r="F104" s="18" t="str">
        <f>IFERROR(__xludf.DUMMYFUNCTION("""COMPUTED_VALUE"""),"1 Hardwood")</f>
        <v>1 Hardwood</v>
      </c>
      <c r="G104" s="175">
        <f>IFERROR(__xludf.DUMMYFUNCTION("""COMPUTED_VALUE"""),2.0)</f>
        <v>2</v>
      </c>
      <c r="H104" s="18"/>
      <c r="I104" s="18">
        <f>IFERROR(__xludf.DUMMYFUNCTION("""COMPUTED_VALUE"""),17.0)</f>
        <v>17</v>
      </c>
      <c r="J104" s="18" t="str">
        <f>IFERROR(__xludf.DUMMYFUNCTION("""COMPUTED_VALUE"""),"Y")</f>
        <v>Y</v>
      </c>
      <c r="K104" s="18" t="str">
        <f>IFERROR(__xludf.DUMMYFUNCTION("""COMPUTED_VALUE"""),"Tanaf/Korim")</f>
        <v>Tanaf/Korim</v>
      </c>
      <c r="L104" s="18" t="str">
        <f>IFERROR(__xludf.DUMMYFUNCTION("""COMPUTED_VALUE"""),"1 Hardwood")</f>
        <v>1 Hardwood</v>
      </c>
      <c r="M104" s="18" t="str">
        <f>IFERROR(__xludf.DUMMYFUNCTION("""COMPUTED_VALUE"""),"1g")</f>
        <v>1g</v>
      </c>
      <c r="N104" s="18">
        <f>IFERROR(__xludf.DUMMYFUNCTION("""COMPUTED_VALUE"""),3.0)</f>
        <v>3</v>
      </c>
      <c r="O104" s="18"/>
    </row>
    <row r="105">
      <c r="B105" s="18">
        <f>IFERROR(__xludf.DUMMYFUNCTION("""COMPUTED_VALUE"""),26.0)</f>
        <v>26</v>
      </c>
      <c r="C105" s="18" t="str">
        <f>IFERROR(__xludf.DUMMYFUNCTION("""COMPUTED_VALUE"""),"Y")</f>
        <v>Y</v>
      </c>
      <c r="D105" s="18" t="str">
        <f>IFERROR(__xludf.DUMMYFUNCTION("""COMPUTED_VALUE"""),"Veraxis/HPE")</f>
        <v>Veraxis/HPE</v>
      </c>
      <c r="E105" s="18" t="str">
        <f>IFERROR(__xludf.DUMMYFUNCTION("""COMPUTED_VALUE"""),"1 Residuum")</f>
        <v>1 Residuum</v>
      </c>
      <c r="F105" s="18" t="str">
        <f>IFERROR(__xludf.DUMMYFUNCTION("""COMPUTED_VALUE"""),"1 Gems, 2g")</f>
        <v>1 Gems, 2g</v>
      </c>
      <c r="G105" s="175">
        <f>IFERROR(__xludf.DUMMYFUNCTION("""COMPUTED_VALUE"""),5.5)</f>
        <v>5.5</v>
      </c>
      <c r="H105" s="18"/>
      <c r="I105" s="18">
        <f>IFERROR(__xludf.DUMMYFUNCTION("""COMPUTED_VALUE"""),26.0)</f>
        <v>26</v>
      </c>
      <c r="J105" s="18" t="str">
        <f>IFERROR(__xludf.DUMMYFUNCTION("""COMPUTED_VALUE"""),"Y")</f>
        <v>Y</v>
      </c>
      <c r="K105" s="18" t="str">
        <f>IFERROR(__xludf.DUMMYFUNCTION("""COMPUTED_VALUE"""),"Veraxis/HPE")</f>
        <v>Veraxis/HPE</v>
      </c>
      <c r="L105" s="18" t="str">
        <f>IFERROR(__xludf.DUMMYFUNCTION("""COMPUTED_VALUE"""),"1 Gems, 2g")</f>
        <v>1 Gems, 2g</v>
      </c>
      <c r="M105" s="18" t="str">
        <f>IFERROR(__xludf.DUMMYFUNCTION("""COMPUTED_VALUE"""),"1 Residuum")</f>
        <v>1 Residuum</v>
      </c>
      <c r="N105" s="18">
        <f>IFERROR(__xludf.DUMMYFUNCTION("""COMPUTED_VALUE"""),0.0)</f>
        <v>0</v>
      </c>
      <c r="O105" s="18"/>
    </row>
    <row r="106">
      <c r="B106" s="18">
        <f>IFERROR(__xludf.DUMMYFUNCTION("""COMPUTED_VALUE"""),2.0)</f>
        <v>2</v>
      </c>
      <c r="C106" s="18" t="str">
        <f>IFERROR(__xludf.DUMMYFUNCTION("""COMPUTED_VALUE"""),"Y")</f>
        <v>Y</v>
      </c>
      <c r="D106" s="18" t="str">
        <f>IFERROR(__xludf.DUMMYFUNCTION("""COMPUTED_VALUE"""),"Veraxis/Gnomergnan")</f>
        <v>Veraxis/Gnomergnan</v>
      </c>
      <c r="E106" s="18" t="str">
        <f>IFERROR(__xludf.DUMMYFUNCTION("""COMPUTED_VALUE"""),"1 Silver")</f>
        <v>1 Silver</v>
      </c>
      <c r="F106" s="18" t="str">
        <f>IFERROR(__xludf.DUMMYFUNCTION("""COMPUTED_VALUE"""),"1 Brass")</f>
        <v>1 Brass</v>
      </c>
      <c r="G106" s="175">
        <f>IFERROR(__xludf.DUMMYFUNCTION("""COMPUTED_VALUE"""),5.5)</f>
        <v>5.5</v>
      </c>
      <c r="H106" s="18" t="str">
        <f>IFERROR(__xludf.DUMMYFUNCTION("""COMPUTED_VALUE"""),"Defended")</f>
        <v>Defended</v>
      </c>
      <c r="I106" s="18">
        <f>IFERROR(__xludf.DUMMYFUNCTION("""COMPUTED_VALUE"""),2.0)</f>
        <v>2</v>
      </c>
      <c r="J106" s="18" t="str">
        <f>IFERROR(__xludf.DUMMYFUNCTION("""COMPUTED_VALUE"""),"Y")</f>
        <v>Y</v>
      </c>
      <c r="K106" s="18" t="str">
        <f>IFERROR(__xludf.DUMMYFUNCTION("""COMPUTED_VALUE"""),"Veraxis/Gnomergnan")</f>
        <v>Veraxis/Gnomergnan</v>
      </c>
      <c r="L106" s="18" t="str">
        <f>IFERROR(__xludf.DUMMYFUNCTION("""COMPUTED_VALUE"""),"1 Brass")</f>
        <v>1 Brass</v>
      </c>
      <c r="M106" s="18" t="str">
        <f>IFERROR(__xludf.DUMMYFUNCTION("""COMPUTED_VALUE"""),"1 Silver")</f>
        <v>1 Silver</v>
      </c>
      <c r="N106" s="18">
        <f>IFERROR(__xludf.DUMMYFUNCTION("""COMPUTED_VALUE"""),2.0)</f>
        <v>2</v>
      </c>
      <c r="O106" s="18" t="str">
        <f>IFERROR(__xludf.DUMMYFUNCTION("""COMPUTED_VALUE"""),"Defended")</f>
        <v>Defended</v>
      </c>
    </row>
    <row r="107">
      <c r="B107" s="18">
        <f>IFERROR(__xludf.DUMMYFUNCTION("""COMPUTED_VALUE"""),13.0)</f>
        <v>13</v>
      </c>
      <c r="C107" s="18" t="str">
        <f>IFERROR(__xludf.DUMMYFUNCTION("""COMPUTED_VALUE"""),"Y")</f>
        <v>Y</v>
      </c>
      <c r="D107" s="18" t="str">
        <f>IFERROR(__xludf.DUMMYFUNCTION("""COMPUTED_VALUE"""),"Veraxis/Aelthar")</f>
        <v>Veraxis/Aelthar</v>
      </c>
      <c r="E107" s="18" t="str">
        <f>IFERROR(__xludf.DUMMYFUNCTION("""COMPUTED_VALUE"""),"1 Gems, 2 Livestock, 1 Steel")</f>
        <v>1 Gems, 2 Livestock, 1 Steel</v>
      </c>
      <c r="F107" s="18" t="str">
        <f>IFERROR(__xludf.DUMMYFUNCTION("""COMPUTED_VALUE"""),"1 Coal, 1 Darkwood, 2g")</f>
        <v>1 Coal, 1 Darkwood, 2g</v>
      </c>
      <c r="G107" s="175">
        <f>IFERROR(__xludf.DUMMYFUNCTION("""COMPUTED_VALUE"""),4.0)</f>
        <v>4</v>
      </c>
      <c r="H107" s="18" t="str">
        <f>IFERROR(__xludf.DUMMYFUNCTION("""COMPUTED_VALUE"""),"Teleport Gate")</f>
        <v>Teleport Gate</v>
      </c>
      <c r="I107" s="18">
        <f>IFERROR(__xludf.DUMMYFUNCTION("""COMPUTED_VALUE"""),13.0)</f>
        <v>13</v>
      </c>
      <c r="J107" s="18" t="str">
        <f>IFERROR(__xludf.DUMMYFUNCTION("""COMPUTED_VALUE"""),"Y")</f>
        <v>Y</v>
      </c>
      <c r="K107" s="18" t="str">
        <f>IFERROR(__xludf.DUMMYFUNCTION("""COMPUTED_VALUE"""),"Veraxis/Aelthar")</f>
        <v>Veraxis/Aelthar</v>
      </c>
      <c r="L107" s="18" t="str">
        <f>IFERROR(__xludf.DUMMYFUNCTION("""COMPUTED_VALUE"""),"1 Coal, 1 Darkwood, 2g")</f>
        <v>1 Coal, 1 Darkwood, 2g</v>
      </c>
      <c r="M107" s="18" t="str">
        <f>IFERROR(__xludf.DUMMYFUNCTION("""COMPUTED_VALUE"""),"1 Gems, 2 Livestock, 1 Steel")</f>
        <v>1 Gems, 2 Livestock, 1 Steel</v>
      </c>
      <c r="N107" s="18">
        <f>IFERROR(__xludf.DUMMYFUNCTION("""COMPUTED_VALUE"""),1.0)</f>
        <v>1</v>
      </c>
      <c r="O107" s="18" t="str">
        <f>IFERROR(__xludf.DUMMYFUNCTION("""COMPUTED_VALUE"""),"Teleport Gate")</f>
        <v>Teleport Gate</v>
      </c>
    </row>
    <row r="108">
      <c r="B108" s="18">
        <f>IFERROR(__xludf.DUMMYFUNCTION("""COMPUTED_VALUE"""),35.0)</f>
        <v>35</v>
      </c>
      <c r="C108" s="18" t="str">
        <f>IFERROR(__xludf.DUMMYFUNCTION("""COMPUTED_VALUE"""),"N")</f>
        <v>N</v>
      </c>
      <c r="D108" s="18" t="str">
        <f>IFERROR(__xludf.DUMMYFUNCTION("""COMPUTED_VALUE"""),"Voresh/HPE")</f>
        <v>Voresh/HPE</v>
      </c>
      <c r="E108" s="18" t="str">
        <f>IFERROR(__xludf.DUMMYFUNCTION("""COMPUTED_VALUE"""),"1 Slaves, 1 Riding Animals (Basic)")</f>
        <v>1 Slaves, 1 Riding Animals (Basic)</v>
      </c>
      <c r="F108" s="18" t="str">
        <f>IFERROR(__xludf.DUMMYFUNCTION("""COMPUTED_VALUE"""),"1 Darkwood")</f>
        <v>1 Darkwood</v>
      </c>
      <c r="G108" s="175">
        <f>IFERROR(__xludf.DUMMYFUNCTION("""COMPUTED_VALUE"""),4.5)</f>
        <v>4.5</v>
      </c>
      <c r="H108" s="18"/>
      <c r="I108" s="18">
        <f>IFERROR(__xludf.DUMMYFUNCTION("""COMPUTED_VALUE"""),35.0)</f>
        <v>35</v>
      </c>
      <c r="J108" s="18" t="str">
        <f>IFERROR(__xludf.DUMMYFUNCTION("""COMPUTED_VALUE"""),"N")</f>
        <v>N</v>
      </c>
      <c r="K108" s="18" t="str">
        <f>IFERROR(__xludf.DUMMYFUNCTION("""COMPUTED_VALUE"""),"Voresh/HPE")</f>
        <v>Voresh/HPE</v>
      </c>
      <c r="L108" s="18" t="str">
        <f>IFERROR(__xludf.DUMMYFUNCTION("""COMPUTED_VALUE"""),"1 Darkwood")</f>
        <v>1 Darkwood</v>
      </c>
      <c r="M108" s="18" t="str">
        <f>IFERROR(__xludf.DUMMYFUNCTION("""COMPUTED_VALUE"""),"1 Slaves, 1 Riding Animals (Basic)")</f>
        <v>1 Slaves, 1 Riding Animals (Basic)</v>
      </c>
      <c r="N108" s="18">
        <f>IFERROR(__xludf.DUMMYFUNCTION("""COMPUTED_VALUE"""),2.0)</f>
        <v>2</v>
      </c>
      <c r="O108" s="18"/>
    </row>
    <row r="109">
      <c r="B109" s="18">
        <f>IFERROR(__xludf.DUMMYFUNCTION("""COMPUTED_VALUE"""),10.0)</f>
        <v>10</v>
      </c>
      <c r="C109" s="18" t="str">
        <f>IFERROR(__xludf.DUMMYFUNCTION("""COMPUTED_VALUE"""),"Y")</f>
        <v>Y</v>
      </c>
      <c r="D109" s="18" t="str">
        <f>IFERROR(__xludf.DUMMYFUNCTION("""COMPUTED_VALUE"""),"Vrenzen/Aelthar")</f>
        <v>Vrenzen/Aelthar</v>
      </c>
      <c r="E109" s="18" t="str">
        <f>IFERROR(__xludf.DUMMYFUNCTION("""COMPUTED_VALUE"""),"1 coal")</f>
        <v>1 coal</v>
      </c>
      <c r="F109" s="18" t="str">
        <f>IFERROR(__xludf.DUMMYFUNCTION("""COMPUTED_VALUE"""),"1 cinnabar")</f>
        <v>1 cinnabar</v>
      </c>
      <c r="G109" s="175">
        <f>IFERROR(__xludf.DUMMYFUNCTION("""COMPUTED_VALUE"""),3.5)</f>
        <v>3.5</v>
      </c>
      <c r="H109" s="18"/>
      <c r="I109" s="18">
        <f>IFERROR(__xludf.DUMMYFUNCTION("""COMPUTED_VALUE"""),10.0)</f>
        <v>10</v>
      </c>
      <c r="J109" s="18" t="str">
        <f>IFERROR(__xludf.DUMMYFUNCTION("""COMPUTED_VALUE"""),"Y")</f>
        <v>Y</v>
      </c>
      <c r="K109" s="18" t="str">
        <f>IFERROR(__xludf.DUMMYFUNCTION("""COMPUTED_VALUE"""),"Vrenzen/Aelthar")</f>
        <v>Vrenzen/Aelthar</v>
      </c>
      <c r="L109" s="18" t="str">
        <f>IFERROR(__xludf.DUMMYFUNCTION("""COMPUTED_VALUE"""),"1 cinnabar")</f>
        <v>1 cinnabar</v>
      </c>
      <c r="M109" s="18" t="str">
        <f>IFERROR(__xludf.DUMMYFUNCTION("""COMPUTED_VALUE"""),"1 coal")</f>
        <v>1 coal</v>
      </c>
      <c r="N109" s="18">
        <f>IFERROR(__xludf.DUMMYFUNCTION("""COMPUTED_VALUE"""),3.0)</f>
        <v>3</v>
      </c>
      <c r="O109" s="18"/>
    </row>
    <row r="110"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</row>
    <row r="111">
      <c r="B111" s="18">
        <f>IFERROR(__xludf.DUMMYFUNCTION("""COMPUTED_VALUE"""),12.0)</f>
        <v>12</v>
      </c>
      <c r="C111" s="18" t="str">
        <f>IFERROR(__xludf.DUMMYFUNCTION("""COMPUTED_VALUE"""),"Y")</f>
        <v>Y</v>
      </c>
      <c r="D111" s="18" t="str">
        <f>IFERROR(__xludf.DUMMYFUNCTION("""COMPUTED_VALUE"""),"HPE/Durus")</f>
        <v>HPE/Durus</v>
      </c>
      <c r="E111" s="18" t="str">
        <f>IFERROR(__xludf.DUMMYFUNCTION("""COMPUTED_VALUE"""),"1 Textiles, 1 Game")</f>
        <v>1 Textiles, 1 Game</v>
      </c>
      <c r="F111" s="18" t="str">
        <f>IFERROR(__xludf.DUMMYFUNCTION("""COMPUTED_VALUE"""),"1 Fur, 1 Seafood")</f>
        <v>1 Fur, 1 Seafood</v>
      </c>
      <c r="G111" s="175">
        <f>IFERROR(__xludf.DUMMYFUNCTION("""COMPUTED_VALUE"""),3.5)</f>
        <v>3.5</v>
      </c>
      <c r="H111" s="18"/>
      <c r="I111" s="18">
        <f>IFERROR(__xludf.DUMMYFUNCTION("""COMPUTED_VALUE"""),12.0)</f>
        <v>12</v>
      </c>
      <c r="J111" s="18" t="str">
        <f>IFERROR(__xludf.DUMMYFUNCTION("""COMPUTED_VALUE"""),"Y")</f>
        <v>Y</v>
      </c>
      <c r="K111" s="18" t="str">
        <f>IFERROR(__xludf.DUMMYFUNCTION("""COMPUTED_VALUE"""),"HPE/Durus")</f>
        <v>HPE/Durus</v>
      </c>
      <c r="L111" s="18" t="str">
        <f>IFERROR(__xludf.DUMMYFUNCTION("""COMPUTED_VALUE"""),"1 Fur, 1 Seafood")</f>
        <v>1 Fur, 1 Seafood</v>
      </c>
      <c r="M111" s="18" t="str">
        <f>IFERROR(__xludf.DUMMYFUNCTION("""COMPUTED_VALUE"""),"1 Textiles, 1 Game")</f>
        <v>1 Textiles, 1 Game</v>
      </c>
      <c r="N111" s="18">
        <f>IFERROR(__xludf.DUMMYFUNCTION("""COMPUTED_VALUE"""),2.0)</f>
        <v>2</v>
      </c>
      <c r="O111" s="18"/>
    </row>
    <row r="112">
      <c r="B112" s="18">
        <f>IFERROR(__xludf.DUMMYFUNCTION("""COMPUTED_VALUE"""),12.0)</f>
        <v>12</v>
      </c>
      <c r="C112" s="18" t="str">
        <f>IFERROR(__xludf.DUMMYFUNCTION("""COMPUTED_VALUE"""),"Y")</f>
        <v>Y</v>
      </c>
      <c r="D112" s="18" t="str">
        <f>IFERROR(__xludf.DUMMYFUNCTION("""COMPUTED_VALUE"""),"HPE/Alaria")</f>
        <v>HPE/Alaria</v>
      </c>
      <c r="E112" s="18" t="str">
        <f>IFERROR(__xludf.DUMMYFUNCTION("""COMPUTED_VALUE"""),"1 Crops, 1 Riding Animal")</f>
        <v>1 Crops, 1 Riding Animal</v>
      </c>
      <c r="F112" s="18" t="str">
        <f>IFERROR(__xludf.DUMMYFUNCTION("""COMPUTED_VALUE"""),"1 Textiles, 1 Seafood")</f>
        <v>1 Textiles, 1 Seafood</v>
      </c>
      <c r="G112" s="175">
        <f>IFERROR(__xludf.DUMMYFUNCTION("""COMPUTED_VALUE"""),2.5)</f>
        <v>2.5</v>
      </c>
      <c r="H112" s="18"/>
      <c r="I112" s="18">
        <f>IFERROR(__xludf.DUMMYFUNCTION("""COMPUTED_VALUE"""),12.0)</f>
        <v>12</v>
      </c>
      <c r="J112" s="18" t="str">
        <f>IFERROR(__xludf.DUMMYFUNCTION("""COMPUTED_VALUE"""),"Y")</f>
        <v>Y</v>
      </c>
      <c r="K112" s="18" t="str">
        <f>IFERROR(__xludf.DUMMYFUNCTION("""COMPUTED_VALUE"""),"HPE/Alaria")</f>
        <v>HPE/Alaria</v>
      </c>
      <c r="L112" s="18" t="str">
        <f>IFERROR(__xludf.DUMMYFUNCTION("""COMPUTED_VALUE"""),"1 Textiles, 1 Seafood")</f>
        <v>1 Textiles, 1 Seafood</v>
      </c>
      <c r="M112" s="18" t="str">
        <f>IFERROR(__xludf.DUMMYFUNCTION("""COMPUTED_VALUE"""),"1 Crops, 1 Riding Animal")</f>
        <v>1 Crops, 1 Riding Animal</v>
      </c>
      <c r="N112" s="18">
        <f>IFERROR(__xludf.DUMMYFUNCTION("""COMPUTED_VALUE"""),2.0)</f>
        <v>2</v>
      </c>
      <c r="O112" s="18"/>
    </row>
    <row r="113">
      <c r="B113" s="18">
        <f>IFERROR(__xludf.DUMMYFUNCTION("""COMPUTED_VALUE"""),0.0)</f>
        <v>0</v>
      </c>
      <c r="C113" s="18" t="str">
        <f>IFERROR(__xludf.DUMMYFUNCTION("""COMPUTED_VALUE"""),"Y")</f>
        <v>Y</v>
      </c>
      <c r="D113" s="18" t="str">
        <f>IFERROR(__xludf.DUMMYFUNCTION("""COMPUTED_VALUE"""),"Video/Audio")</f>
        <v>Video/Audio</v>
      </c>
      <c r="E113" s="18" t="str">
        <f>IFERROR(__xludf.DUMMYFUNCTION("""COMPUTED_VALUE"""),"1 Crops")</f>
        <v>1 Crops</v>
      </c>
      <c r="F113" s="18" t="str">
        <f>IFERROR(__xludf.DUMMYFUNCTION("""COMPUTED_VALUE"""),"1g")</f>
        <v>1g</v>
      </c>
      <c r="G113" s="175">
        <f>IFERROR(__xludf.DUMMYFUNCTION("""COMPUTED_VALUE"""),3.0)</f>
        <v>3</v>
      </c>
      <c r="H113" s="18"/>
      <c r="I113" s="18">
        <f>IFERROR(__xludf.DUMMYFUNCTION("""COMPUTED_VALUE"""),0.0)</f>
        <v>0</v>
      </c>
      <c r="J113" s="18" t="str">
        <f>IFERROR(__xludf.DUMMYFUNCTION("""COMPUTED_VALUE"""),"Y")</f>
        <v>Y</v>
      </c>
      <c r="K113" s="18" t="str">
        <f>IFERROR(__xludf.DUMMYFUNCTION("""COMPUTED_VALUE"""),"Video/Audio")</f>
        <v>Video/Audio</v>
      </c>
      <c r="L113" s="18" t="str">
        <f>IFERROR(__xludf.DUMMYFUNCTION("""COMPUTED_VALUE"""),"1g")</f>
        <v>1g</v>
      </c>
      <c r="M113" s="18" t="str">
        <f>IFERROR(__xludf.DUMMYFUNCTION("""COMPUTED_VALUE"""),"1 Crops")</f>
        <v>1 Crops</v>
      </c>
      <c r="N113" s="18">
        <f>IFERROR(__xludf.DUMMYFUNCTION("""COMPUTED_VALUE"""),1.0)</f>
        <v>1</v>
      </c>
      <c r="O113" s="18"/>
    </row>
    <row r="114">
      <c r="B114" s="18">
        <f>IFERROR(__xludf.DUMMYFUNCTION("""COMPUTED_VALUE"""),13.0)</f>
        <v>13</v>
      </c>
      <c r="C114" s="18" t="str">
        <f>IFERROR(__xludf.DUMMYFUNCTION("""COMPUTED_VALUE"""),"Y")</f>
        <v>Y</v>
      </c>
      <c r="D114" s="18" t="str">
        <f>IFERROR(__xludf.DUMMYFUNCTION("""COMPUTED_VALUE"""),"Radio Star/Video")</f>
        <v>Radio Star/Video</v>
      </c>
      <c r="E114" s="18" t="str">
        <f>IFERROR(__xludf.DUMMYFUNCTION("""COMPUTED_VALUE"""),"2g")</f>
        <v>2g</v>
      </c>
      <c r="F114" s="18" t="str">
        <f>IFERROR(__xludf.DUMMYFUNCTION("""COMPUTED_VALUE"""),"2 Iron")</f>
        <v>2 Iron</v>
      </c>
      <c r="G114" s="175">
        <f>IFERROR(__xludf.DUMMYFUNCTION("""COMPUTED_VALUE"""),0.0)</f>
        <v>0</v>
      </c>
      <c r="H114" s="18"/>
      <c r="I114" s="18">
        <f>IFERROR(__xludf.DUMMYFUNCTION("""COMPUTED_VALUE"""),13.0)</f>
        <v>13</v>
      </c>
      <c r="J114" s="18" t="str">
        <f>IFERROR(__xludf.DUMMYFUNCTION("""COMPUTED_VALUE"""),"Y")</f>
        <v>Y</v>
      </c>
      <c r="K114" s="18" t="str">
        <f>IFERROR(__xludf.DUMMYFUNCTION("""COMPUTED_VALUE"""),"Radio Star/Video")</f>
        <v>Radio Star/Video</v>
      </c>
      <c r="L114" s="18" t="str">
        <f>IFERROR(__xludf.DUMMYFUNCTION("""COMPUTED_VALUE"""),"2 Iron")</f>
        <v>2 Iron</v>
      </c>
      <c r="M114" s="18" t="str">
        <f>IFERROR(__xludf.DUMMYFUNCTION("""COMPUTED_VALUE"""),"2g")</f>
        <v>2g</v>
      </c>
      <c r="N114" s="18">
        <f>IFERROR(__xludf.DUMMYFUNCTION("""COMPUTED_VALUE"""),4.0)</f>
        <v>4</v>
      </c>
      <c r="O114" s="18"/>
    </row>
    <row r="115">
      <c r="B115" s="18">
        <f>IFERROR(__xludf.DUMMYFUNCTION("""COMPUTED_VALUE"""),0.0)</f>
        <v>0</v>
      </c>
      <c r="C115" s="18" t="str">
        <f>IFERROR(__xludf.DUMMYFUNCTION("""COMPUTED_VALUE"""),"Y")</f>
        <v>Y</v>
      </c>
      <c r="D115" s="18" t="str">
        <f>IFERROR(__xludf.DUMMYFUNCTION("""COMPUTED_VALUE"""),"Abhorsen/Jurai")</f>
        <v>Abhorsen/Jurai</v>
      </c>
      <c r="E115" s="18" t="str">
        <f>IFERROR(__xludf.DUMMYFUNCTION("""COMPUTED_VALUE"""),"1 diamond")</f>
        <v>1 diamond</v>
      </c>
      <c r="F115" s="18" t="str">
        <f>IFERROR(__xludf.DUMMYFUNCTION("""COMPUTED_VALUE"""),"1g")</f>
        <v>1g</v>
      </c>
      <c r="G115" s="175">
        <f>IFERROR(__xludf.DUMMYFUNCTION("""COMPUTED_VALUE"""),3.0)</f>
        <v>3</v>
      </c>
      <c r="H115" s="18"/>
      <c r="I115" s="18">
        <f>IFERROR(__xludf.DUMMYFUNCTION("""COMPUTED_VALUE"""),0.0)</f>
        <v>0</v>
      </c>
      <c r="J115" s="18" t="str">
        <f>IFERROR(__xludf.DUMMYFUNCTION("""COMPUTED_VALUE"""),"Y")</f>
        <v>Y</v>
      </c>
      <c r="K115" s="18" t="str">
        <f>IFERROR(__xludf.DUMMYFUNCTION("""COMPUTED_VALUE"""),"Abhorsen/Jurai")</f>
        <v>Abhorsen/Jurai</v>
      </c>
      <c r="L115" s="18" t="str">
        <f>IFERROR(__xludf.DUMMYFUNCTION("""COMPUTED_VALUE"""),"1g")</f>
        <v>1g</v>
      </c>
      <c r="M115" s="18" t="str">
        <f>IFERROR(__xludf.DUMMYFUNCTION("""COMPUTED_VALUE"""),"1 diamond")</f>
        <v>1 diamond</v>
      </c>
      <c r="N115" s="18">
        <f>IFERROR(__xludf.DUMMYFUNCTION("""COMPUTED_VALUE"""),1.0)</f>
        <v>1</v>
      </c>
      <c r="O115" s="18"/>
    </row>
    <row r="116">
      <c r="B116" s="18">
        <f>IFERROR(__xludf.DUMMYFUNCTION("""COMPUTED_VALUE"""),0.0)</f>
        <v>0</v>
      </c>
      <c r="C116" s="18" t="str">
        <f>IFERROR(__xludf.DUMMYFUNCTION("""COMPUTED_VALUE"""),"Y")</f>
        <v>Y</v>
      </c>
      <c r="D116" s="18" t="str">
        <f>IFERROR(__xludf.DUMMYFUNCTION("""COMPUTED_VALUE"""),"Emir Azra Birol/Jurai")</f>
        <v>Emir Azra Birol/Jurai</v>
      </c>
      <c r="E116" s="18" t="str">
        <f>IFERROR(__xludf.DUMMYFUNCTION("""COMPUTED_VALUE"""),"1 crops")</f>
        <v>1 crops</v>
      </c>
      <c r="F116" s="18" t="str">
        <f>IFERROR(__xludf.DUMMYFUNCTION("""COMPUTED_VALUE"""),"1g")</f>
        <v>1g</v>
      </c>
      <c r="G116" s="175">
        <f>IFERROR(__xludf.DUMMYFUNCTION("""COMPUTED_VALUE"""),3.0)</f>
        <v>3</v>
      </c>
      <c r="H116" s="18"/>
      <c r="I116" s="18">
        <f>IFERROR(__xludf.DUMMYFUNCTION("""COMPUTED_VALUE"""),0.0)</f>
        <v>0</v>
      </c>
      <c r="J116" s="18" t="str">
        <f>IFERROR(__xludf.DUMMYFUNCTION("""COMPUTED_VALUE"""),"Y")</f>
        <v>Y</v>
      </c>
      <c r="K116" s="18" t="str">
        <f>IFERROR(__xludf.DUMMYFUNCTION("""COMPUTED_VALUE"""),"Emir Azra Birol/Jurai")</f>
        <v>Emir Azra Birol/Jurai</v>
      </c>
      <c r="L116" s="18" t="str">
        <f>IFERROR(__xludf.DUMMYFUNCTION("""COMPUTED_VALUE"""),"1g")</f>
        <v>1g</v>
      </c>
      <c r="M116" s="18" t="str">
        <f>IFERROR(__xludf.DUMMYFUNCTION("""COMPUTED_VALUE"""),"1 crops")</f>
        <v>1 crops</v>
      </c>
      <c r="N116" s="18">
        <f>IFERROR(__xludf.DUMMYFUNCTION("""COMPUTED_VALUE"""),1.0)</f>
        <v>1</v>
      </c>
      <c r="O116" s="18"/>
    </row>
    <row r="117">
      <c r="B117" s="18">
        <f>IFERROR(__xludf.DUMMYFUNCTION("""COMPUTED_VALUE"""),0.0)</f>
        <v>0</v>
      </c>
      <c r="C117" s="18" t="str">
        <f>IFERROR(__xludf.DUMMYFUNCTION("""COMPUTED_VALUE"""),"Y")</f>
        <v>Y</v>
      </c>
      <c r="D117" s="18" t="str">
        <f>IFERROR(__xludf.DUMMYFUNCTION("""COMPUTED_VALUE"""),"Emir Nisa Orbay/Jurai")</f>
        <v>Emir Nisa Orbay/Jurai</v>
      </c>
      <c r="E117" s="18" t="str">
        <f>IFERROR(__xludf.DUMMYFUNCTION("""COMPUTED_VALUE"""),"1 Copper")</f>
        <v>1 Copper</v>
      </c>
      <c r="F117" s="18" t="str">
        <f>IFERROR(__xludf.DUMMYFUNCTION("""COMPUTED_VALUE"""),"1g")</f>
        <v>1g</v>
      </c>
      <c r="G117" s="175">
        <f>IFERROR(__xludf.DUMMYFUNCTION("""COMPUTED_VALUE"""),3.0)</f>
        <v>3</v>
      </c>
      <c r="H117" s="18"/>
      <c r="I117" s="18">
        <f>IFERROR(__xludf.DUMMYFUNCTION("""COMPUTED_VALUE"""),0.0)</f>
        <v>0</v>
      </c>
      <c r="J117" s="18" t="str">
        <f>IFERROR(__xludf.DUMMYFUNCTION("""COMPUTED_VALUE"""),"Y")</f>
        <v>Y</v>
      </c>
      <c r="K117" s="18" t="str">
        <f>IFERROR(__xludf.DUMMYFUNCTION("""COMPUTED_VALUE"""),"Emir Nisa Orbay/Jurai")</f>
        <v>Emir Nisa Orbay/Jurai</v>
      </c>
      <c r="L117" s="18" t="str">
        <f>IFERROR(__xludf.DUMMYFUNCTION("""COMPUTED_VALUE"""),"1g")</f>
        <v>1g</v>
      </c>
      <c r="M117" s="18" t="str">
        <f>IFERROR(__xludf.DUMMYFUNCTION("""COMPUTED_VALUE"""),"1 Copper")</f>
        <v>1 Copper</v>
      </c>
      <c r="N117" s="18">
        <f>IFERROR(__xludf.DUMMYFUNCTION("""COMPUTED_VALUE"""),1.0)</f>
        <v>1</v>
      </c>
      <c r="O117" s="18"/>
    </row>
    <row r="118">
      <c r="B118" s="18">
        <f>IFERROR(__xludf.DUMMYFUNCTION("""COMPUTED_VALUE"""),0.0)</f>
        <v>0</v>
      </c>
      <c r="C118" s="18" t="str">
        <f>IFERROR(__xludf.DUMMYFUNCTION("""COMPUTED_VALUE"""),"Y")</f>
        <v>Y</v>
      </c>
      <c r="D118" s="18" t="str">
        <f>IFERROR(__xludf.DUMMYFUNCTION("""COMPUTED_VALUE"""),"Emir Deniz Saylan/Jurai")</f>
        <v>Emir Deniz Saylan/Jurai</v>
      </c>
      <c r="E118" s="18" t="str">
        <f>IFERROR(__xludf.DUMMYFUNCTION("""COMPUTED_VALUE"""),"1 Furs")</f>
        <v>1 Furs</v>
      </c>
      <c r="F118" s="18" t="str">
        <f>IFERROR(__xludf.DUMMYFUNCTION("""COMPUTED_VALUE"""),"1g")</f>
        <v>1g</v>
      </c>
      <c r="G118" s="175">
        <f>IFERROR(__xludf.DUMMYFUNCTION("""COMPUTED_VALUE"""),3.0)</f>
        <v>3</v>
      </c>
      <c r="H118" s="18"/>
      <c r="I118" s="18">
        <f>IFERROR(__xludf.DUMMYFUNCTION("""COMPUTED_VALUE"""),0.0)</f>
        <v>0</v>
      </c>
      <c r="J118" s="18" t="str">
        <f>IFERROR(__xludf.DUMMYFUNCTION("""COMPUTED_VALUE"""),"Y")</f>
        <v>Y</v>
      </c>
      <c r="K118" s="18" t="str">
        <f>IFERROR(__xludf.DUMMYFUNCTION("""COMPUTED_VALUE"""),"Emir Deniz Saylan/Jurai")</f>
        <v>Emir Deniz Saylan/Jurai</v>
      </c>
      <c r="L118" s="18" t="str">
        <f>IFERROR(__xludf.DUMMYFUNCTION("""COMPUTED_VALUE"""),"1g")</f>
        <v>1g</v>
      </c>
      <c r="M118" s="18" t="str">
        <f>IFERROR(__xludf.DUMMYFUNCTION("""COMPUTED_VALUE"""),"1 Furs")</f>
        <v>1 Furs</v>
      </c>
      <c r="N118" s="18">
        <f>IFERROR(__xludf.DUMMYFUNCTION("""COMPUTED_VALUE"""),1.0)</f>
        <v>1</v>
      </c>
      <c r="O118" s="18"/>
    </row>
    <row r="119">
      <c r="B119" s="18">
        <f>IFERROR(__xludf.DUMMYFUNCTION("""COMPUTED_VALUE"""),0.0)</f>
        <v>0</v>
      </c>
      <c r="C119" s="18" t="str">
        <f>IFERROR(__xludf.DUMMYFUNCTION("""COMPUTED_VALUE"""),"Y")</f>
        <v>Y</v>
      </c>
      <c r="D119" s="18" t="str">
        <f>IFERROR(__xludf.DUMMYFUNCTION("""COMPUTED_VALUE"""),"Emir Ceylin Toker/Jurai")</f>
        <v>Emir Ceylin Toker/Jurai</v>
      </c>
      <c r="E119" s="18" t="str">
        <f>IFERROR(__xludf.DUMMYFUNCTION("""COMPUTED_VALUE"""),"1 Medicine")</f>
        <v>1 Medicine</v>
      </c>
      <c r="F119" s="18" t="str">
        <f>IFERROR(__xludf.DUMMYFUNCTION("""COMPUTED_VALUE"""),"1g")</f>
        <v>1g</v>
      </c>
      <c r="G119" s="175">
        <f>IFERROR(__xludf.DUMMYFUNCTION("""COMPUTED_VALUE"""),3.0)</f>
        <v>3</v>
      </c>
      <c r="H119" s="18"/>
      <c r="I119" s="18">
        <f>IFERROR(__xludf.DUMMYFUNCTION("""COMPUTED_VALUE"""),0.0)</f>
        <v>0</v>
      </c>
      <c r="J119" s="18" t="str">
        <f>IFERROR(__xludf.DUMMYFUNCTION("""COMPUTED_VALUE"""),"Y")</f>
        <v>Y</v>
      </c>
      <c r="K119" s="18" t="str">
        <f>IFERROR(__xludf.DUMMYFUNCTION("""COMPUTED_VALUE"""),"Emir Ceylin Toker/Jurai")</f>
        <v>Emir Ceylin Toker/Jurai</v>
      </c>
      <c r="L119" s="18" t="str">
        <f>IFERROR(__xludf.DUMMYFUNCTION("""COMPUTED_VALUE"""),"1g")</f>
        <v>1g</v>
      </c>
      <c r="M119" s="18" t="str">
        <f>IFERROR(__xludf.DUMMYFUNCTION("""COMPUTED_VALUE"""),"1 Medicine")</f>
        <v>1 Medicine</v>
      </c>
      <c r="N119" s="18">
        <f>IFERROR(__xludf.DUMMYFUNCTION("""COMPUTED_VALUE"""),1.0)</f>
        <v>1</v>
      </c>
      <c r="O119" s="18"/>
    </row>
    <row r="120">
      <c r="B120" s="18">
        <f>IFERROR(__xludf.DUMMYFUNCTION("""COMPUTED_VALUE"""),26.0)</f>
        <v>26</v>
      </c>
      <c r="C120" s="18" t="str">
        <f>IFERROR(__xludf.DUMMYFUNCTION("""COMPUTED_VALUE"""),"Y")</f>
        <v>Y</v>
      </c>
      <c r="D120" s="18" t="str">
        <f>IFERROR(__xludf.DUMMYFUNCTION("""COMPUTED_VALUE"""),"Ker'zerak/Lycaeum")</f>
        <v>Ker'zerak/Lycaeum</v>
      </c>
      <c r="E120" s="18" t="str">
        <f>IFERROR(__xludf.DUMMYFUNCTION("""COMPUTED_VALUE"""),"1 Hardwood")</f>
        <v>1 Hardwood</v>
      </c>
      <c r="F120" s="18" t="str">
        <f>IFERROR(__xludf.DUMMYFUNCTION("""COMPUTED_VALUE"""),"1 Herb")</f>
        <v>1 Herb</v>
      </c>
      <c r="G120" s="175">
        <f>IFERROR(__xludf.DUMMYFUNCTION("""COMPUTED_VALUE"""),1.8421052631578947)</f>
        <v>1.842105263</v>
      </c>
      <c r="H120" s="18"/>
      <c r="I120" s="18">
        <f>IFERROR(__xludf.DUMMYFUNCTION("""COMPUTED_VALUE"""),26.0)</f>
        <v>26</v>
      </c>
      <c r="J120" s="18" t="str">
        <f>IFERROR(__xludf.DUMMYFUNCTION("""COMPUTED_VALUE"""),"Y")</f>
        <v>Y</v>
      </c>
      <c r="K120" s="18" t="str">
        <f>IFERROR(__xludf.DUMMYFUNCTION("""COMPUTED_VALUE"""),"Ker'zerak/Lycaeum")</f>
        <v>Ker'zerak/Lycaeum</v>
      </c>
      <c r="L120" s="18" t="str">
        <f>IFERROR(__xludf.DUMMYFUNCTION("""COMPUTED_VALUE"""),"1 Herb")</f>
        <v>1 Herb</v>
      </c>
      <c r="M120" s="18" t="str">
        <f>IFERROR(__xludf.DUMMYFUNCTION("""COMPUTED_VALUE"""),"1 Hardwood")</f>
        <v>1 Hardwood</v>
      </c>
      <c r="N120" s="18">
        <f>IFERROR(__xludf.DUMMYFUNCTION("""COMPUTED_VALUE"""),1.0)</f>
        <v>1</v>
      </c>
      <c r="O120" s="18"/>
    </row>
    <row r="121">
      <c r="B121" s="18">
        <f>IFERROR(__xludf.DUMMYFUNCTION("""COMPUTED_VALUE"""),35.0)</f>
        <v>35</v>
      </c>
      <c r="C121" s="18" t="str">
        <f>IFERROR(__xludf.DUMMYFUNCTION("""COMPUTED_VALUE"""),"N")</f>
        <v>N</v>
      </c>
      <c r="D121" s="18" t="str">
        <f>IFERROR(__xludf.DUMMYFUNCTION("""COMPUTED_VALUE"""),"Ostwil/Rohevan")</f>
        <v>Ostwil/Rohevan</v>
      </c>
      <c r="E121" s="18" t="str">
        <f>IFERROR(__xludf.DUMMYFUNCTION("""COMPUTED_VALUE"""),"1g")</f>
        <v>1g</v>
      </c>
      <c r="F121" s="18" t="str">
        <f>IFERROR(__xludf.DUMMYFUNCTION("""COMPUTED_VALUE"""),"1 Iron")</f>
        <v>1 Iron</v>
      </c>
      <c r="G121" s="175">
        <f>IFERROR(__xludf.DUMMYFUNCTION("""COMPUTED_VALUE"""),1.0)</f>
        <v>1</v>
      </c>
      <c r="H121" s="18"/>
      <c r="I121" s="18">
        <f>IFERROR(__xludf.DUMMYFUNCTION("""COMPUTED_VALUE"""),35.0)</f>
        <v>35</v>
      </c>
      <c r="J121" s="18" t="str">
        <f>IFERROR(__xludf.DUMMYFUNCTION("""COMPUTED_VALUE"""),"N")</f>
        <v>N</v>
      </c>
      <c r="K121" s="18" t="str">
        <f>IFERROR(__xludf.DUMMYFUNCTION("""COMPUTED_VALUE"""),"Ostwil/Rohevan")</f>
        <v>Ostwil/Rohevan</v>
      </c>
      <c r="L121" s="18" t="str">
        <f>IFERROR(__xludf.DUMMYFUNCTION("""COMPUTED_VALUE"""),"1 Iron")</f>
        <v>1 Iron</v>
      </c>
      <c r="M121" s="18" t="str">
        <f>IFERROR(__xludf.DUMMYFUNCTION("""COMPUTED_VALUE"""),"1g")</f>
        <v>1g</v>
      </c>
      <c r="N121" s="18">
        <f>IFERROR(__xludf.DUMMYFUNCTION("""COMPUTED_VALUE"""),2.0)</f>
        <v>2</v>
      </c>
      <c r="O121" s="18"/>
    </row>
    <row r="122">
      <c r="B122" s="18">
        <f>IFERROR(__xludf.DUMMYFUNCTION("""COMPUTED_VALUE"""),35.0)</f>
        <v>35</v>
      </c>
      <c r="C122" s="18" t="str">
        <f>IFERROR(__xludf.DUMMYFUNCTION("""COMPUTED_VALUE"""),"N")</f>
        <v>N</v>
      </c>
      <c r="D122" s="18" t="str">
        <f>IFERROR(__xludf.DUMMYFUNCTION("""COMPUTED_VALUE"""),"Ostwil/HPE")</f>
        <v>Ostwil/HPE</v>
      </c>
      <c r="E122" s="18" t="str">
        <f>IFERROR(__xludf.DUMMYFUNCTION("""COMPUTED_VALUE"""),"1 Pearl")</f>
        <v>1 Pearl</v>
      </c>
      <c r="F122" s="18" t="str">
        <f>IFERROR(__xludf.DUMMYFUNCTION("""COMPUTED_VALUE"""),"1 Livestock 1 Crop")</f>
        <v>1 Livestock 1 Crop</v>
      </c>
      <c r="G122" s="175">
        <f>IFERROR(__xludf.DUMMYFUNCTION("""COMPUTED_VALUE"""),1.0)</f>
        <v>1</v>
      </c>
      <c r="H122" s="18"/>
      <c r="I122" s="18">
        <f>IFERROR(__xludf.DUMMYFUNCTION("""COMPUTED_VALUE"""),35.0)</f>
        <v>35</v>
      </c>
      <c r="J122" s="18" t="str">
        <f>IFERROR(__xludf.DUMMYFUNCTION("""COMPUTED_VALUE"""),"N")</f>
        <v>N</v>
      </c>
      <c r="K122" s="18" t="str">
        <f>IFERROR(__xludf.DUMMYFUNCTION("""COMPUTED_VALUE"""),"Ostwil/HPE")</f>
        <v>Ostwil/HPE</v>
      </c>
      <c r="L122" s="18" t="str">
        <f>IFERROR(__xludf.DUMMYFUNCTION("""COMPUTED_VALUE"""),"1 Livestock 1 Crop")</f>
        <v>1 Livestock 1 Crop</v>
      </c>
      <c r="M122" s="18" t="str">
        <f>IFERROR(__xludf.DUMMYFUNCTION("""COMPUTED_VALUE"""),"1 Pearl")</f>
        <v>1 Pearl</v>
      </c>
      <c r="N122" s="18">
        <f>IFERROR(__xludf.DUMMYFUNCTION("""COMPUTED_VALUE"""),1.0)</f>
        <v>1</v>
      </c>
      <c r="O122" s="18"/>
    </row>
    <row r="123">
      <c r="B123" s="18">
        <f>IFERROR(__xludf.DUMMYFUNCTION("""COMPUTED_VALUE"""),35.0)</f>
        <v>35</v>
      </c>
      <c r="C123" s="18" t="str">
        <f>IFERROR(__xludf.DUMMYFUNCTION("""COMPUTED_VALUE"""),"N")</f>
        <v>N</v>
      </c>
      <c r="D123" s="18" t="str">
        <f>IFERROR(__xludf.DUMMYFUNCTION("""COMPUTED_VALUE"""),"Galicia/Morgaard")</f>
        <v>Galicia/Morgaard</v>
      </c>
      <c r="E123" s="18" t="str">
        <f>IFERROR(__xludf.DUMMYFUNCTION("""COMPUTED_VALUE"""),"1 Coral")</f>
        <v>1 Coral</v>
      </c>
      <c r="F123" s="18" t="str">
        <f>IFERROR(__xludf.DUMMYFUNCTION("""COMPUTED_VALUE"""),"1 Hardwood")</f>
        <v>1 Hardwood</v>
      </c>
      <c r="G123" s="175">
        <f>IFERROR(__xludf.DUMMYFUNCTION("""COMPUTED_VALUE"""),2.0)</f>
        <v>2</v>
      </c>
      <c r="H123" s="18"/>
      <c r="I123" s="18">
        <f>IFERROR(__xludf.DUMMYFUNCTION("""COMPUTED_VALUE"""),35.0)</f>
        <v>35</v>
      </c>
      <c r="J123" s="18" t="str">
        <f>IFERROR(__xludf.DUMMYFUNCTION("""COMPUTED_VALUE"""),"N")</f>
        <v>N</v>
      </c>
      <c r="K123" s="18" t="str">
        <f>IFERROR(__xludf.DUMMYFUNCTION("""COMPUTED_VALUE"""),"Galicia/Morgaard")</f>
        <v>Galicia/Morgaard</v>
      </c>
      <c r="L123" s="18" t="str">
        <f>IFERROR(__xludf.DUMMYFUNCTION("""COMPUTED_VALUE"""),"1 Hardwood")</f>
        <v>1 Hardwood</v>
      </c>
      <c r="M123" s="18" t="str">
        <f>IFERROR(__xludf.DUMMYFUNCTION("""COMPUTED_VALUE"""),"1 Coral")</f>
        <v>1 Coral</v>
      </c>
      <c r="N123" s="18">
        <f>IFERROR(__xludf.DUMMYFUNCTION("""COMPUTED_VALUE"""),1.0)</f>
        <v>1</v>
      </c>
      <c r="O123" s="18"/>
    </row>
    <row r="124">
      <c r="B124" s="18">
        <f>IFERROR(__xludf.DUMMYFUNCTION("""COMPUTED_VALUE"""),36.0)</f>
        <v>36</v>
      </c>
      <c r="C124" s="18" t="str">
        <f>IFERROR(__xludf.DUMMYFUNCTION("""COMPUTED_VALUE"""),"N")</f>
        <v>N</v>
      </c>
      <c r="D124" s="18" t="str">
        <f>IFERROR(__xludf.DUMMYFUNCTION("""COMPUTED_VALUE"""),"HPE/Ker'zerak")</f>
        <v>HPE/Ker'zerak</v>
      </c>
      <c r="E124" s="18" t="str">
        <f>IFERROR(__xludf.DUMMYFUNCTION("""COMPUTED_VALUE"""),"1 beer, 1 seafood")</f>
        <v>1 beer, 1 seafood</v>
      </c>
      <c r="F124" s="18" t="str">
        <f>IFERROR(__xludf.DUMMYFUNCTION("""COMPUTED_VALUE"""),"1 crop(winterized)")</f>
        <v>1 crop(winterized)</v>
      </c>
      <c r="G124" s="175">
        <f>IFERROR(__xludf.DUMMYFUNCTION("""COMPUTED_VALUE"""),1.5)</f>
        <v>1.5</v>
      </c>
      <c r="H124" s="18"/>
      <c r="I124" s="18">
        <f>IFERROR(__xludf.DUMMYFUNCTION("""COMPUTED_VALUE"""),36.0)</f>
        <v>36</v>
      </c>
      <c r="J124" s="18" t="str">
        <f>IFERROR(__xludf.DUMMYFUNCTION("""COMPUTED_VALUE"""),"N")</f>
        <v>N</v>
      </c>
      <c r="K124" s="18" t="str">
        <f>IFERROR(__xludf.DUMMYFUNCTION("""COMPUTED_VALUE"""),"HPE/Ker'zerak")</f>
        <v>HPE/Ker'zerak</v>
      </c>
      <c r="L124" s="18" t="str">
        <f>IFERROR(__xludf.DUMMYFUNCTION("""COMPUTED_VALUE"""),"1 crop(winterized)")</f>
        <v>1 crop(winterized)</v>
      </c>
      <c r="M124" s="18" t="str">
        <f>IFERROR(__xludf.DUMMYFUNCTION("""COMPUTED_VALUE"""),"1 beer, 1 seafood")</f>
        <v>1 beer, 1 seafood</v>
      </c>
      <c r="N124" s="18">
        <f>IFERROR(__xludf.DUMMYFUNCTION("""COMPUTED_VALUE"""),1.0)</f>
        <v>1</v>
      </c>
      <c r="O124" s="18"/>
    </row>
    <row r="125">
      <c r="B125" s="18">
        <f>IFERROR(__xludf.DUMMYFUNCTION("""COMPUTED_VALUE"""),36.0)</f>
        <v>36</v>
      </c>
      <c r="C125" s="18" t="str">
        <f>IFERROR(__xludf.DUMMYFUNCTION("""COMPUTED_VALUE"""),"N")</f>
        <v>N</v>
      </c>
      <c r="D125" s="18" t="str">
        <f>IFERROR(__xludf.DUMMYFUNCTION("""COMPUTED_VALUE"""),"Ostwil/Morgaard")</f>
        <v>Ostwil/Morgaard</v>
      </c>
      <c r="E125" s="18" t="str">
        <f>IFERROR(__xludf.DUMMYFUNCTION("""COMPUTED_VALUE"""),"1 LiveStock")</f>
        <v>1 LiveStock</v>
      </c>
      <c r="F125" s="18" t="str">
        <f>IFERROR(__xludf.DUMMYFUNCTION("""COMPUTED_VALUE"""),"1g")</f>
        <v>1g</v>
      </c>
      <c r="G125" s="175">
        <f>IFERROR(__xludf.DUMMYFUNCTION("""COMPUTED_VALUE"""),3.5)</f>
        <v>3.5</v>
      </c>
      <c r="H125" s="18"/>
      <c r="I125" s="18">
        <f>IFERROR(__xludf.DUMMYFUNCTION("""COMPUTED_VALUE"""),36.0)</f>
        <v>36</v>
      </c>
      <c r="J125" s="18" t="str">
        <f>IFERROR(__xludf.DUMMYFUNCTION("""COMPUTED_VALUE"""),"N")</f>
        <v>N</v>
      </c>
      <c r="K125" s="18" t="str">
        <f>IFERROR(__xludf.DUMMYFUNCTION("""COMPUTED_VALUE"""),"Ostwil/Morgaard")</f>
        <v>Ostwil/Morgaard</v>
      </c>
      <c r="L125" s="18" t="str">
        <f>IFERROR(__xludf.DUMMYFUNCTION("""COMPUTED_VALUE"""),"1g")</f>
        <v>1g</v>
      </c>
      <c r="M125" s="18" t="str">
        <f>IFERROR(__xludf.DUMMYFUNCTION("""COMPUTED_VALUE"""),"1 LiveStock")</f>
        <v>1 LiveStock</v>
      </c>
      <c r="N125" s="18">
        <f>IFERROR(__xludf.DUMMYFUNCTION("""COMPUTED_VALUE"""),0.0)</f>
        <v>0</v>
      </c>
      <c r="O125" s="18"/>
    </row>
    <row r="126">
      <c r="B126" s="18"/>
      <c r="C126" s="18" t="str">
        <f>IFERROR(__xludf.DUMMYFUNCTION("""COMPUTED_VALUE"""),"Y")</f>
        <v>Y</v>
      </c>
      <c r="D126" s="18" t="str">
        <f>IFERROR(__xludf.DUMMYFUNCTION("""COMPUTED_VALUE"""),"/")</f>
        <v>/</v>
      </c>
      <c r="E126" s="18"/>
      <c r="F126" s="18"/>
      <c r="G126" s="18" t="str">
        <f>IFERROR(__xludf.DUMMYFUNCTION("""COMPUTED_VALUE"""),"#DIV/0!")</f>
        <v>#DIV/0!</v>
      </c>
      <c r="H126" s="18"/>
      <c r="I126" s="18"/>
      <c r="J126" s="18" t="str">
        <f>IFERROR(__xludf.DUMMYFUNCTION("""COMPUTED_VALUE"""),"Y")</f>
        <v>Y</v>
      </c>
      <c r="K126" s="18" t="str">
        <f>IFERROR(__xludf.DUMMYFUNCTION("""COMPUTED_VALUE"""),"/")</f>
        <v>/</v>
      </c>
      <c r="L126" s="18"/>
      <c r="M126" s="18"/>
      <c r="N126" s="18" t="str">
        <f>IFERROR(__xludf.DUMMYFUNCTION("""COMPUTED_VALUE"""),"#DIV/0!")</f>
        <v>#DIV/0!</v>
      </c>
      <c r="O126" s="18"/>
    </row>
    <row r="127">
      <c r="B127" s="18"/>
      <c r="C127" s="18" t="str">
        <f>IFERROR(__xludf.DUMMYFUNCTION("""COMPUTED_VALUE"""),"Y")</f>
        <v>Y</v>
      </c>
      <c r="D127" s="18" t="str">
        <f>IFERROR(__xludf.DUMMYFUNCTION("""COMPUTED_VALUE"""),"/")</f>
        <v>/</v>
      </c>
      <c r="E127" s="18"/>
      <c r="F127" s="18"/>
      <c r="G127" s="18" t="str">
        <f>IFERROR(__xludf.DUMMYFUNCTION("""COMPUTED_VALUE"""),"#DIV/0!")</f>
        <v>#DIV/0!</v>
      </c>
      <c r="H127" s="18"/>
      <c r="I127" s="18"/>
      <c r="J127" s="18" t="str">
        <f>IFERROR(__xludf.DUMMYFUNCTION("""COMPUTED_VALUE"""),"Y")</f>
        <v>Y</v>
      </c>
      <c r="K127" s="18" t="str">
        <f>IFERROR(__xludf.DUMMYFUNCTION("""COMPUTED_VALUE"""),"/")</f>
        <v>/</v>
      </c>
      <c r="L127" s="18"/>
      <c r="M127" s="18"/>
      <c r="N127" s="18" t="str">
        <f>IFERROR(__xludf.DUMMYFUNCTION("""COMPUTED_VALUE"""),"#DIV/0!")</f>
        <v>#DIV/0!</v>
      </c>
      <c r="O127" s="18"/>
    </row>
    <row r="128">
      <c r="B128" s="18"/>
      <c r="C128" s="18" t="str">
        <f>IFERROR(__xludf.DUMMYFUNCTION("""COMPUTED_VALUE"""),"Y")</f>
        <v>Y</v>
      </c>
      <c r="D128" s="18" t="str">
        <f>IFERROR(__xludf.DUMMYFUNCTION("""COMPUTED_VALUE"""),"/")</f>
        <v>/</v>
      </c>
      <c r="E128" s="18"/>
      <c r="F128" s="18"/>
      <c r="G128" s="18" t="str">
        <f>IFERROR(__xludf.DUMMYFUNCTION("""COMPUTED_VALUE"""),"#DIV/0!")</f>
        <v>#DIV/0!</v>
      </c>
      <c r="H128" s="18"/>
      <c r="I128" s="18"/>
      <c r="J128" s="18" t="str">
        <f>IFERROR(__xludf.DUMMYFUNCTION("""COMPUTED_VALUE"""),"Y")</f>
        <v>Y</v>
      </c>
      <c r="K128" s="18" t="str">
        <f>IFERROR(__xludf.DUMMYFUNCTION("""COMPUTED_VALUE"""),"/")</f>
        <v>/</v>
      </c>
      <c r="L128" s="18"/>
      <c r="M128" s="18"/>
      <c r="N128" s="18" t="str">
        <f>IFERROR(__xludf.DUMMYFUNCTION("""COMPUTED_VALUE"""),"#DIV/0!")</f>
        <v>#DIV/0!</v>
      </c>
      <c r="O128" s="18"/>
    </row>
    <row r="129">
      <c r="B129" s="18"/>
      <c r="C129" s="18" t="str">
        <f>IFERROR(__xludf.DUMMYFUNCTION("""COMPUTED_VALUE"""),"Y")</f>
        <v>Y</v>
      </c>
      <c r="D129" s="18" t="str">
        <f>IFERROR(__xludf.DUMMYFUNCTION("""COMPUTED_VALUE"""),"/")</f>
        <v>/</v>
      </c>
      <c r="E129" s="18"/>
      <c r="F129" s="18"/>
      <c r="G129" s="18" t="str">
        <f>IFERROR(__xludf.DUMMYFUNCTION("""COMPUTED_VALUE"""),"#DIV/0!")</f>
        <v>#DIV/0!</v>
      </c>
      <c r="H129" s="18"/>
      <c r="I129" s="18"/>
      <c r="J129" s="18" t="str">
        <f>IFERROR(__xludf.DUMMYFUNCTION("""COMPUTED_VALUE"""),"Y")</f>
        <v>Y</v>
      </c>
      <c r="K129" s="18" t="str">
        <f>IFERROR(__xludf.DUMMYFUNCTION("""COMPUTED_VALUE"""),"/")</f>
        <v>/</v>
      </c>
      <c r="L129" s="18"/>
      <c r="M129" s="18"/>
      <c r="N129" s="18" t="str">
        <f>IFERROR(__xludf.DUMMYFUNCTION("""COMPUTED_VALUE"""),"#DIV/0!")</f>
        <v>#DIV/0!</v>
      </c>
      <c r="O129" s="18"/>
    </row>
    <row r="130">
      <c r="B130" s="18"/>
      <c r="C130" s="18" t="str">
        <f>IFERROR(__xludf.DUMMYFUNCTION("""COMPUTED_VALUE"""),"Y")</f>
        <v>Y</v>
      </c>
      <c r="D130" s="18" t="str">
        <f>IFERROR(__xludf.DUMMYFUNCTION("""COMPUTED_VALUE"""),"/")</f>
        <v>/</v>
      </c>
      <c r="E130" s="18"/>
      <c r="F130" s="18"/>
      <c r="G130" s="18" t="str">
        <f>IFERROR(__xludf.DUMMYFUNCTION("""COMPUTED_VALUE"""),"#DIV/0!")</f>
        <v>#DIV/0!</v>
      </c>
      <c r="H130" s="18"/>
      <c r="I130" s="18"/>
      <c r="J130" s="18" t="str">
        <f>IFERROR(__xludf.DUMMYFUNCTION("""COMPUTED_VALUE"""),"Y")</f>
        <v>Y</v>
      </c>
      <c r="K130" s="18" t="str">
        <f>IFERROR(__xludf.DUMMYFUNCTION("""COMPUTED_VALUE"""),"/")</f>
        <v>/</v>
      </c>
      <c r="L130" s="18"/>
      <c r="M130" s="18"/>
      <c r="N130" s="18" t="str">
        <f>IFERROR(__xludf.DUMMYFUNCTION("""COMPUTED_VALUE"""),"#DIV/0!")</f>
        <v>#DIV/0!</v>
      </c>
      <c r="O130" s="18"/>
    </row>
    <row r="131"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</row>
    <row r="132"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</row>
    <row r="133"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</row>
    <row r="134"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</row>
    <row r="135"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</row>
    <row r="136"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</row>
    <row r="137"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</row>
    <row r="138"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</row>
    <row r="139"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</row>
    <row r="140"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</row>
    <row r="141"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</row>
    <row r="142"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</row>
    <row r="143"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</row>
    <row r="144"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</row>
    <row r="145"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</row>
    <row r="146"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</row>
    <row r="147"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</row>
    <row r="148"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</row>
    <row r="149"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</row>
    <row r="150"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</row>
    <row r="151"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</row>
    <row r="152"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</row>
    <row r="153"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</row>
    <row r="154"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</row>
    <row r="155"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</row>
    <row r="156"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</row>
    <row r="157"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</row>
    <row r="158"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</row>
    <row r="159"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</row>
    <row r="160"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</row>
    <row r="161"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</row>
    <row r="162"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</row>
    <row r="163"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</row>
    <row r="164"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</row>
    <row r="165"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</row>
    <row r="166"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</row>
    <row r="167"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</row>
    <row r="168"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</row>
    <row r="169"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</row>
    <row r="170"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</row>
    <row r="171"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</row>
    <row r="172"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</row>
    <row r="173"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</row>
    <row r="174"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</row>
    <row r="175"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</row>
    <row r="176"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</row>
    <row r="177"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</row>
    <row r="178"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</row>
    <row r="179"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</row>
    <row r="180"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</row>
    <row r="181"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</row>
    <row r="182"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</row>
    <row r="183"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</row>
    <row r="184"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</row>
    <row r="185"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</row>
    <row r="186"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</row>
    <row r="187"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</row>
    <row r="188"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</row>
    <row r="189"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</row>
    <row r="190"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</row>
    <row r="191"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</row>
    <row r="192"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</row>
    <row r="193"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</row>
    <row r="194"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</row>
    <row r="195"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</row>
    <row r="196"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</row>
    <row r="197"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</row>
    <row r="198"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</row>
    <row r="199"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</row>
    <row r="200"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</row>
    <row r="201"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25.5"/>
  </cols>
  <sheetData>
    <row r="1">
      <c r="A1" s="181" t="s">
        <v>138</v>
      </c>
      <c r="B1" s="182" t="s">
        <v>139</v>
      </c>
      <c r="C1" s="182" t="s">
        <v>140</v>
      </c>
      <c r="D1" s="182" t="s">
        <v>141</v>
      </c>
    </row>
    <row r="2">
      <c r="A2" s="183"/>
      <c r="B2" s="184"/>
      <c r="C2" s="184"/>
      <c r="D2" s="184"/>
    </row>
    <row r="3">
      <c r="A3" s="183"/>
      <c r="B3" s="184"/>
      <c r="C3" s="184"/>
      <c r="D3" s="184"/>
    </row>
    <row r="4">
      <c r="A4" s="183"/>
      <c r="B4" s="184"/>
      <c r="C4" s="184"/>
      <c r="D4" s="184"/>
    </row>
    <row r="5">
      <c r="A5" s="183"/>
      <c r="B5" s="184"/>
      <c r="C5" s="184"/>
      <c r="D5" s="184"/>
    </row>
    <row r="6">
      <c r="A6" s="183"/>
      <c r="B6" s="184"/>
      <c r="C6" s="184"/>
      <c r="D6" s="184"/>
    </row>
    <row r="7">
      <c r="A7" s="183"/>
      <c r="B7" s="184"/>
      <c r="C7" s="184"/>
      <c r="D7" s="184"/>
    </row>
    <row r="8">
      <c r="A8" s="183"/>
      <c r="B8" s="184"/>
      <c r="C8" s="184"/>
      <c r="D8" s="184"/>
    </row>
    <row r="9">
      <c r="A9" s="183"/>
      <c r="B9" s="184"/>
      <c r="C9" s="184"/>
      <c r="D9" s="184"/>
    </row>
    <row r="10">
      <c r="A10" s="183"/>
      <c r="B10" s="184"/>
      <c r="C10" s="184"/>
      <c r="D10" s="184"/>
    </row>
    <row r="11">
      <c r="A11" s="183"/>
      <c r="B11" s="184"/>
      <c r="C11" s="184"/>
      <c r="D11" s="184"/>
    </row>
    <row r="12">
      <c r="A12" s="183"/>
      <c r="B12" s="184"/>
      <c r="C12" s="184"/>
      <c r="D12" s="184"/>
    </row>
    <row r="13">
      <c r="A13" s="183"/>
      <c r="B13" s="184"/>
      <c r="C13" s="184"/>
      <c r="D13" s="184"/>
    </row>
    <row r="14">
      <c r="A14" s="183"/>
      <c r="B14" s="184"/>
      <c r="C14" s="184"/>
      <c r="D14" s="184"/>
    </row>
    <row r="15">
      <c r="A15" s="183"/>
      <c r="B15" s="184"/>
      <c r="C15" s="184"/>
      <c r="D15" s="184"/>
    </row>
    <row r="16">
      <c r="A16" s="183"/>
      <c r="B16" s="184"/>
      <c r="C16" s="184"/>
      <c r="D16" s="184"/>
    </row>
    <row r="17">
      <c r="A17" s="183"/>
      <c r="B17" s="184"/>
      <c r="C17" s="184"/>
      <c r="D17" s="184"/>
    </row>
    <row r="18">
      <c r="A18" s="183"/>
      <c r="B18" s="184"/>
      <c r="C18" s="184"/>
      <c r="D18" s="184"/>
    </row>
    <row r="19">
      <c r="A19" s="183"/>
      <c r="B19" s="184"/>
      <c r="C19" s="184"/>
      <c r="D19" s="184"/>
    </row>
    <row r="20">
      <c r="A20" s="183"/>
      <c r="B20" s="184"/>
      <c r="C20" s="184"/>
      <c r="D20" s="184"/>
    </row>
    <row r="21">
      <c r="A21" s="183"/>
      <c r="B21" s="184"/>
      <c r="C21" s="184"/>
      <c r="D21" s="184"/>
    </row>
    <row r="22">
      <c r="A22" s="183"/>
      <c r="B22" s="184"/>
      <c r="C22" s="184"/>
      <c r="D22" s="184"/>
    </row>
    <row r="23">
      <c r="A23" s="183"/>
      <c r="B23" s="184"/>
      <c r="C23" s="184"/>
      <c r="D23" s="184"/>
    </row>
    <row r="24">
      <c r="A24" s="183"/>
      <c r="B24" s="184"/>
      <c r="C24" s="184"/>
      <c r="D24" s="184"/>
    </row>
    <row r="25">
      <c r="A25" s="183"/>
      <c r="B25" s="184"/>
      <c r="C25" s="184"/>
      <c r="D25" s="184"/>
    </row>
    <row r="26">
      <c r="A26" s="183"/>
      <c r="B26" s="184"/>
      <c r="C26" s="184"/>
      <c r="D26" s="184"/>
    </row>
    <row r="27">
      <c r="A27" s="183"/>
      <c r="B27" s="184"/>
      <c r="C27" s="184"/>
      <c r="D27" s="184"/>
    </row>
    <row r="73">
      <c r="J73" s="185"/>
    </row>
    <row r="74">
      <c r="J74" s="185"/>
    </row>
    <row r="75">
      <c r="J75" s="185"/>
    </row>
    <row r="76">
      <c r="J76" s="185"/>
    </row>
    <row r="77">
      <c r="J77" s="185"/>
    </row>
    <row r="92">
      <c r="J92" s="185"/>
    </row>
    <row r="93">
      <c r="J93" s="185"/>
    </row>
    <row r="94">
      <c r="J94" s="185"/>
    </row>
    <row r="95">
      <c r="J95" s="185"/>
    </row>
    <row r="96">
      <c r="J96" s="185"/>
    </row>
    <row r="111">
      <c r="J111" s="185"/>
    </row>
    <row r="112">
      <c r="J112" s="185"/>
    </row>
    <row r="113">
      <c r="J113" s="185"/>
    </row>
    <row r="114">
      <c r="J114" s="185"/>
    </row>
    <row r="115">
      <c r="J115" s="185"/>
    </row>
    <row r="121">
      <c r="E121" s="185"/>
      <c r="F121" s="185"/>
      <c r="G121" s="185"/>
      <c r="H121" s="185"/>
    </row>
    <row r="122">
      <c r="E122" s="18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2.38"/>
  </cols>
  <sheetData>
    <row r="2">
      <c r="B2" s="186" t="s">
        <v>142</v>
      </c>
      <c r="C2" s="186" t="s">
        <v>143</v>
      </c>
      <c r="D2" s="186" t="s">
        <v>144</v>
      </c>
      <c r="E2" s="186" t="s">
        <v>145</v>
      </c>
      <c r="F2" s="14"/>
      <c r="G2" s="186" t="s">
        <v>146</v>
      </c>
      <c r="H2" s="186" t="s">
        <v>144</v>
      </c>
      <c r="I2" s="187" t="s">
        <v>145</v>
      </c>
    </row>
    <row r="3">
      <c r="B3" s="38" t="s">
        <v>0</v>
      </c>
      <c r="C3" s="38" t="s">
        <v>147</v>
      </c>
      <c r="D3" s="41"/>
      <c r="E3" s="38">
        <v>0.0</v>
      </c>
      <c r="G3" s="38" t="s">
        <v>148</v>
      </c>
      <c r="H3" s="41"/>
      <c r="I3" s="38">
        <v>1.0</v>
      </c>
    </row>
    <row r="4">
      <c r="B4" s="38" t="s">
        <v>149</v>
      </c>
      <c r="C4" s="38" t="s">
        <v>150</v>
      </c>
      <c r="D4" s="38" t="s">
        <v>151</v>
      </c>
      <c r="E4" s="38">
        <v>0.0</v>
      </c>
      <c r="G4" s="38" t="s">
        <v>152</v>
      </c>
      <c r="H4" s="41"/>
      <c r="I4" s="38">
        <v>1.0</v>
      </c>
      <c r="K4" s="188" t="s">
        <v>153</v>
      </c>
    </row>
    <row r="5">
      <c r="B5" s="38" t="s">
        <v>154</v>
      </c>
      <c r="C5" s="38" t="s">
        <v>155</v>
      </c>
      <c r="D5" s="38" t="s">
        <v>156</v>
      </c>
      <c r="E5" s="38">
        <v>0.0</v>
      </c>
      <c r="G5" s="41"/>
      <c r="H5" s="41"/>
      <c r="I5" s="41"/>
      <c r="K5" s="189">
        <f>Template!F21</f>
        <v>4</v>
      </c>
    </row>
    <row r="6">
      <c r="B6" s="38" t="s">
        <v>157</v>
      </c>
      <c r="C6" s="38" t="s">
        <v>155</v>
      </c>
      <c r="D6" s="38" t="s">
        <v>150</v>
      </c>
      <c r="E6" s="38">
        <v>0.0</v>
      </c>
      <c r="G6" s="41"/>
      <c r="H6" s="41"/>
      <c r="I6" s="41"/>
    </row>
    <row r="7">
      <c r="B7" s="38" t="s">
        <v>158</v>
      </c>
      <c r="C7" s="38" t="s">
        <v>155</v>
      </c>
      <c r="D7" s="38" t="s">
        <v>151</v>
      </c>
      <c r="E7" s="38">
        <v>0.0</v>
      </c>
      <c r="G7" s="41"/>
      <c r="H7" s="41"/>
      <c r="I7" s="41"/>
    </row>
    <row r="8">
      <c r="B8" s="38" t="s">
        <v>159</v>
      </c>
      <c r="C8" s="38" t="s">
        <v>155</v>
      </c>
      <c r="D8" s="38" t="s">
        <v>160</v>
      </c>
      <c r="E8" s="38">
        <v>0.0</v>
      </c>
      <c r="G8" s="41"/>
      <c r="H8" s="41"/>
      <c r="I8" s="41"/>
      <c r="K8" s="14" t="s">
        <v>161</v>
      </c>
      <c r="L8" s="14" t="s">
        <v>144</v>
      </c>
      <c r="M8" s="14" t="s">
        <v>162</v>
      </c>
      <c r="N8" s="14"/>
    </row>
    <row r="9">
      <c r="B9" s="38" t="s">
        <v>163</v>
      </c>
      <c r="C9" s="38" t="s">
        <v>155</v>
      </c>
      <c r="D9" s="38" t="s">
        <v>164</v>
      </c>
      <c r="E9" s="38">
        <v>0.0</v>
      </c>
      <c r="G9" s="41"/>
      <c r="H9" s="41"/>
      <c r="I9" s="41"/>
      <c r="K9" s="14" t="s">
        <v>165</v>
      </c>
      <c r="L9" s="14" t="s">
        <v>122</v>
      </c>
      <c r="M9" s="190" t="s">
        <v>166</v>
      </c>
      <c r="N9" s="191"/>
    </row>
    <row r="10">
      <c r="B10" s="38" t="s">
        <v>167</v>
      </c>
      <c r="C10" s="38" t="s">
        <v>155</v>
      </c>
      <c r="D10" s="38" t="s">
        <v>168</v>
      </c>
      <c r="E10" s="38">
        <v>0.0</v>
      </c>
      <c r="G10" s="41"/>
      <c r="H10" s="41"/>
      <c r="I10" s="41"/>
      <c r="K10" s="14" t="s">
        <v>150</v>
      </c>
      <c r="L10" s="14" t="s">
        <v>169</v>
      </c>
      <c r="M10" s="190" t="s">
        <v>170</v>
      </c>
      <c r="N10" s="191"/>
    </row>
    <row r="11">
      <c r="B11" s="38" t="s">
        <v>171</v>
      </c>
      <c r="C11" s="38" t="s">
        <v>160</v>
      </c>
      <c r="D11" s="38" t="s">
        <v>172</v>
      </c>
      <c r="E11" s="41"/>
      <c r="G11" s="41"/>
      <c r="H11" s="41"/>
      <c r="I11" s="41"/>
      <c r="K11" s="14" t="s">
        <v>160</v>
      </c>
      <c r="L11" s="14" t="s">
        <v>173</v>
      </c>
      <c r="M11" s="190" t="s">
        <v>174</v>
      </c>
      <c r="N11" s="191"/>
    </row>
    <row r="12">
      <c r="B12" s="38" t="s">
        <v>175</v>
      </c>
      <c r="C12" s="38" t="s">
        <v>160</v>
      </c>
      <c r="D12" s="38" t="s">
        <v>150</v>
      </c>
      <c r="E12" s="41"/>
      <c r="G12" s="41"/>
      <c r="H12" s="41"/>
      <c r="I12" s="41"/>
      <c r="K12" s="14" t="s">
        <v>168</v>
      </c>
      <c r="L12" s="14" t="s">
        <v>176</v>
      </c>
      <c r="M12" s="190" t="s">
        <v>177</v>
      </c>
      <c r="N12" s="191"/>
    </row>
    <row r="13">
      <c r="B13" s="38" t="s">
        <v>178</v>
      </c>
      <c r="C13" s="38" t="s">
        <v>160</v>
      </c>
      <c r="D13" s="38" t="s">
        <v>168</v>
      </c>
      <c r="E13" s="41"/>
      <c r="G13" s="41"/>
      <c r="H13" s="41"/>
      <c r="I13" s="41"/>
      <c r="K13" s="14" t="s">
        <v>151</v>
      </c>
      <c r="L13" s="14" t="s">
        <v>179</v>
      </c>
      <c r="M13" s="190" t="s">
        <v>180</v>
      </c>
      <c r="N13" s="191"/>
    </row>
    <row r="14">
      <c r="B14" s="38" t="s">
        <v>181</v>
      </c>
      <c r="C14" s="38" t="s">
        <v>160</v>
      </c>
      <c r="D14" s="38" t="s">
        <v>168</v>
      </c>
      <c r="E14" s="41"/>
      <c r="G14" s="41"/>
      <c r="H14" s="41"/>
      <c r="I14" s="41"/>
      <c r="K14" s="14" t="s">
        <v>156</v>
      </c>
      <c r="L14" s="14" t="s">
        <v>182</v>
      </c>
      <c r="M14" s="190" t="s">
        <v>183</v>
      </c>
      <c r="N14" s="191"/>
    </row>
    <row r="15">
      <c r="B15" s="38" t="s">
        <v>184</v>
      </c>
      <c r="C15" s="38" t="s">
        <v>160</v>
      </c>
      <c r="D15" s="38" t="s">
        <v>172</v>
      </c>
      <c r="E15" s="41"/>
      <c r="G15" s="41"/>
      <c r="H15" s="41"/>
      <c r="I15" s="41"/>
      <c r="K15" s="14" t="s">
        <v>172</v>
      </c>
      <c r="L15" s="14" t="s">
        <v>185</v>
      </c>
      <c r="M15" s="192" t="s">
        <v>186</v>
      </c>
      <c r="N15" s="191"/>
    </row>
    <row r="16">
      <c r="B16" s="38" t="s">
        <v>187</v>
      </c>
      <c r="C16" s="38" t="s">
        <v>160</v>
      </c>
      <c r="D16" s="38" t="s">
        <v>160</v>
      </c>
      <c r="E16" s="41"/>
      <c r="G16" s="41"/>
      <c r="H16" s="41"/>
      <c r="I16" s="41"/>
      <c r="K16" s="14" t="s">
        <v>188</v>
      </c>
      <c r="L16" s="190" t="s">
        <v>189</v>
      </c>
      <c r="M16" s="14"/>
      <c r="N16" s="14"/>
    </row>
    <row r="17">
      <c r="B17" s="38" t="s">
        <v>190</v>
      </c>
      <c r="C17" s="38" t="s">
        <v>160</v>
      </c>
      <c r="D17" s="38" t="s">
        <v>172</v>
      </c>
      <c r="E17" s="41"/>
      <c r="G17" s="41"/>
      <c r="H17" s="41"/>
      <c r="I17" s="41"/>
    </row>
    <row r="18">
      <c r="B18" s="41"/>
      <c r="C18" s="41"/>
      <c r="D18" s="41"/>
      <c r="E18" s="41"/>
      <c r="G18" s="41"/>
      <c r="H18" s="41"/>
      <c r="I18" s="41"/>
    </row>
    <row r="19">
      <c r="B19" s="41"/>
      <c r="C19" s="41"/>
      <c r="D19" s="41"/>
      <c r="E19" s="41"/>
      <c r="G19" s="41"/>
      <c r="H19" s="41"/>
      <c r="I19" s="41"/>
    </row>
    <row r="20">
      <c r="B20" s="41"/>
      <c r="C20" s="41"/>
      <c r="D20" s="41"/>
      <c r="E20" s="41"/>
      <c r="G20" s="41"/>
      <c r="H20" s="41"/>
      <c r="I20" s="41"/>
    </row>
    <row r="21">
      <c r="B21" s="41"/>
      <c r="C21" s="41"/>
      <c r="D21" s="41"/>
      <c r="E21" s="41"/>
      <c r="G21" s="41"/>
      <c r="H21" s="41"/>
      <c r="I21" s="41"/>
    </row>
    <row r="22">
      <c r="B22" s="41"/>
      <c r="C22" s="41"/>
      <c r="D22" s="41"/>
      <c r="E22" s="41"/>
      <c r="G22" s="41"/>
      <c r="H22" s="41"/>
      <c r="I22" s="41"/>
    </row>
    <row r="23">
      <c r="B23" s="38"/>
      <c r="C23" s="38"/>
      <c r="D23" s="38"/>
      <c r="E23" s="38"/>
      <c r="G23" s="41"/>
      <c r="H23" s="41"/>
      <c r="I23" s="41"/>
    </row>
    <row r="24">
      <c r="B24" s="38"/>
      <c r="C24" s="38"/>
      <c r="D24" s="38"/>
      <c r="E24" s="38"/>
      <c r="G24" s="41"/>
      <c r="H24" s="41"/>
      <c r="I24" s="41"/>
    </row>
    <row r="25">
      <c r="B25" s="38"/>
      <c r="C25" s="38"/>
      <c r="D25" s="38"/>
      <c r="E25" s="38"/>
      <c r="G25" s="41"/>
      <c r="H25" s="41"/>
      <c r="I25" s="41"/>
    </row>
    <row r="26">
      <c r="D26" s="3" t="s">
        <v>66</v>
      </c>
      <c r="E26" s="193">
        <f>sum(E1:E22)</f>
        <v>0</v>
      </c>
      <c r="H26" s="3" t="s">
        <v>66</v>
      </c>
      <c r="I26" s="193">
        <f>sum(I1:I22)</f>
        <v>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7.38"/>
    <col customWidth="1" min="9" max="9" width="15.38"/>
    <col customWidth="1" min="13" max="13" width="25.5"/>
    <col customWidth="1" min="14" max="14" width="8.25"/>
  </cols>
  <sheetData>
    <row r="2">
      <c r="B2" s="194" t="s">
        <v>191</v>
      </c>
      <c r="C2" s="53"/>
      <c r="D2" s="53"/>
      <c r="E2" s="53"/>
      <c r="F2" s="53"/>
      <c r="G2" s="53"/>
      <c r="H2" s="53"/>
      <c r="I2" s="53"/>
      <c r="J2" s="53"/>
      <c r="K2" s="195"/>
      <c r="M2" s="196" t="s">
        <v>192</v>
      </c>
      <c r="N2" s="53"/>
      <c r="O2" s="53"/>
      <c r="P2" s="53"/>
      <c r="Q2" s="54"/>
    </row>
    <row r="3">
      <c r="B3" s="197" t="s">
        <v>52</v>
      </c>
      <c r="C3" s="198" t="s">
        <v>7</v>
      </c>
      <c r="D3" s="198" t="s">
        <v>193</v>
      </c>
      <c r="E3" s="198" t="s">
        <v>194</v>
      </c>
      <c r="F3" s="198" t="s">
        <v>195</v>
      </c>
      <c r="G3" s="198" t="s">
        <v>196</v>
      </c>
      <c r="H3" s="199" t="s">
        <v>197</v>
      </c>
      <c r="I3" s="200" t="s">
        <v>198</v>
      </c>
      <c r="J3" s="200" t="s">
        <v>199</v>
      </c>
      <c r="M3" s="201" t="s">
        <v>196</v>
      </c>
      <c r="N3" s="201" t="s">
        <v>161</v>
      </c>
      <c r="O3" s="201" t="s">
        <v>200</v>
      </c>
      <c r="P3" s="201" t="s">
        <v>201</v>
      </c>
      <c r="Q3" s="201" t="s">
        <v>10</v>
      </c>
    </row>
    <row r="4">
      <c r="B4" s="202" t="s">
        <v>202</v>
      </c>
      <c r="C4" s="203" t="s">
        <v>203</v>
      </c>
      <c r="D4" s="204" t="s">
        <v>204</v>
      </c>
      <c r="E4" s="205"/>
      <c r="F4" s="206" t="s">
        <v>205</v>
      </c>
      <c r="G4" s="205"/>
      <c r="H4" s="207"/>
      <c r="I4" s="208">
        <v>44119.0</v>
      </c>
      <c r="J4" s="41"/>
      <c r="M4" s="38" t="s">
        <v>206</v>
      </c>
      <c r="N4" s="38">
        <v>3.0</v>
      </c>
      <c r="O4" s="38">
        <v>12.0</v>
      </c>
      <c r="P4" s="38">
        <v>12.0</v>
      </c>
      <c r="Q4" s="41"/>
    </row>
    <row r="5">
      <c r="B5" s="209" t="s">
        <v>207</v>
      </c>
      <c r="C5" s="203" t="s">
        <v>208</v>
      </c>
      <c r="D5" s="203" t="s">
        <v>209</v>
      </c>
      <c r="E5" s="203">
        <v>1.0</v>
      </c>
      <c r="F5" s="203" t="s">
        <v>210</v>
      </c>
      <c r="G5" s="205"/>
      <c r="H5" s="207"/>
      <c r="I5" s="38" t="s">
        <v>211</v>
      </c>
      <c r="J5" s="210"/>
      <c r="K5" s="211"/>
      <c r="M5" s="38"/>
      <c r="N5" s="41"/>
      <c r="O5" s="41"/>
      <c r="P5" s="41"/>
      <c r="Q5" s="41"/>
    </row>
    <row r="6">
      <c r="B6" s="212"/>
      <c r="C6" s="205"/>
      <c r="D6" s="205"/>
      <c r="E6" s="205"/>
      <c r="F6" s="205"/>
      <c r="G6" s="205"/>
      <c r="H6" s="207"/>
      <c r="I6" s="41"/>
      <c r="J6" s="210"/>
      <c r="K6" s="211"/>
      <c r="M6" s="38"/>
      <c r="N6" s="41"/>
      <c r="O6" s="41"/>
      <c r="P6" s="41"/>
      <c r="Q6" s="41"/>
    </row>
    <row r="7">
      <c r="B7" s="212"/>
      <c r="C7" s="205"/>
      <c r="D7" s="205"/>
      <c r="E7" s="205"/>
      <c r="F7" s="205"/>
      <c r="G7" s="205"/>
      <c r="H7" s="207"/>
      <c r="I7" s="41"/>
      <c r="J7" s="210"/>
      <c r="K7" s="211"/>
      <c r="M7" s="41"/>
      <c r="N7" s="41"/>
      <c r="O7" s="41"/>
      <c r="P7" s="41"/>
      <c r="Q7" s="41"/>
    </row>
    <row r="8">
      <c r="B8" s="212"/>
      <c r="C8" s="205"/>
      <c r="D8" s="205"/>
      <c r="E8" s="205"/>
      <c r="F8" s="205"/>
      <c r="G8" s="205"/>
      <c r="H8" s="207"/>
      <c r="I8" s="41"/>
      <c r="J8" s="41"/>
      <c r="M8" s="41"/>
      <c r="N8" s="41"/>
      <c r="O8" s="41"/>
      <c r="P8" s="41"/>
      <c r="Q8" s="41"/>
    </row>
    <row r="9">
      <c r="B9" s="212"/>
      <c r="C9" s="205"/>
      <c r="D9" s="205"/>
      <c r="E9" s="205"/>
      <c r="F9" s="205"/>
      <c r="G9" s="205"/>
      <c r="H9" s="207"/>
      <c r="I9" s="41"/>
      <c r="J9" s="41"/>
      <c r="M9" s="41"/>
      <c r="N9" s="41"/>
      <c r="O9" s="41"/>
      <c r="P9" s="41"/>
      <c r="Q9" s="41"/>
    </row>
    <row r="10">
      <c r="B10" s="212"/>
      <c r="C10" s="205"/>
      <c r="D10" s="205"/>
      <c r="E10" s="205"/>
      <c r="F10" s="205"/>
      <c r="G10" s="205"/>
      <c r="H10" s="207"/>
      <c r="I10" s="41"/>
      <c r="J10" s="41"/>
      <c r="M10" s="41"/>
      <c r="N10" s="41"/>
      <c r="O10" s="41"/>
      <c r="P10" s="41"/>
      <c r="Q10" s="41"/>
    </row>
    <row r="11">
      <c r="B11" s="212"/>
      <c r="C11" s="205"/>
      <c r="D11" s="205"/>
      <c r="E11" s="205"/>
      <c r="F11" s="205"/>
      <c r="G11" s="205"/>
      <c r="H11" s="207"/>
      <c r="I11" s="41"/>
      <c r="J11" s="41"/>
      <c r="M11" s="41"/>
      <c r="N11" s="41"/>
      <c r="O11" s="41"/>
      <c r="P11" s="41"/>
      <c r="Q11" s="41"/>
    </row>
    <row r="12">
      <c r="B12" s="212"/>
      <c r="C12" s="205"/>
      <c r="D12" s="205"/>
      <c r="E12" s="205"/>
      <c r="F12" s="205"/>
      <c r="G12" s="205"/>
      <c r="H12" s="207"/>
      <c r="I12" s="41"/>
      <c r="J12" s="41"/>
      <c r="M12" s="41"/>
      <c r="N12" s="41"/>
      <c r="O12" s="41"/>
      <c r="P12" s="41"/>
      <c r="Q12" s="41"/>
    </row>
    <row r="13">
      <c r="B13" s="14"/>
      <c r="C13" s="14"/>
      <c r="D13" s="14"/>
      <c r="E13" s="14"/>
      <c r="F13" s="14"/>
      <c r="G13" s="14"/>
      <c r="H13" s="14"/>
      <c r="M13" s="41"/>
      <c r="N13" s="41"/>
      <c r="O13" s="41"/>
      <c r="P13" s="41"/>
      <c r="Q13" s="41"/>
    </row>
    <row r="14">
      <c r="B14" s="14"/>
      <c r="C14" s="14"/>
      <c r="D14" s="14"/>
      <c r="E14" s="14"/>
      <c r="F14" s="14"/>
      <c r="G14" s="14"/>
      <c r="H14" s="14"/>
      <c r="I14" s="59" t="s">
        <v>66</v>
      </c>
      <c r="J14" s="81">
        <f>sum(J4:J12)</f>
        <v>0</v>
      </c>
      <c r="M14" s="41"/>
      <c r="N14" s="41"/>
      <c r="O14" s="41"/>
      <c r="P14" s="41"/>
      <c r="Q14" s="41"/>
    </row>
    <row r="15">
      <c r="B15" s="13"/>
      <c r="C15" s="13"/>
      <c r="D15" s="13"/>
      <c r="E15" s="13"/>
      <c r="F15" s="13"/>
      <c r="G15" s="13"/>
      <c r="H15" s="13"/>
      <c r="I15" s="13"/>
      <c r="M15" s="41"/>
      <c r="N15" s="41"/>
      <c r="O15" s="41"/>
      <c r="P15" s="41"/>
      <c r="Q15" s="41"/>
    </row>
    <row r="16">
      <c r="B16" s="213" t="s">
        <v>212</v>
      </c>
      <c r="C16" s="214"/>
      <c r="D16" s="214"/>
      <c r="E16" s="214"/>
      <c r="F16" s="214"/>
      <c r="G16" s="214"/>
      <c r="H16" s="214"/>
      <c r="I16" s="214"/>
      <c r="J16" s="215"/>
      <c r="M16" s="41"/>
      <c r="N16" s="41"/>
      <c r="O16" s="41"/>
      <c r="P16" s="41"/>
      <c r="Q16" s="41"/>
    </row>
    <row r="17">
      <c r="B17" s="197" t="s">
        <v>84</v>
      </c>
      <c r="C17" s="198" t="s">
        <v>213</v>
      </c>
      <c r="D17" s="198" t="s">
        <v>201</v>
      </c>
      <c r="E17" s="216" t="s">
        <v>214</v>
      </c>
      <c r="F17" s="198" t="s">
        <v>194</v>
      </c>
      <c r="G17" s="198" t="s">
        <v>191</v>
      </c>
      <c r="H17" s="198" t="s">
        <v>215</v>
      </c>
      <c r="I17" s="216" t="s">
        <v>216</v>
      </c>
      <c r="J17" s="200" t="s">
        <v>199</v>
      </c>
      <c r="M17" s="41"/>
      <c r="N17" s="41"/>
      <c r="O17" s="41"/>
      <c r="P17" s="41"/>
      <c r="Q17" s="41"/>
    </row>
    <row r="18">
      <c r="B18" s="209" t="s">
        <v>33</v>
      </c>
      <c r="C18" s="203">
        <v>8.0</v>
      </c>
      <c r="D18" s="203">
        <v>4.0</v>
      </c>
      <c r="E18" s="217"/>
      <c r="F18" s="217" t="s">
        <v>217</v>
      </c>
      <c r="G18" s="205"/>
      <c r="H18" s="206" t="s">
        <v>218</v>
      </c>
      <c r="I18" s="217" t="s">
        <v>219</v>
      </c>
      <c r="J18" s="38">
        <v>2.0</v>
      </c>
      <c r="M18" s="41"/>
      <c r="N18" s="41"/>
      <c r="O18" s="41"/>
      <c r="P18" s="41"/>
      <c r="Q18" s="41"/>
    </row>
    <row r="19">
      <c r="B19" s="209" t="s">
        <v>33</v>
      </c>
      <c r="C19" s="203">
        <v>8.0</v>
      </c>
      <c r="D19" s="203">
        <v>4.0</v>
      </c>
      <c r="E19" s="217"/>
      <c r="F19" s="217" t="s">
        <v>220</v>
      </c>
      <c r="G19" s="205"/>
      <c r="H19" s="206" t="s">
        <v>218</v>
      </c>
      <c r="I19" s="217" t="s">
        <v>219</v>
      </c>
      <c r="J19" s="38">
        <v>2.0</v>
      </c>
      <c r="M19" s="41"/>
      <c r="N19" s="41"/>
      <c r="O19" s="41"/>
      <c r="P19" s="41"/>
      <c r="Q19" s="41"/>
    </row>
    <row r="20">
      <c r="B20" s="209" t="s">
        <v>33</v>
      </c>
      <c r="C20" s="203">
        <v>8.0</v>
      </c>
      <c r="D20" s="203">
        <v>4.0</v>
      </c>
      <c r="E20" s="217"/>
      <c r="F20" s="217" t="s">
        <v>220</v>
      </c>
      <c r="G20" s="205"/>
      <c r="H20" s="206" t="s">
        <v>218</v>
      </c>
      <c r="I20" s="217" t="s">
        <v>219</v>
      </c>
      <c r="J20" s="38">
        <v>2.0</v>
      </c>
      <c r="M20" s="41"/>
      <c r="N20" s="41"/>
      <c r="O20" s="41"/>
      <c r="P20" s="41"/>
      <c r="Q20" s="41"/>
    </row>
    <row r="21">
      <c r="B21" s="218"/>
      <c r="C21" s="219"/>
      <c r="D21" s="219"/>
      <c r="E21" s="205"/>
      <c r="F21" s="205"/>
      <c r="G21" s="205"/>
      <c r="H21" s="205"/>
      <c r="I21" s="217"/>
      <c r="J21" s="219"/>
      <c r="K21" s="193"/>
      <c r="M21" s="41"/>
      <c r="N21" s="41"/>
      <c r="O21" s="41"/>
      <c r="P21" s="41"/>
      <c r="Q21" s="41"/>
    </row>
    <row r="22">
      <c r="B22" s="212"/>
      <c r="C22" s="205"/>
      <c r="D22" s="205"/>
      <c r="E22" s="205"/>
      <c r="F22" s="205"/>
      <c r="G22" s="205"/>
      <c r="H22" s="205"/>
      <c r="I22" s="205"/>
      <c r="J22" s="41"/>
      <c r="M22" s="41"/>
      <c r="N22" s="41"/>
      <c r="O22" s="41"/>
      <c r="P22" s="41"/>
      <c r="Q22" s="41"/>
    </row>
    <row r="23">
      <c r="B23" s="212"/>
      <c r="C23" s="205"/>
      <c r="D23" s="205"/>
      <c r="E23" s="205"/>
      <c r="F23" s="205"/>
      <c r="G23" s="205"/>
      <c r="H23" s="205"/>
      <c r="I23" s="205"/>
      <c r="J23" s="41"/>
      <c r="M23" s="41"/>
      <c r="N23" s="41"/>
      <c r="O23" s="41"/>
      <c r="P23" s="41"/>
      <c r="Q23" s="41"/>
    </row>
    <row r="24">
      <c r="B24" s="212"/>
      <c r="C24" s="205"/>
      <c r="D24" s="205"/>
      <c r="E24" s="205"/>
      <c r="F24" s="205"/>
      <c r="G24" s="205"/>
      <c r="H24" s="205"/>
      <c r="I24" s="205"/>
      <c r="J24" s="41"/>
      <c r="M24" s="41"/>
      <c r="N24" s="41"/>
      <c r="O24" s="41"/>
      <c r="P24" s="41"/>
      <c r="Q24" s="41"/>
    </row>
    <row r="25">
      <c r="B25" s="212"/>
      <c r="C25" s="205"/>
      <c r="D25" s="205"/>
      <c r="E25" s="205"/>
      <c r="F25" s="205"/>
      <c r="G25" s="205"/>
      <c r="H25" s="205"/>
      <c r="I25" s="205"/>
      <c r="J25" s="41"/>
      <c r="M25" s="41"/>
      <c r="N25" s="41"/>
      <c r="O25" s="41"/>
      <c r="P25" s="41"/>
      <c r="Q25" s="41"/>
    </row>
    <row r="26">
      <c r="B26" s="212"/>
      <c r="C26" s="205"/>
      <c r="D26" s="205"/>
      <c r="E26" s="205"/>
      <c r="F26" s="205"/>
      <c r="G26" s="205"/>
      <c r="H26" s="205"/>
      <c r="I26" s="205"/>
      <c r="J26" s="41"/>
      <c r="M26" s="41"/>
      <c r="N26" s="41"/>
      <c r="O26" s="41"/>
      <c r="P26" s="41"/>
      <c r="Q26" s="41"/>
    </row>
    <row r="27">
      <c r="B27" s="212"/>
      <c r="C27" s="205"/>
      <c r="D27" s="205"/>
      <c r="E27" s="205"/>
      <c r="F27" s="205"/>
      <c r="G27" s="205"/>
      <c r="H27" s="205"/>
      <c r="I27" s="205"/>
      <c r="J27" s="41"/>
      <c r="M27" s="41"/>
      <c r="N27" s="41"/>
      <c r="O27" s="41"/>
      <c r="P27" s="41"/>
      <c r="Q27" s="41"/>
    </row>
    <row r="29">
      <c r="I29" s="59" t="s">
        <v>66</v>
      </c>
      <c r="J29" s="81">
        <f>Sum(J18:J27)</f>
        <v>6</v>
      </c>
    </row>
  </sheetData>
  <mergeCells count="3">
    <mergeCell ref="B2:J2"/>
    <mergeCell ref="M2:Q2"/>
    <mergeCell ref="B16:J1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63"/>
    <col customWidth="1" min="3" max="3" width="50.75"/>
  </cols>
  <sheetData>
    <row r="3">
      <c r="B3" s="220" t="s">
        <v>221</v>
      </c>
      <c r="C3" s="54"/>
    </row>
    <row r="4">
      <c r="B4" s="221" t="s">
        <v>52</v>
      </c>
      <c r="C4" s="221" t="s">
        <v>53</v>
      </c>
    </row>
    <row r="5">
      <c r="B5" s="222" t="s">
        <v>222</v>
      </c>
      <c r="C5" s="222" t="s">
        <v>223</v>
      </c>
    </row>
    <row r="6">
      <c r="B6" s="222" t="s">
        <v>224</v>
      </c>
      <c r="C6" s="222" t="s">
        <v>225</v>
      </c>
    </row>
    <row r="7">
      <c r="B7" s="223"/>
      <c r="C7" s="222" t="s">
        <v>226</v>
      </c>
    </row>
    <row r="8">
      <c r="B8" s="222" t="s">
        <v>227</v>
      </c>
      <c r="C8" s="222" t="s">
        <v>228</v>
      </c>
    </row>
    <row r="9">
      <c r="B9" s="222" t="s">
        <v>229</v>
      </c>
      <c r="C9" s="222" t="s">
        <v>230</v>
      </c>
    </row>
    <row r="10">
      <c r="B10" s="222" t="s">
        <v>231</v>
      </c>
      <c r="C10" s="223"/>
    </row>
    <row r="11">
      <c r="B11" s="223"/>
      <c r="C11" s="223"/>
    </row>
    <row r="12">
      <c r="B12" s="223"/>
      <c r="C12" s="223"/>
    </row>
    <row r="13">
      <c r="B13" s="223"/>
      <c r="C13" s="223"/>
    </row>
    <row r="14">
      <c r="B14" s="223"/>
      <c r="C14" s="223"/>
    </row>
    <row r="15">
      <c r="B15" s="223"/>
      <c r="C15" s="223"/>
    </row>
    <row r="16">
      <c r="B16" s="223"/>
      <c r="C16" s="223"/>
    </row>
    <row r="17">
      <c r="B17" s="223"/>
      <c r="C17" s="223"/>
    </row>
    <row r="18">
      <c r="B18" s="223"/>
      <c r="C18" s="223"/>
    </row>
    <row r="19">
      <c r="B19" s="223"/>
      <c r="C19" s="223"/>
    </row>
    <row r="20">
      <c r="B20" s="223"/>
      <c r="C20" s="223"/>
    </row>
    <row r="21">
      <c r="B21" s="223"/>
      <c r="C21" s="223"/>
    </row>
    <row r="22">
      <c r="B22" s="223"/>
      <c r="C22" s="223"/>
    </row>
    <row r="23">
      <c r="B23" s="223"/>
      <c r="C23" s="223"/>
    </row>
    <row r="24">
      <c r="B24" s="223"/>
      <c r="C24" s="223"/>
    </row>
    <row r="25">
      <c r="B25" s="223"/>
      <c r="C25" s="223"/>
    </row>
    <row r="26">
      <c r="B26" s="223"/>
      <c r="C26" s="223"/>
    </row>
    <row r="27">
      <c r="B27" s="223"/>
      <c r="C27" s="223"/>
    </row>
    <row r="28">
      <c r="B28" s="223"/>
      <c r="C28" s="223"/>
    </row>
    <row r="29">
      <c r="B29" s="223"/>
      <c r="C29" s="223"/>
    </row>
    <row r="30">
      <c r="B30" s="223"/>
      <c r="C30" s="223"/>
    </row>
  </sheetData>
  <mergeCells count="1">
    <mergeCell ref="B3:C3"/>
  </mergeCells>
  <drawing r:id="rId1"/>
</worksheet>
</file>