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comments+xml" PartName="/xl/comments8.xml"/>
  <Override ContentType="application/vnd.openxmlformats-officedocument.spreadsheetml.comments+xml" PartName="/xl/comments7.xml"/>
  <Override ContentType="application/vnd.openxmlformats-officedocument.spreadsheetml.comments+xml" PartName="/xl/comments9.xml"/>
  <Override ContentType="application/vnd.openxmlformats-officedocument.spreadsheetml.comments+xml" PartName="/xl/comments11.xml"/>
  <Override ContentType="application/vnd.openxmlformats-officedocument.spreadsheetml.comments+xml" PartName="/xl/comments10.xml"/>
  <Override ContentType="application/vnd.openxmlformats-officedocument.spreadsheetml.comments+xml" PartName="/xl/comments12.xml"/>
  <Override ContentType="application/vnd.openxmlformats-officedocument.spreadsheetml.comments+xml" PartName="/xl/comments5.xml"/>
  <Override ContentType="application/vnd.openxmlformats-officedocument.spreadsheetml.comments+xml" PartName="/xl/comments6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imple" sheetId="1" r:id="rId4"/>
    <sheet state="visible" name="Raw Values" sheetId="2" r:id="rId5"/>
    <sheet state="visible" name="Analysis" sheetId="3" r:id="rId6"/>
    <sheet state="hidden" name="Firing Inaccuracy(Standing) Raw" sheetId="4" r:id="rId7"/>
    <sheet state="visible" name="Firing Inaccuracy(Standing)" sheetId="5" r:id="rId8"/>
    <sheet state="hidden" name="Firing Inaccuracy(Crouching) Ra" sheetId="6" r:id="rId9"/>
    <sheet state="visible" name="Firing Inaccuracy(Crouching)" sheetId="7" r:id="rId10"/>
    <sheet state="hidden" name="Firing Inaccuracy(Tapping) Raw" sheetId="8" r:id="rId11"/>
    <sheet state="visible" name="Firing Inaccuracy(Tapping)" sheetId="9" r:id="rId12"/>
    <sheet state="visible" name="Damage @Range" sheetId="10" r:id="rId13"/>
    <sheet state="visible" name="Damage @Range(Armor)" sheetId="11" r:id="rId14"/>
    <sheet state="visible" name="Time-to-Kill @Range(Armor)" sheetId="12" r:id="rId15"/>
    <sheet state="visible" name="Reload &amp; Deploy Times" sheetId="13" r:id="rId16"/>
    <sheet state="visible" name="License" sheetId="14" r:id="rId17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M1">
      <text>
        <t xml:space="preserve">in units</t>
      </text>
    </comment>
    <comment authorId="0" ref="O1">
      <text>
        <t xml:space="preserve">raw amount of recoil per shot, does not take into account any other factors such as recoil pattern, fire rate, recoil angles, or variance</t>
      </text>
    </comment>
    <comment authorId="0" ref="P1">
      <text>
        <t xml:space="preserve">Amount of horizontal recoil</t>
      </text>
    </comment>
    <comment authorId="0" ref="G3">
      <text>
        <t xml:space="preserve">0.4 seconds to charge
This RPM is incorrect as there appears to be a delay after firing before the cycletime timer starts.</t>
      </text>
    </comment>
    <comment authorId="0" ref="K3">
      <text>
        <t xml:space="preserve">Player moves at 220 unless left click is held.</t>
      </text>
    </comment>
  </commentList>
</comments>
</file>

<file path=xl/comments10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">
      <text>
        <t xml:space="preserve">amount of damage inficted before any modifiers</t>
      </text>
    </comment>
    <comment authorId="0" ref="C1">
      <text>
        <t xml:space="preserve">'Damage' * (RangeModifier ^ (Distance/500u)) = Damage</t>
      </text>
    </comment>
    <comment authorId="0" ref="A2">
      <text>
        <t xml:space="preserve">Desert Eagle</t>
      </text>
    </comment>
    <comment authorId="0" ref="A3">
      <text>
        <t xml:space="preserve">R8 Revolver</t>
      </text>
    </comment>
    <comment authorId="0" ref="A4">
      <text>
        <t xml:space="preserve">Dual Berettas</t>
      </text>
    </comment>
    <comment authorId="0" ref="A5">
      <text>
        <t xml:space="preserve">Five-SeveN</t>
      </text>
    </comment>
    <comment authorId="0" ref="A6">
      <text>
        <t xml:space="preserve">Glock 18</t>
      </text>
    </comment>
    <comment authorId="0" ref="A7">
      <text>
        <t xml:space="preserve">P2000</t>
      </text>
    </comment>
    <comment authorId="0" ref="A8">
      <text>
        <t xml:space="preserve">(silencer equipped)</t>
      </text>
    </comment>
    <comment authorId="0" ref="A9">
      <text>
        <t xml:space="preserve">P250</t>
      </text>
    </comment>
    <comment authorId="0" ref="A10">
      <text>
        <t xml:space="preserve">CZ75 Auto</t>
      </text>
    </comment>
    <comment authorId="0" ref="A11">
      <text>
        <t xml:space="preserve">Tec-9</t>
      </text>
    </comment>
    <comment authorId="0" ref="B13">
      <text>
        <t xml:space="preserve">amount of damage inficted before any modifiers</t>
      </text>
    </comment>
    <comment authorId="0" ref="C13">
      <text>
        <t xml:space="preserve">'Damage' * (RangeModifier ^ (Distance/500u)) = Damage</t>
      </text>
    </comment>
    <comment authorId="0" ref="A14">
      <text>
        <t xml:space="preserve">MAG-7</t>
      </text>
    </comment>
    <comment authorId="0" ref="A15">
      <text>
        <t xml:space="preserve">Nova</t>
      </text>
    </comment>
    <comment authorId="0" ref="A16">
      <text>
        <t xml:space="preserve">Sawed-Off</t>
      </text>
    </comment>
    <comment authorId="0" ref="A17">
      <text>
        <t xml:space="preserve">XM1014</t>
      </text>
    </comment>
    <comment authorId="0" ref="B19">
      <text>
        <t xml:space="preserve">amount of damage inficted before any modifiers</t>
      </text>
    </comment>
    <comment authorId="0" ref="C19">
      <text>
        <t xml:space="preserve">'Damage' * (RangeModifier ^ (Distance/500u)) = Damage</t>
      </text>
    </comment>
    <comment authorId="0" ref="A20">
      <text>
        <t xml:space="preserve">PP-Bizon</t>
      </text>
    </comment>
    <comment authorId="0" ref="A21">
      <text>
        <t xml:space="preserve">MAC-10</t>
      </text>
    </comment>
    <comment authorId="0" ref="A22">
      <text>
        <t xml:space="preserve">MP7</t>
      </text>
    </comment>
    <comment authorId="0" ref="A23">
      <text>
        <t xml:space="preserve">MP5-SD</t>
      </text>
    </comment>
    <comment authorId="0" ref="A24">
      <text>
        <t xml:space="preserve">MP9</t>
      </text>
    </comment>
    <comment authorId="0" ref="A25">
      <text>
        <t xml:space="preserve">P90</t>
      </text>
    </comment>
    <comment authorId="0" ref="A26">
      <text>
        <t xml:space="preserve">UMP-45</t>
      </text>
    </comment>
    <comment authorId="0" ref="B28">
      <text>
        <t xml:space="preserve">amount of damage inficted before any modifiers</t>
      </text>
    </comment>
    <comment authorId="0" ref="C28">
      <text>
        <t xml:space="preserve">'Damage' * (RangeModifier ^ (Distance/500u)) = Damage</t>
      </text>
    </comment>
    <comment authorId="0" ref="A29">
      <text>
        <t xml:space="preserve">AK-47</t>
      </text>
    </comment>
    <comment authorId="0" ref="A30">
      <text>
        <t xml:space="preserve">AUG</t>
      </text>
    </comment>
    <comment authorId="0" ref="A31">
      <text>
        <t xml:space="preserve">FAMAS</t>
      </text>
    </comment>
    <comment authorId="0" ref="A32">
      <text>
        <t xml:space="preserve">Galil AR</t>
      </text>
    </comment>
    <comment authorId="0" ref="A33">
      <text>
        <t xml:space="preserve">M4A4</t>
      </text>
    </comment>
    <comment authorId="0" ref="A34">
      <text>
        <t xml:space="preserve">M4A1-S</t>
      </text>
    </comment>
    <comment authorId="0" ref="A35">
      <text>
        <t xml:space="preserve">SG 553</t>
      </text>
    </comment>
    <comment authorId="0" ref="B37">
      <text>
        <t xml:space="preserve">amount of damage inficted before any modifiers</t>
      </text>
    </comment>
    <comment authorId="0" ref="C37">
      <text>
        <t xml:space="preserve">'Damage' * (RangeModifier ^ (Distance/500u)) = Damage</t>
      </text>
    </comment>
    <comment authorId="0" ref="A38">
      <text>
        <t xml:space="preserve">M249</t>
      </text>
    </comment>
    <comment authorId="0" ref="A39">
      <text>
        <t xml:space="preserve">Negev</t>
      </text>
    </comment>
    <comment authorId="0" ref="B41">
      <text>
        <t xml:space="preserve">amount of damage inficted before any modifiers</t>
      </text>
    </comment>
    <comment authorId="0" ref="C41">
      <text>
        <t xml:space="preserve">'Damage' * (RangeModifier ^ (Distance/500u)) = Damage</t>
      </text>
    </comment>
    <comment authorId="0" ref="A42">
      <text>
        <t xml:space="preserve">AWP</t>
      </text>
    </comment>
    <comment authorId="0" ref="A43">
      <text>
        <t xml:space="preserve">G3SG1</t>
      </text>
    </comment>
    <comment authorId="0" ref="A44">
      <text>
        <t xml:space="preserve">SCAR-20</t>
      </text>
    </comment>
    <comment authorId="0" ref="A45">
      <text>
        <t xml:space="preserve">SSG 08</t>
      </text>
    </comment>
  </commentList>
</comments>
</file>

<file path=xl/comments1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">
      <text>
        <t xml:space="preserve">Damage against armoured opponents is multiplied by 'ArmorRatio'/2</t>
      </text>
    </comment>
    <comment authorId="0" ref="C1">
      <text>
        <t xml:space="preserve">amount of damage inficted before any modifiers</t>
      </text>
    </comment>
    <comment authorId="0" ref="D1">
      <text>
        <t xml:space="preserve">'Damage' * (RangeModifier ^ (Distance/500u)) = Damage</t>
      </text>
    </comment>
    <comment authorId="0" ref="A2">
      <text>
        <t xml:space="preserve">Desert Eagle</t>
      </text>
    </comment>
    <comment authorId="0" ref="A3">
      <text>
        <t xml:space="preserve">R8 Revolver</t>
      </text>
    </comment>
    <comment authorId="0" ref="A4">
      <text>
        <t xml:space="preserve">Dual Berettas</t>
      </text>
    </comment>
    <comment authorId="0" ref="A5">
      <text>
        <t xml:space="preserve">Five-SeveN</t>
      </text>
    </comment>
    <comment authorId="0" ref="A6">
      <text>
        <t xml:space="preserve">Glock 18</t>
      </text>
    </comment>
    <comment authorId="0" ref="A7">
      <text>
        <t xml:space="preserve">P2000</t>
      </text>
    </comment>
    <comment authorId="0" ref="A8">
      <text>
        <t xml:space="preserve">(silencer equipped)</t>
      </text>
    </comment>
    <comment authorId="0" ref="A9">
      <text>
        <t xml:space="preserve">P250</t>
      </text>
    </comment>
    <comment authorId="0" ref="A10">
      <text>
        <t xml:space="preserve">CZ75 Auto</t>
      </text>
    </comment>
    <comment authorId="0" ref="A11">
      <text>
        <t xml:space="preserve">Tec-9</t>
      </text>
    </comment>
    <comment authorId="0" ref="B13">
      <text>
        <t xml:space="preserve">Damage against armoured opponents is multiplied by 'ArmorRatio'/2</t>
      </text>
    </comment>
    <comment authorId="0" ref="C13">
      <text>
        <t xml:space="preserve">amount of damage inficted before any modifiers</t>
      </text>
    </comment>
    <comment authorId="0" ref="D13">
      <text>
        <t xml:space="preserve">'Damage' * (RangeModifier ^ (Distance/500u)) = Damage</t>
      </text>
    </comment>
    <comment authorId="0" ref="A14">
      <text>
        <t xml:space="preserve">MAG-7</t>
      </text>
    </comment>
    <comment authorId="0" ref="A15">
      <text>
        <t xml:space="preserve">Nova</t>
      </text>
    </comment>
    <comment authorId="0" ref="A16">
      <text>
        <t xml:space="preserve">Sawed-Off</t>
      </text>
    </comment>
    <comment authorId="0" ref="A17">
      <text>
        <t xml:space="preserve">XM1014</t>
      </text>
    </comment>
    <comment authorId="0" ref="B19">
      <text>
        <t xml:space="preserve">Damage against armoured opponents is multiplied by 'ArmorRatio'/2</t>
      </text>
    </comment>
    <comment authorId="0" ref="C19">
      <text>
        <t xml:space="preserve">amount of damage inficted before any modifiers</t>
      </text>
    </comment>
    <comment authorId="0" ref="D19">
      <text>
        <t xml:space="preserve">'Damage' * (RangeModifier ^ (Distance/500u)) = Damage</t>
      </text>
    </comment>
    <comment authorId="0" ref="A20">
      <text>
        <t xml:space="preserve">PP-Bizon</t>
      </text>
    </comment>
    <comment authorId="0" ref="A21">
      <text>
        <t xml:space="preserve">MAC-10</t>
      </text>
    </comment>
    <comment authorId="0" ref="A22">
      <text>
        <t xml:space="preserve">MP7</t>
      </text>
    </comment>
    <comment authorId="0" ref="A23">
      <text>
        <t xml:space="preserve">MP5-SD</t>
      </text>
    </comment>
    <comment authorId="0" ref="A24">
      <text>
        <t xml:space="preserve">MP9</t>
      </text>
    </comment>
    <comment authorId="0" ref="A25">
      <text>
        <t xml:space="preserve">P90</t>
      </text>
    </comment>
    <comment authorId="0" ref="A26">
      <text>
        <t xml:space="preserve">UMP-45</t>
      </text>
    </comment>
    <comment authorId="0" ref="B28">
      <text>
        <t xml:space="preserve">Damage against armoured opponents is multiplied by 'ArmorRatio'/2</t>
      </text>
    </comment>
    <comment authorId="0" ref="C28">
      <text>
        <t xml:space="preserve">amount of damage inficted before any modifiers</t>
      </text>
    </comment>
    <comment authorId="0" ref="D28">
      <text>
        <t xml:space="preserve">'Damage' * (RangeModifier ^ (Distance/500u)) = Damage</t>
      </text>
    </comment>
    <comment authorId="0" ref="A29">
      <text>
        <t xml:space="preserve">AK-47</t>
      </text>
    </comment>
    <comment authorId="0" ref="A30">
      <text>
        <t xml:space="preserve">AUG</t>
      </text>
    </comment>
    <comment authorId="0" ref="A31">
      <text>
        <t xml:space="preserve">FAMAS</t>
      </text>
    </comment>
    <comment authorId="0" ref="A32">
      <text>
        <t xml:space="preserve">Galil AR</t>
      </text>
    </comment>
    <comment authorId="0" ref="A33">
      <text>
        <t xml:space="preserve">M4A4</t>
      </text>
    </comment>
    <comment authorId="0" ref="A34">
      <text>
        <t xml:space="preserve">M4A1-S</t>
      </text>
    </comment>
    <comment authorId="0" ref="A35">
      <text>
        <t xml:space="preserve">SG 553</t>
      </text>
    </comment>
    <comment authorId="0" ref="B37">
      <text>
        <t xml:space="preserve">Damage against armoured opponents is multiplied by 'ArmorRatio'/2</t>
      </text>
    </comment>
    <comment authorId="0" ref="C37">
      <text>
        <t xml:space="preserve">amount of damage inficted before any modifiers</t>
      </text>
    </comment>
    <comment authorId="0" ref="D37">
      <text>
        <t xml:space="preserve">'Damage' * (RangeModifier ^ (Distance/500u)) = Damage</t>
      </text>
    </comment>
    <comment authorId="0" ref="A38">
      <text>
        <t xml:space="preserve">M249</t>
      </text>
    </comment>
    <comment authorId="0" ref="A39">
      <text>
        <t xml:space="preserve">Negev</t>
      </text>
    </comment>
    <comment authorId="0" ref="B41">
      <text>
        <t xml:space="preserve">Damage against armoured opponents is multiplied by 'ArmorRatio'/2</t>
      </text>
    </comment>
    <comment authorId="0" ref="C41">
      <text>
        <t xml:space="preserve">amount of damage inficted before any modifiers</t>
      </text>
    </comment>
    <comment authorId="0" ref="D41">
      <text>
        <t xml:space="preserve">'Damage' * (RangeModifier ^ (Distance/500u)) = Damage</t>
      </text>
    </comment>
    <comment authorId="0" ref="A42">
      <text>
        <t xml:space="preserve">AWP</t>
      </text>
    </comment>
    <comment authorId="0" ref="A43">
      <text>
        <t xml:space="preserve">G3SG1</t>
      </text>
    </comment>
    <comment authorId="0" ref="A44">
      <text>
        <t xml:space="preserve">SCAR-20</t>
      </text>
    </comment>
    <comment authorId="0" ref="A45">
      <text>
        <t xml:space="preserve">SSG 08</t>
      </text>
    </comment>
  </commentList>
</comments>
</file>

<file path=xl/comments1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">
      <text>
        <t xml:space="preserve">Damage against armoured opponents is multiplied by 'ArmorRatio'/2</t>
      </text>
    </comment>
    <comment authorId="0" ref="C1">
      <text>
        <t xml:space="preserve">amount of damage inficted before any modifiers</t>
      </text>
    </comment>
    <comment authorId="0" ref="D1">
      <text>
        <t xml:space="preserve">'Damage' * (RangeModifier ^ (Distance/500u)) = Damage</t>
      </text>
    </comment>
    <comment authorId="0" ref="E1">
      <text>
        <t xml:space="preserve">minimum interval between firing next bullet(measured in seconds)</t>
      </text>
    </comment>
    <comment authorId="0" ref="A2">
      <text>
        <t xml:space="preserve">Desert Eagle</t>
      </text>
    </comment>
    <comment authorId="0" ref="A3">
      <text>
        <t xml:space="preserve">R8 Revolver</t>
      </text>
    </comment>
    <comment authorId="0" ref="A4">
      <text>
        <t xml:space="preserve">Dual Berettas</t>
      </text>
    </comment>
    <comment authorId="0" ref="A5">
      <text>
        <t xml:space="preserve">Five-SeveN</t>
      </text>
    </comment>
    <comment authorId="0" ref="A6">
      <text>
        <t xml:space="preserve">Glock 18</t>
      </text>
    </comment>
    <comment authorId="0" ref="A7">
      <text>
        <t xml:space="preserve">P2000</t>
      </text>
    </comment>
    <comment authorId="0" ref="A8">
      <text>
        <t xml:space="preserve">(silencer equipped)</t>
      </text>
    </comment>
    <comment authorId="0" ref="A9">
      <text>
        <t xml:space="preserve">P250</t>
      </text>
    </comment>
    <comment authorId="0" ref="A10">
      <text>
        <t xml:space="preserve">CZ75 Auto</t>
      </text>
    </comment>
    <comment authorId="0" ref="A11">
      <text>
        <t xml:space="preserve">Tec-9</t>
      </text>
    </comment>
    <comment authorId="0" ref="B13">
      <text>
        <t xml:space="preserve">Damage against armoured opponents is multiplied by 'ArmorRatio'/2</t>
      </text>
    </comment>
    <comment authorId="0" ref="C13">
      <text>
        <t xml:space="preserve">amount of damage inficted before any modifiers</t>
      </text>
    </comment>
    <comment authorId="0" ref="D13">
      <text>
        <t xml:space="preserve">'Damage' * (RangeModifier ^ (Distance/500u)) = Damage</t>
      </text>
    </comment>
    <comment authorId="0" ref="E13">
      <text>
        <t xml:space="preserve">minimum interval between firing next bullet(measured in seconds)</t>
      </text>
    </comment>
    <comment authorId="0" ref="A14">
      <text>
        <t xml:space="preserve">MAG-7</t>
      </text>
    </comment>
    <comment authorId="0" ref="A15">
      <text>
        <t xml:space="preserve">Nova</t>
      </text>
    </comment>
    <comment authorId="0" ref="A16">
      <text>
        <t xml:space="preserve">Sawed-Off</t>
      </text>
    </comment>
    <comment authorId="0" ref="A17">
      <text>
        <t xml:space="preserve">XM1014</t>
      </text>
    </comment>
    <comment authorId="0" ref="B19">
      <text>
        <t xml:space="preserve">Damage against armoured opponents is multiplied by 'ArmorRatio'/2</t>
      </text>
    </comment>
    <comment authorId="0" ref="C19">
      <text>
        <t xml:space="preserve">amount of damage inficted before any modifiers</t>
      </text>
    </comment>
    <comment authorId="0" ref="D19">
      <text>
        <t xml:space="preserve">'Damage' * (RangeModifier ^ (Distance/500u)) = Damage</t>
      </text>
    </comment>
    <comment authorId="0" ref="E19">
      <text>
        <t xml:space="preserve">minimum interval between firing next bullet(measured in seconds)</t>
      </text>
    </comment>
    <comment authorId="0" ref="A20">
      <text>
        <t xml:space="preserve">PP-Bizon</t>
      </text>
    </comment>
    <comment authorId="0" ref="A21">
      <text>
        <t xml:space="preserve">MAC-10</t>
      </text>
    </comment>
    <comment authorId="0" ref="A22">
      <text>
        <t xml:space="preserve">MP7</t>
      </text>
    </comment>
    <comment authorId="0" ref="A23">
      <text>
        <t xml:space="preserve">MP5-SD</t>
      </text>
    </comment>
    <comment authorId="0" ref="A24">
      <text>
        <t xml:space="preserve">MP9</t>
      </text>
    </comment>
    <comment authorId="0" ref="A25">
      <text>
        <t xml:space="preserve">P90</t>
      </text>
    </comment>
    <comment authorId="0" ref="A26">
      <text>
        <t xml:space="preserve">UMP-45</t>
      </text>
    </comment>
    <comment authorId="0" ref="B28">
      <text>
        <t xml:space="preserve">Damage against armoured opponents is multiplied by 'ArmorRatio'/2</t>
      </text>
    </comment>
    <comment authorId="0" ref="C28">
      <text>
        <t xml:space="preserve">amount of damage inficted before any modifiers</t>
      </text>
    </comment>
    <comment authorId="0" ref="D28">
      <text>
        <t xml:space="preserve">'Damage' * (RangeModifier ^ (Distance/500u)) = Damage</t>
      </text>
    </comment>
    <comment authorId="0" ref="E28">
      <text>
        <t xml:space="preserve">minimum interval between firing next bullet(measured in seconds)</t>
      </text>
    </comment>
    <comment authorId="0" ref="A29">
      <text>
        <t xml:space="preserve">AK-47</t>
      </text>
    </comment>
    <comment authorId="0" ref="A30">
      <text>
        <t xml:space="preserve">AUG</t>
      </text>
    </comment>
    <comment authorId="0" ref="A31">
      <text>
        <t xml:space="preserve">FAMAS</t>
      </text>
    </comment>
    <comment authorId="0" ref="A32">
      <text>
        <t xml:space="preserve">Galil AR</t>
      </text>
    </comment>
    <comment authorId="0" ref="A33">
      <text>
        <t xml:space="preserve">M4A4</t>
      </text>
    </comment>
    <comment authorId="0" ref="A34">
      <text>
        <t xml:space="preserve">M4A1-S</t>
      </text>
    </comment>
    <comment authorId="0" ref="A35">
      <text>
        <t xml:space="preserve">SG 553</t>
      </text>
    </comment>
    <comment authorId="0" ref="B37">
      <text>
        <t xml:space="preserve">Damage against armoured opponents is multiplied by 'ArmorRatio'/2</t>
      </text>
    </comment>
    <comment authorId="0" ref="C37">
      <text>
        <t xml:space="preserve">amount of damage inficted before any modifiers</t>
      </text>
    </comment>
    <comment authorId="0" ref="D37">
      <text>
        <t xml:space="preserve">'Damage' * (RangeModifier ^ (Distance/500u)) = Damage</t>
      </text>
    </comment>
    <comment authorId="0" ref="E37">
      <text>
        <t xml:space="preserve">minimum interval between firing next bullet(measured in seconds)</t>
      </text>
    </comment>
    <comment authorId="0" ref="A38">
      <text>
        <t xml:space="preserve">M249</t>
      </text>
    </comment>
    <comment authorId="0" ref="A39">
      <text>
        <t xml:space="preserve">Negev</t>
      </text>
    </comment>
    <comment authorId="0" ref="B41">
      <text>
        <t xml:space="preserve">Damage against armoured opponents is multiplied by 'ArmorRatio'/2</t>
      </text>
    </comment>
    <comment authorId="0" ref="C41">
      <text>
        <t xml:space="preserve">amount of damage inficted before any modifiers</t>
      </text>
    </comment>
    <comment authorId="0" ref="D41">
      <text>
        <t xml:space="preserve">'Damage' * (RangeModifier ^ (Distance/500u)) = Damage</t>
      </text>
    </comment>
    <comment authorId="0" ref="E41">
      <text>
        <t xml:space="preserve">minimum interval between firing next bullet(measured in seconds)</t>
      </text>
    </comment>
    <comment authorId="0" ref="A42">
      <text>
        <t xml:space="preserve">AWP</t>
      </text>
    </comment>
    <comment authorId="0" ref="A43">
      <text>
        <t xml:space="preserve">G3SG1</t>
      </text>
    </comment>
    <comment authorId="0" ref="A44">
      <text>
        <t xml:space="preserve">SCAR-20</t>
      </text>
    </comment>
    <comment authorId="0" ref="A45">
      <text>
        <t xml:space="preserve">SSG 08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">
      <text>
        <t xml:space="preserve">Damage against armored opponents is multiplied by WeaponArmorRatio/2</t>
      </text>
    </comment>
    <comment authorId="0" ref="C1">
      <text>
        <t xml:space="preserve">amount of damage inficted per bullet before any modifiers</t>
      </text>
    </comment>
    <comment authorId="0" ref="D1">
      <text>
        <t xml:space="preserve">Damage is multiplied by 'RangeModifier ^ (Distance(u)/500u)'</t>
      </text>
    </comment>
    <comment authorId="0" ref="E1">
      <text>
        <t xml:space="preserve">minimum interval between firing next bullet(measured in seconds)</t>
      </text>
    </comment>
    <comment authorId="0" ref="F1">
      <text>
        <t xml:space="preserve">penetration capability</t>
      </text>
    </comment>
    <comment authorId="0" ref="H1">
      <text>
        <t xml:space="preserve">maximum running speed with the weapon equipped</t>
      </text>
    </comment>
    <comment authorId="0" ref="I1">
      <text>
        <t xml:space="preserve">number of bullets(or shots) per weapon clip</t>
      </text>
    </comment>
    <comment authorId="0" ref="K1">
      <text>
        <t xml:space="preserve">bullet travel distance in units before disappearing. 16u = 1ft</t>
      </text>
    </comment>
    <comment authorId="0" ref="M1">
      <text>
        <t xml:space="preserve">weapon fires automatically whilst +attack is toggled</t>
      </text>
    </comment>
    <comment authorId="0" ref="N1">
      <text>
        <t xml:space="preserve">the number of bullets (pellets for a shotgun) fired from a cartridge</t>
      </text>
    </comment>
    <comment authorId="0" ref="O1">
      <text>
        <t xml:space="preserve">the frequency at which tracers are applied to bullets (0 = never, 1 = every shot, 2 = every other, etc)</t>
      </text>
    </comment>
    <comment authorId="0" ref="P1">
      <text>
        <t xml:space="preserve">The factor a target is slowed to (the lower the more effective)</t>
      </text>
    </comment>
    <comment authorId="0" ref="Q1">
      <text>
        <t xml:space="preserve">How well tagging stacks with consecutive hits (the higher the more effective)</t>
      </text>
    </comment>
    <comment authorId="0" ref="R1">
      <text>
        <t xml:space="preserve">additional inaccuracy calculated per bullet</t>
      </text>
    </comment>
    <comment authorId="0" ref="S1">
      <text>
        <t xml:space="preserve">base inaccuracy whilst crouched</t>
      </text>
    </comment>
    <comment authorId="0" ref="T1">
      <text>
        <t xml:space="preserve">base inaccuracy whilst standing</t>
      </text>
    </comment>
    <comment authorId="0" ref="U1">
      <text>
        <t xml:space="preserve">additional inaccuracy after firing</t>
      </text>
    </comment>
    <comment authorId="0" ref="V1">
      <text>
        <t xml:space="preserve">additional inaccuracy whilst moving at MaxPlayerSpeed</t>
      </text>
    </comment>
    <comment authorId="0" ref="W1">
      <text>
        <t xml:space="preserve">additional inaccuracy upon jumping</t>
      </text>
    </comment>
    <comment authorId="0" ref="Y1">
      <text>
        <t xml:space="preserve">additional inaccuracy upon landing (multiply by the z velocity when landing)</t>
      </text>
    </comment>
    <comment authorId="0" ref="Z1">
      <text>
        <t xml:space="preserve">base inaccuracy whilst using a ladder (multiply by 2 for inaccuracy amount)</t>
      </text>
    </comment>
    <comment authorId="0" ref="AA1">
      <text>
        <t xml:space="preserve">when crouching it is the decay rate for InaccuracyFire, InaccuracyJump, InaccuracyLand, the difference between InaccuracyStand and InaccuracyCrouch and the difference between InaccuracyCrouch and InaccuracyCrouchAlt using the following formula: ‘Inacc * (0.1 ^ (time/RecoveryTime))’</t>
      </text>
    </comment>
    <comment authorId="0" ref="AC1">
      <text>
        <t xml:space="preserve">when standing it is the decay rate for InaccuracyFire, InaccuracyJump, InaccuracyLand, and the difference between InaccuracyStand and InaccuracyStandAlt using the following formula: ‘Inacc * (0.1 ^ (time/RecoveryTime))’</t>
      </text>
    </comment>
    <comment authorId="0" ref="AE1">
      <text>
        <t xml:space="preserve">amount of x-axis recoil</t>
      </text>
    </comment>
    <comment authorId="0" ref="AF1">
      <text>
        <t xml:space="preserve">amount of recoil</t>
      </text>
    </comment>
    <comment authorId="0" ref="AG1">
      <text>
        <t xml:space="preserve">amount of y-axis recoil variance</t>
      </text>
    </comment>
    <comment authorId="0" ref="AU1">
      <text>
        <t xml:space="preserve">the field of view while in the 1st zoom level (default unscoped is 90)</t>
      </text>
    </comment>
    <comment authorId="0" ref="AV1">
      <text>
        <t xml:space="preserve">the field of view while in the 2nd zoom level (default unscoped is 90)</t>
      </text>
    </comment>
    <comment authorId="0" ref="AW1">
      <text>
        <t xml:space="preserve">minimum interval between firing next bullet(measured in seconds) for alt fire</t>
      </text>
    </comment>
    <comment authorId="0" ref="AX1">
      <text>
        <t xml:space="preserve">minimum interval between firing bursts(measured in seconds)</t>
      </text>
    </comment>
    <comment authorId="0" ref="AY1">
      <text>
        <t xml:space="preserve">interval between firing next bullet within a burst(measured in seconds)</t>
      </text>
    </comment>
    <comment authorId="0" ref="A2">
      <text>
        <t xml:space="preserve">Desert Eagle</t>
      </text>
    </comment>
    <comment authorId="0" ref="A3">
      <text>
        <t xml:space="preserve">R8 Revolver</t>
      </text>
    </comment>
    <comment authorId="0" ref="A4">
      <text>
        <t xml:space="preserve">Dual Berettas</t>
      </text>
    </comment>
    <comment authorId="0" ref="AH4">
      <text>
        <t xml:space="preserve">unused</t>
      </text>
    </comment>
    <comment authorId="0" ref="AI4">
      <text>
        <t xml:space="preserve">unused</t>
      </text>
    </comment>
    <comment authorId="0" ref="AJ4">
      <text>
        <t xml:space="preserve">unused</t>
      </text>
    </comment>
    <comment authorId="0" ref="AL4">
      <text>
        <t xml:space="preserve">unused</t>
      </text>
    </comment>
    <comment authorId="0" ref="AM4">
      <text>
        <t xml:space="preserve">unused</t>
      </text>
    </comment>
    <comment authorId="0" ref="AN4">
      <text>
        <t xml:space="preserve">unused</t>
      </text>
    </comment>
    <comment authorId="0" ref="AO4">
      <text>
        <t xml:space="preserve">unused</t>
      </text>
    </comment>
    <comment authorId="0" ref="AP4">
      <text>
        <t xml:space="preserve">unused</t>
      </text>
    </comment>
    <comment authorId="0" ref="AQ4">
      <text>
        <t xml:space="preserve">unused</t>
      </text>
    </comment>
    <comment authorId="0" ref="AR4">
      <text>
        <t xml:space="preserve">unused</t>
      </text>
    </comment>
    <comment authorId="0" ref="AS4">
      <text>
        <t xml:space="preserve">unused</t>
      </text>
    </comment>
    <comment authorId="0" ref="AT4">
      <text>
        <t xml:space="preserve">unused</t>
      </text>
    </comment>
    <comment authorId="0" ref="A5">
      <text>
        <t xml:space="preserve">Five-SeveN</t>
      </text>
    </comment>
    <comment authorId="0" ref="A6">
      <text>
        <t xml:space="preserve">Glock 18</t>
      </text>
    </comment>
    <comment authorId="0" ref="A7">
      <text>
        <t xml:space="preserve">P2000</t>
      </text>
    </comment>
    <comment authorId="0" ref="A8">
      <text>
        <t xml:space="preserve">USP-S</t>
      </text>
    </comment>
    <comment authorId="0" ref="A9">
      <text>
        <t xml:space="preserve">P250</t>
      </text>
    </comment>
    <comment authorId="0" ref="A10">
      <text>
        <t xml:space="preserve">CZ75 Auto</t>
      </text>
    </comment>
    <comment authorId="0" ref="A11">
      <text>
        <t xml:space="preserve">Tec-9</t>
      </text>
    </comment>
    <comment authorId="0" ref="B13">
      <text>
        <t xml:space="preserve">Damage against armored opponents is multiplied by WeaponArmorRatio/2</t>
      </text>
    </comment>
    <comment authorId="0" ref="C13">
      <text>
        <t xml:space="preserve">amount of damage inficted per bullet before any modifiers</t>
      </text>
    </comment>
    <comment authorId="0" ref="D13">
      <text>
        <t xml:space="preserve">Damage is multiplied by 'RangeModifier ^ (Distance(u)/500u)'</t>
      </text>
    </comment>
    <comment authorId="0" ref="E13">
      <text>
        <t xml:space="preserve">minimum interval between firing next bullet(measured in seconds)</t>
      </text>
    </comment>
    <comment authorId="0" ref="F13">
      <text>
        <t xml:space="preserve">penetration capability</t>
      </text>
    </comment>
    <comment authorId="0" ref="H13">
      <text>
        <t xml:space="preserve">maximum running speed with the weapon equipped</t>
      </text>
    </comment>
    <comment authorId="0" ref="I13">
      <text>
        <t xml:space="preserve">number of bullets(or shots) per weapon clip</t>
      </text>
    </comment>
    <comment authorId="0" ref="K13">
      <text>
        <t xml:space="preserve">bullet travel distance in units before disappearing. 16u = 1ft</t>
      </text>
    </comment>
    <comment authorId="0" ref="M13">
      <text>
        <t xml:space="preserve">weapon fires automatically whilst +attack is toggled</t>
      </text>
    </comment>
    <comment authorId="0" ref="N13">
      <text>
        <t xml:space="preserve">the number of bullets (pellets for a shotgun) fired from a cartridge</t>
      </text>
    </comment>
    <comment authorId="0" ref="O13">
      <text>
        <t xml:space="preserve">the frequency at which tracers are applied to bullets (0 = never, 1 = every shot, 2 = every other, etc)</t>
      </text>
    </comment>
    <comment authorId="0" ref="P13">
      <text>
        <t xml:space="preserve">The factor a target is slowed to (the lower the more effective)</t>
      </text>
    </comment>
    <comment authorId="0" ref="Q13">
      <text>
        <t xml:space="preserve">How well tagging stacks with consecutive hits (the higher the more effective)</t>
      </text>
    </comment>
    <comment authorId="0" ref="R13">
      <text>
        <t xml:space="preserve">additional inaccuracy calculated per bullet</t>
      </text>
    </comment>
    <comment authorId="0" ref="S13">
      <text>
        <t xml:space="preserve">base inaccuracy whilst crouched</t>
      </text>
    </comment>
    <comment authorId="0" ref="T13">
      <text>
        <t xml:space="preserve">base inaccuracy whilst standing</t>
      </text>
    </comment>
    <comment authorId="0" ref="U13">
      <text>
        <t xml:space="preserve">additional inaccuracy after firing</t>
      </text>
    </comment>
    <comment authorId="0" ref="V13">
      <text>
        <t xml:space="preserve">additional inaccuracy whilst moving at MaxPlayerSpeed</t>
      </text>
    </comment>
    <comment authorId="0" ref="W13">
      <text>
        <t xml:space="preserve">additional inaccuracy upon jumping</t>
      </text>
    </comment>
    <comment authorId="0" ref="Y13">
      <text>
        <t xml:space="preserve">additional inaccuracy upon landing (multiply by the z velocity when landing)</t>
      </text>
    </comment>
    <comment authorId="0" ref="Z13">
      <text>
        <t xml:space="preserve">base inaccuracy whilst using a ladder (multiply by 2 for inaccuracy amount)</t>
      </text>
    </comment>
    <comment authorId="0" ref="AA13">
      <text>
        <t xml:space="preserve">when crouching it is the decay rate for InaccuracyFire, InaccuracyJump, InaccuracyLand, the difference between InaccuracyStand and InaccuracyCrouch and the difference between InaccuracyCrouch and InaccuracyCrouchAlt using the following formula: ‘Inacc * (0.1 ^ (time/RecoveryTime))’</t>
      </text>
    </comment>
    <comment authorId="0" ref="AC13">
      <text>
        <t xml:space="preserve">when standing it is the decay rate for InaccuracyFire, InaccuracyJump, InaccuracyLand, and the difference between InaccuracyStand and InaccuracyStandAlt using the following formula: ‘Inacc * (0.1 ^ (time/RecoveryTime))’</t>
      </text>
    </comment>
    <comment authorId="0" ref="AE13">
      <text>
        <t xml:space="preserve">amount of x-axis recoil</t>
      </text>
    </comment>
    <comment authorId="0" ref="AF13">
      <text>
        <t xml:space="preserve">amount of recoil</t>
      </text>
    </comment>
    <comment authorId="0" ref="AG13">
      <text>
        <t xml:space="preserve">amount of y-axis recoil variance</t>
      </text>
    </comment>
    <comment authorId="0" ref="AU13">
      <text>
        <t xml:space="preserve">the field of view while in the 1st zoom level (default unscoped is 90)</t>
      </text>
    </comment>
    <comment authorId="0" ref="AV13">
      <text>
        <t xml:space="preserve">the field of view while in the 2nd zoom level (default unscoped is 90)</t>
      </text>
    </comment>
    <comment authorId="0" ref="AW13">
      <text>
        <t xml:space="preserve">minimum interval between firing next bullet(measured in seconds) for alt fire</t>
      </text>
    </comment>
    <comment authorId="0" ref="AX13">
      <text>
        <t xml:space="preserve">minimum interval between firing bursts(measured in seconds)</t>
      </text>
    </comment>
    <comment authorId="0" ref="AY13">
      <text>
        <t xml:space="preserve">interval between firing next bullet within a burst(measured in seconds)</t>
      </text>
    </comment>
    <comment authorId="0" ref="A14">
      <text>
        <t xml:space="preserve">MAG-7</t>
      </text>
    </comment>
    <comment authorId="0" ref="A15">
      <text>
        <t xml:space="preserve">Nova</t>
      </text>
    </comment>
    <comment authorId="0" ref="A16">
      <text>
        <t xml:space="preserve">Sawed-Off</t>
      </text>
    </comment>
    <comment authorId="0" ref="A17">
      <text>
        <t xml:space="preserve">XM1014</t>
      </text>
    </comment>
    <comment authorId="0" ref="B19">
      <text>
        <t xml:space="preserve">Damage against armored opponents is multiplied by WeaponArmorRatio/2</t>
      </text>
    </comment>
    <comment authorId="0" ref="C19">
      <text>
        <t xml:space="preserve">amount of damage inficted per bullet before any modifiers</t>
      </text>
    </comment>
    <comment authorId="0" ref="D19">
      <text>
        <t xml:space="preserve">Damage is multiplied by 'RangeModifier ^ (Distance(u)/500u)'</t>
      </text>
    </comment>
    <comment authorId="0" ref="E19">
      <text>
        <t xml:space="preserve">minimum interval between firing next bullet(measured in seconds)</t>
      </text>
    </comment>
    <comment authorId="0" ref="F19">
      <text>
        <t xml:space="preserve">penetration capability</t>
      </text>
    </comment>
    <comment authorId="0" ref="H19">
      <text>
        <t xml:space="preserve">maximum running speed with the weapon equipped</t>
      </text>
    </comment>
    <comment authorId="0" ref="I19">
      <text>
        <t xml:space="preserve">number of bullets(or shots) per weapon clip</t>
      </text>
    </comment>
    <comment authorId="0" ref="K19">
      <text>
        <t xml:space="preserve">bullet travel distance in units before disappearing. 16u = 1ft</t>
      </text>
    </comment>
    <comment authorId="0" ref="M19">
      <text>
        <t xml:space="preserve">weapon fires automatically whilst +attack is toggled</t>
      </text>
    </comment>
    <comment authorId="0" ref="N19">
      <text>
        <t xml:space="preserve">the number of bullets (pellets for a shotgun) fired from a cartridge</t>
      </text>
    </comment>
    <comment authorId="0" ref="O19">
      <text>
        <t xml:space="preserve">the frequency at which tracers are applied to bullets (0 = never, 1 = every shot, 2 = every other, etc)</t>
      </text>
    </comment>
    <comment authorId="0" ref="P19">
      <text>
        <t xml:space="preserve">The factor a target is slowed to (the lower the more effective)</t>
      </text>
    </comment>
    <comment authorId="0" ref="Q19">
      <text>
        <t xml:space="preserve">How well tagging stacks with consecutive hits (the higher the more effective)</t>
      </text>
    </comment>
    <comment authorId="0" ref="R19">
      <text>
        <t xml:space="preserve">additional inaccuracy calculated per bullet</t>
      </text>
    </comment>
    <comment authorId="0" ref="S19">
      <text>
        <t xml:space="preserve">base inaccuracy whilst crouched</t>
      </text>
    </comment>
    <comment authorId="0" ref="T19">
      <text>
        <t xml:space="preserve">base inaccuracy whilst standing</t>
      </text>
    </comment>
    <comment authorId="0" ref="U19">
      <text>
        <t xml:space="preserve">additional inaccuracy after firing</t>
      </text>
    </comment>
    <comment authorId="0" ref="V19">
      <text>
        <t xml:space="preserve">additional inaccuracy whilst moving at MaxPlayerSpeed</t>
      </text>
    </comment>
    <comment authorId="0" ref="W19">
      <text>
        <t xml:space="preserve">additional inaccuracy upon jumping</t>
      </text>
    </comment>
    <comment authorId="0" ref="Y19">
      <text>
        <t xml:space="preserve">additional inaccuracy upon landing (multiply by the z velocity when landing)</t>
      </text>
    </comment>
    <comment authorId="0" ref="Z19">
      <text>
        <t xml:space="preserve">base inaccuracy whilst using a ladder (multiply by 2 for inaccuracy amount)</t>
      </text>
    </comment>
    <comment authorId="0" ref="AA19">
      <text>
        <t xml:space="preserve">when crouching it is the decay rate for InaccuracyFire, InaccuracyJump, InaccuracyLand, the difference between InaccuracyStand and InaccuracyCrouch and the difference between InaccuracyCrouch and InaccuracyCrouchAlt using the following formula: ‘Inacc * (0.1 ^ (time/RecoveryTime))’</t>
      </text>
    </comment>
    <comment authorId="0" ref="AC19">
      <text>
        <t xml:space="preserve">when standing it is the decay rate for InaccuracyFire, InaccuracyJump, InaccuracyLand, and the difference between InaccuracyStand and InaccuracyStandAlt using the following formula: ‘Inacc * (0.1 ^ (time/RecoveryTime))’</t>
      </text>
    </comment>
    <comment authorId="0" ref="AE19">
      <text>
        <t xml:space="preserve">amount of x-axis recoil</t>
      </text>
    </comment>
    <comment authorId="0" ref="AF19">
      <text>
        <t xml:space="preserve">amount of recoil</t>
      </text>
    </comment>
    <comment authorId="0" ref="AG19">
      <text>
        <t xml:space="preserve">amount of y-axis recoil variance</t>
      </text>
    </comment>
    <comment authorId="0" ref="AU19">
      <text>
        <t xml:space="preserve">the field of view while in the 1st zoom level (default unscoped is 90)</t>
      </text>
    </comment>
    <comment authorId="0" ref="AV19">
      <text>
        <t xml:space="preserve">the field of view while in the 2nd zoom level (default unscoped is 90)</t>
      </text>
    </comment>
    <comment authorId="0" ref="AW19">
      <text>
        <t xml:space="preserve">minimum interval between firing next bullet(measured in seconds) for alt fire</t>
      </text>
    </comment>
    <comment authorId="0" ref="AX19">
      <text>
        <t xml:space="preserve">minimum interval between firing bursts(measured in seconds)</t>
      </text>
    </comment>
    <comment authorId="0" ref="AY19">
      <text>
        <t xml:space="preserve">interval between firing next bullet within a burst(measured in seconds)</t>
      </text>
    </comment>
    <comment authorId="0" ref="A20">
      <text>
        <t xml:space="preserve">PP-Bizon</t>
      </text>
    </comment>
    <comment authorId="0" ref="A21">
      <text>
        <t xml:space="preserve">MAC-10</t>
      </text>
    </comment>
    <comment authorId="0" ref="A22">
      <text>
        <t xml:space="preserve">MP7</t>
      </text>
    </comment>
    <comment authorId="0" ref="A23">
      <text>
        <t xml:space="preserve">MP5-SD</t>
      </text>
    </comment>
    <comment authorId="0" ref="A24">
      <text>
        <t xml:space="preserve">MP9</t>
      </text>
    </comment>
    <comment authorId="0" ref="A25">
      <text>
        <t xml:space="preserve">P90</t>
      </text>
    </comment>
    <comment authorId="0" ref="A26">
      <text>
        <t xml:space="preserve">UMP-45</t>
      </text>
    </comment>
    <comment authorId="0" ref="B28">
      <text>
        <t xml:space="preserve">Damage against armored opponents is multiplied by WeaponArmorRatio/2</t>
      </text>
    </comment>
    <comment authorId="0" ref="C28">
      <text>
        <t xml:space="preserve">amount of damage inficted per bullet before any modifiers</t>
      </text>
    </comment>
    <comment authorId="0" ref="D28">
      <text>
        <t xml:space="preserve">Damage is multiplied by 'RangeModifier ^ (Distance(u)/500u)'</t>
      </text>
    </comment>
    <comment authorId="0" ref="E28">
      <text>
        <t xml:space="preserve">minimum interval between firing next bullet(measured in seconds)</t>
      </text>
    </comment>
    <comment authorId="0" ref="F28">
      <text>
        <t xml:space="preserve">penetration capability</t>
      </text>
    </comment>
    <comment authorId="0" ref="H28">
      <text>
        <t xml:space="preserve">maximum running speed with the weapon equipped</t>
      </text>
    </comment>
    <comment authorId="0" ref="I28">
      <text>
        <t xml:space="preserve">number of bullets(or shots) per weapon clip</t>
      </text>
    </comment>
    <comment authorId="0" ref="K28">
      <text>
        <t xml:space="preserve">bullet travel distance in units before disappearing. 16u = 1ft</t>
      </text>
    </comment>
    <comment authorId="0" ref="M28">
      <text>
        <t xml:space="preserve">weapon fires automatically whilst +attack is toggled</t>
      </text>
    </comment>
    <comment authorId="0" ref="N28">
      <text>
        <t xml:space="preserve">the number of bullets (pellets for a shotgun) fired from a cartridge</t>
      </text>
    </comment>
    <comment authorId="0" ref="O28">
      <text>
        <t xml:space="preserve">the frequency at which tracers are applied to bullets (0 = never, 1 = every shot, 2 = every other, etc)</t>
      </text>
    </comment>
    <comment authorId="0" ref="P28">
      <text>
        <t xml:space="preserve">The factor a target is slowed to (the lower the more effective)</t>
      </text>
    </comment>
    <comment authorId="0" ref="Q28">
      <text>
        <t xml:space="preserve">How well tagging stacks with consecutive hits (the higher the more effective)</t>
      </text>
    </comment>
    <comment authorId="0" ref="R28">
      <text>
        <t xml:space="preserve">additional inaccuracy calculated per bullet</t>
      </text>
    </comment>
    <comment authorId="0" ref="S28">
      <text>
        <t xml:space="preserve">base inaccuracy whilst crouched</t>
      </text>
    </comment>
    <comment authorId="0" ref="T28">
      <text>
        <t xml:space="preserve">base inaccuracy whilst standing</t>
      </text>
    </comment>
    <comment authorId="0" ref="U28">
      <text>
        <t xml:space="preserve">additional inaccuracy after firing</t>
      </text>
    </comment>
    <comment authorId="0" ref="V28">
      <text>
        <t xml:space="preserve">additional inaccuracy whilst moving at MaxPlayerSpeed</t>
      </text>
    </comment>
    <comment authorId="0" ref="W28">
      <text>
        <t xml:space="preserve">additional inaccuracy upon jumping</t>
      </text>
    </comment>
    <comment authorId="0" ref="Y28">
      <text>
        <t xml:space="preserve">additional inaccuracy upon landing (multiply by the z velocity when landing)</t>
      </text>
    </comment>
    <comment authorId="0" ref="Z28">
      <text>
        <t xml:space="preserve">base inaccuracy whilst using a ladder (multiply by 2 for inaccuracy amount)</t>
      </text>
    </comment>
    <comment authorId="0" ref="AA28">
      <text>
        <t xml:space="preserve">when crouching it is the decay rate for InaccuracyFire, InaccuracyJump, InaccuracyLand, the difference between InaccuracyStand and InaccuracyCrouch and the difference between InaccuracyCrouch and InaccuracyCrouchAlt using the following formula: ‘Inacc * (0.1 ^ (time/RecoveryTime))’</t>
      </text>
    </comment>
    <comment authorId="0" ref="AC28">
      <text>
        <t xml:space="preserve">when standing it is the decay rate for InaccuracyFire, InaccuracyJump, InaccuracyLand, and the difference between InaccuracyStand and InaccuracyStandAlt using the following formula: ‘Inacc * (0.1 ^ (time/RecoveryTime))’</t>
      </text>
    </comment>
    <comment authorId="0" ref="AE28">
      <text>
        <t xml:space="preserve">amount of x-axis recoil</t>
      </text>
    </comment>
    <comment authorId="0" ref="AF28">
      <text>
        <t xml:space="preserve">amount of recoil</t>
      </text>
    </comment>
    <comment authorId="0" ref="AG28">
      <text>
        <t xml:space="preserve">amount of y-axis recoil variance</t>
      </text>
    </comment>
    <comment authorId="0" ref="AU28">
      <text>
        <t xml:space="preserve">the field of view while in the 1st zoom level (default unscoped is 90)</t>
      </text>
    </comment>
    <comment authorId="0" ref="AV28">
      <text>
        <t xml:space="preserve">the field of view while in the 2nd zoom level (default unscoped is 90)</t>
      </text>
    </comment>
    <comment authorId="0" ref="AW28">
      <text>
        <t xml:space="preserve">minimum interval between firing next bullet(measured in seconds) for alt fire</t>
      </text>
    </comment>
    <comment authorId="0" ref="AX28">
      <text>
        <t xml:space="preserve">minimum interval between firing bursts(measured in seconds)</t>
      </text>
    </comment>
    <comment authorId="0" ref="AY28">
      <text>
        <t xml:space="preserve">interval between firing next bullet within a burst(measured in seconds)</t>
      </text>
    </comment>
    <comment authorId="0" ref="A29">
      <text>
        <t xml:space="preserve">AK-47</t>
      </text>
    </comment>
    <comment authorId="0" ref="A30">
      <text>
        <t xml:space="preserve">AUG</t>
      </text>
    </comment>
    <comment authorId="0" ref="A31">
      <text>
        <t xml:space="preserve">FAMAS</t>
      </text>
    </comment>
    <comment authorId="0" ref="A32">
      <text>
        <t xml:space="preserve">Galil AR</t>
      </text>
    </comment>
    <comment authorId="0" ref="A33">
      <text>
        <t xml:space="preserve">M4A4</t>
      </text>
    </comment>
    <comment authorId="0" ref="A34">
      <text>
        <t xml:space="preserve">M4A1-S</t>
      </text>
    </comment>
    <comment authorId="0" ref="A35">
      <text>
        <t xml:space="preserve">SG 553</t>
      </text>
    </comment>
    <comment authorId="0" ref="B37">
      <text>
        <t xml:space="preserve">Damage against armored opponents is multiplied by WeaponArmorRatio/2</t>
      </text>
    </comment>
    <comment authorId="0" ref="C37">
      <text>
        <t xml:space="preserve">amount of damage inficted per bullet before any modifiers</t>
      </text>
    </comment>
    <comment authorId="0" ref="D37">
      <text>
        <t xml:space="preserve">Damage is multiplied by 'RangeModifier ^ (Distance(u)/500u)'</t>
      </text>
    </comment>
    <comment authorId="0" ref="E37">
      <text>
        <t xml:space="preserve">minimum interval between firing next bullet(measured in seconds)</t>
      </text>
    </comment>
    <comment authorId="0" ref="F37">
      <text>
        <t xml:space="preserve">penetration capability</t>
      </text>
    </comment>
    <comment authorId="0" ref="H37">
      <text>
        <t xml:space="preserve">maximum running speed with the weapon equipped</t>
      </text>
    </comment>
    <comment authorId="0" ref="I37">
      <text>
        <t xml:space="preserve">number of bullets(or shots) per weapon clip</t>
      </text>
    </comment>
    <comment authorId="0" ref="K37">
      <text>
        <t xml:space="preserve">bullet travel distance in units before disappearing. 16u = 1ft</t>
      </text>
    </comment>
    <comment authorId="0" ref="M37">
      <text>
        <t xml:space="preserve">weapon fires automatically whilst +attack is toggled</t>
      </text>
    </comment>
    <comment authorId="0" ref="N37">
      <text>
        <t xml:space="preserve">the number of bullets (pellets for a shotgun) fired from a cartridge</t>
      </text>
    </comment>
    <comment authorId="0" ref="O37">
      <text>
        <t xml:space="preserve">the frequency at which tracers are applied to bullets (0 = never, 1 = every shot, 2 = every other, etc)</t>
      </text>
    </comment>
    <comment authorId="0" ref="P37">
      <text>
        <t xml:space="preserve">The factor a target is slowed to (the lower the more effective)</t>
      </text>
    </comment>
    <comment authorId="0" ref="Q37">
      <text>
        <t xml:space="preserve">How well tagging stacks with consecutive hits (the higher the more effective)</t>
      </text>
    </comment>
    <comment authorId="0" ref="R37">
      <text>
        <t xml:space="preserve">additional inaccuracy calculated per bullet</t>
      </text>
    </comment>
    <comment authorId="0" ref="S37">
      <text>
        <t xml:space="preserve">base inaccuracy whilst crouched</t>
      </text>
    </comment>
    <comment authorId="0" ref="T37">
      <text>
        <t xml:space="preserve">base inaccuracy whilst standing</t>
      </text>
    </comment>
    <comment authorId="0" ref="U37">
      <text>
        <t xml:space="preserve">additional inaccuracy after firing</t>
      </text>
    </comment>
    <comment authorId="0" ref="V37">
      <text>
        <t xml:space="preserve">additional inaccuracy whilst moving at MaxPlayerSpeed</t>
      </text>
    </comment>
    <comment authorId="0" ref="W37">
      <text>
        <t xml:space="preserve">additional inaccuracy upon jumping</t>
      </text>
    </comment>
    <comment authorId="0" ref="Y37">
      <text>
        <t xml:space="preserve">additional inaccuracy upon landing (multiply by the z velocity when landing)</t>
      </text>
    </comment>
    <comment authorId="0" ref="Z37">
      <text>
        <t xml:space="preserve">base inaccuracy whilst using a ladder (multiply by 2 for inaccuracy amount)</t>
      </text>
    </comment>
    <comment authorId="0" ref="AA37">
      <text>
        <t xml:space="preserve">when crouching it is the decay rate for InaccuracyFire, InaccuracyJump, InaccuracyLand, the difference between InaccuracyStand and InaccuracyCrouch and the difference between InaccuracyCrouch and InaccuracyCrouchAlt using the following formula: ‘Inacc * (0.1 ^ (time/RecoveryTime))’</t>
      </text>
    </comment>
    <comment authorId="0" ref="AC37">
      <text>
        <t xml:space="preserve">when standing it is the decay rate for InaccuracyFire, InaccuracyJump, InaccuracyLand, and the difference between InaccuracyStand and InaccuracyStandAlt using the following formula: ‘Inacc * (0.1 ^ (time/RecoveryTime))’</t>
      </text>
    </comment>
    <comment authorId="0" ref="AE37">
      <text>
        <t xml:space="preserve">amount of x-axis recoil</t>
      </text>
    </comment>
    <comment authorId="0" ref="AF37">
      <text>
        <t xml:space="preserve">amount of recoil</t>
      </text>
    </comment>
    <comment authorId="0" ref="AG37">
      <text>
        <t xml:space="preserve">amount of y-axis recoil variance</t>
      </text>
    </comment>
    <comment authorId="0" ref="AU37">
      <text>
        <t xml:space="preserve">the field of view while in the 1st zoom level (default unscoped is 90)</t>
      </text>
    </comment>
    <comment authorId="0" ref="AV37">
      <text>
        <t xml:space="preserve">the field of view while in the 2nd zoom level (default unscoped is 90)</t>
      </text>
    </comment>
    <comment authorId="0" ref="AW37">
      <text>
        <t xml:space="preserve">minimum interval between firing next bullet(measured in seconds) for alt fire</t>
      </text>
    </comment>
    <comment authorId="0" ref="AX37">
      <text>
        <t xml:space="preserve">minimum interval between firing bursts(measured in seconds)</t>
      </text>
    </comment>
    <comment authorId="0" ref="AY37">
      <text>
        <t xml:space="preserve">interval between firing next bullet within a burst(measured in seconds)</t>
      </text>
    </comment>
    <comment authorId="0" ref="A38">
      <text>
        <t xml:space="preserve">M249</t>
      </text>
    </comment>
    <comment authorId="0" ref="A39">
      <text>
        <t xml:space="preserve">Negev</t>
      </text>
    </comment>
    <comment authorId="0" ref="B41">
      <text>
        <t xml:space="preserve">Damage against armored opponents is multiplied by WeaponArmorRatio/2</t>
      </text>
    </comment>
    <comment authorId="0" ref="C41">
      <text>
        <t xml:space="preserve">amount of damage inficted per bullet before any modifiers</t>
      </text>
    </comment>
    <comment authorId="0" ref="D41">
      <text>
        <t xml:space="preserve">Damage is multiplied by 'RangeModifier ^ (Distance(u)/500u)'</t>
      </text>
    </comment>
    <comment authorId="0" ref="E41">
      <text>
        <t xml:space="preserve">minimum interval between firing next bullet(measured in seconds)</t>
      </text>
    </comment>
    <comment authorId="0" ref="F41">
      <text>
        <t xml:space="preserve">penetration capability</t>
      </text>
    </comment>
    <comment authorId="0" ref="H41">
      <text>
        <t xml:space="preserve">maximum running speed with the weapon equipped</t>
      </text>
    </comment>
    <comment authorId="0" ref="I41">
      <text>
        <t xml:space="preserve">number of bullets(or shots) per weapon clip</t>
      </text>
    </comment>
    <comment authorId="0" ref="K41">
      <text>
        <t xml:space="preserve">bullet travel distance in units before disappearing. 16u = 1ft</t>
      </text>
    </comment>
    <comment authorId="0" ref="M41">
      <text>
        <t xml:space="preserve">weapon fires automatically whilst +attack is toggled</t>
      </text>
    </comment>
    <comment authorId="0" ref="N41">
      <text>
        <t xml:space="preserve">the number of bullets (pellets for a shotgun) fired from a cartridge</t>
      </text>
    </comment>
    <comment authorId="0" ref="O41">
      <text>
        <t xml:space="preserve">the frequency at which tracers are applied to bullets (0 = never, 1 = every shot, 2 = every other, etc)</t>
      </text>
    </comment>
    <comment authorId="0" ref="P41">
      <text>
        <t xml:space="preserve">The factor a target is slowed to (the lower the more effective)</t>
      </text>
    </comment>
    <comment authorId="0" ref="Q41">
      <text>
        <t xml:space="preserve">How well tagging stacks with consecutive hits (the higher the more effective)</t>
      </text>
    </comment>
    <comment authorId="0" ref="R41">
      <text>
        <t xml:space="preserve">additional inaccuracy calculated per bullet</t>
      </text>
    </comment>
    <comment authorId="0" ref="S41">
      <text>
        <t xml:space="preserve">base inaccuracy whilst crouched</t>
      </text>
    </comment>
    <comment authorId="0" ref="T41">
      <text>
        <t xml:space="preserve">base inaccuracy whilst standing</t>
      </text>
    </comment>
    <comment authorId="0" ref="U41">
      <text>
        <t xml:space="preserve">additional inaccuracy after firing</t>
      </text>
    </comment>
    <comment authorId="0" ref="V41">
      <text>
        <t xml:space="preserve">additional inaccuracy whilst moving at MaxPlayerSpeed</t>
      </text>
    </comment>
    <comment authorId="0" ref="W41">
      <text>
        <t xml:space="preserve">additional inaccuracy upon jumping</t>
      </text>
    </comment>
    <comment authorId="0" ref="Y41">
      <text>
        <t xml:space="preserve">additional inaccuracy upon landing (multiply by the z velocity when landing)</t>
      </text>
    </comment>
    <comment authorId="0" ref="Z41">
      <text>
        <t xml:space="preserve">base inaccuracy whilst using a ladder (multiply by 2 for inaccuracy amount)</t>
      </text>
    </comment>
    <comment authorId="0" ref="AA41">
      <text>
        <t xml:space="preserve">when crouching it is the decay rate for InaccuracyFire, InaccuracyJump, InaccuracyLand, the difference between InaccuracyStand and InaccuracyCrouch and the difference between InaccuracyCrouch and InaccuracyCrouchAlt using the following formula: ‘Inacc * (0.1 ^ (time/RecoveryTime))’</t>
      </text>
    </comment>
    <comment authorId="0" ref="AC41">
      <text>
        <t xml:space="preserve">when standing it is the decay rate for InaccuracyFire, InaccuracyJump, InaccuracyLand, and the difference between InaccuracyStand and InaccuracyStandAlt using the following formula: ‘Inacc * (0.1 ^ (time/RecoveryTime))’</t>
      </text>
    </comment>
    <comment authorId="0" ref="AE41">
      <text>
        <t xml:space="preserve">amount of x-axis recoil</t>
      </text>
    </comment>
    <comment authorId="0" ref="AF41">
      <text>
        <t xml:space="preserve">amount of recoil</t>
      </text>
    </comment>
    <comment authorId="0" ref="AG41">
      <text>
        <t xml:space="preserve">amount of y-axis recoil variance</t>
      </text>
    </comment>
    <comment authorId="0" ref="AU41">
      <text>
        <t xml:space="preserve">the field of view while in the 1st zoom level (default unscoped is 90)</t>
      </text>
    </comment>
    <comment authorId="0" ref="AV41">
      <text>
        <t xml:space="preserve">the field of view while in the 2nd zoom level (default unscoped is 90)</t>
      </text>
    </comment>
    <comment authorId="0" ref="AW41">
      <text>
        <t xml:space="preserve">minimum interval between firing next bullet(measured in seconds) for alt fire</t>
      </text>
    </comment>
    <comment authorId="0" ref="AX41">
      <text>
        <t xml:space="preserve">minimum interval between firing bursts(measured in seconds)</t>
      </text>
    </comment>
    <comment authorId="0" ref="AY41">
      <text>
        <t xml:space="preserve">interval between firing next bullet within a burst(measured in seconds)</t>
      </text>
    </comment>
    <comment authorId="0" ref="A42">
      <text>
        <t xml:space="preserve">AWP</t>
      </text>
    </comment>
    <comment authorId="0" ref="A43">
      <text>
        <t xml:space="preserve">G3SG1</t>
      </text>
    </comment>
    <comment authorId="0" ref="A44">
      <text>
        <t xml:space="preserve">SCAR-20</t>
      </text>
    </comment>
    <comment authorId="0" ref="A45">
      <text>
        <t xml:space="preserve">SSG 08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">
      <text>
        <t xml:space="preserve">Spread + InaccuracyCrouch</t>
      </text>
    </comment>
    <comment authorId="0" ref="C1">
      <text>
        <t xml:space="preserve">Spread + InaccuracyStand</t>
      </text>
    </comment>
    <comment authorId="0" ref="D1">
      <text>
        <t xml:space="preserve">Standing Inaccuracy + InaccuracyMove</t>
      </text>
    </comment>
    <comment authorId="0" ref="F1">
      <text>
        <t xml:space="preserve">Standing Inaccuracy + Maximum Firing Inaccuracy(Crouching)</t>
      </text>
    </comment>
    <comment authorId="0" ref="G1">
      <text>
        <t xml:space="preserve">Standing Inaccuracy + Maximum Firing Inaccuracy(Standing)</t>
      </text>
    </comment>
    <comment authorId="0" ref="H1">
      <text>
        <t xml:space="preserve">Running Inaccuracy + 
Maximum Firing Inaccuracy(Standing)</t>
      </text>
    </comment>
    <comment authorId="0" ref="AZ1">
      <text>
        <t xml:space="preserve">Damage*1</t>
      </text>
    </comment>
    <comment authorId="0" ref="BA1">
      <text>
        <t xml:space="preserve">Damage*4</t>
      </text>
    </comment>
    <comment authorId="0" ref="BB1">
      <text>
        <t xml:space="preserve">Damage*1.25</t>
      </text>
    </comment>
    <comment authorId="0" ref="BC1">
      <text>
        <t xml:space="preserve">Damage*0.75</t>
      </text>
    </comment>
    <comment authorId="0" ref="BD1">
      <text>
        <t xml:space="preserve">Damage*1*(ArmorRatio/2)</t>
      </text>
    </comment>
    <comment authorId="0" ref="BE1">
      <text>
        <t xml:space="preserve">Damage*4*(ArmorRatio/2)</t>
      </text>
    </comment>
    <comment authorId="0" ref="BF1">
      <text>
        <t xml:space="preserve">Damage*1.25*(ArmorRatio/2)</t>
      </text>
    </comment>
    <comment authorId="0" ref="A2">
      <text>
        <t xml:space="preserve">Desert Eagle</t>
      </text>
    </comment>
    <comment authorId="0" ref="A3">
      <text>
        <t xml:space="preserve">R8 Revolver</t>
      </text>
    </comment>
    <comment authorId="0" ref="A4">
      <text>
        <t xml:space="preserve">Dual Berettas</t>
      </text>
    </comment>
    <comment authorId="0" ref="A5">
      <text>
        <t xml:space="preserve">Five-SeveN</t>
      </text>
    </comment>
    <comment authorId="0" ref="A6">
      <text>
        <t xml:space="preserve">Glock 18</t>
      </text>
    </comment>
    <comment authorId="0" ref="A7">
      <text>
        <t xml:space="preserve">P2000</t>
      </text>
    </comment>
    <comment authorId="0" ref="A8">
      <text>
        <t xml:space="preserve">USP-S (Silencer Equipped)</t>
      </text>
    </comment>
    <comment authorId="0" ref="A9">
      <text>
        <t xml:space="preserve">P250</t>
      </text>
    </comment>
    <comment authorId="0" ref="A10">
      <text>
        <t xml:space="preserve">CZ75 Auto</t>
      </text>
    </comment>
    <comment authorId="0" ref="A11">
      <text>
        <t xml:space="preserve">Tec-9</t>
      </text>
    </comment>
    <comment authorId="0" ref="B13">
      <text>
        <t xml:space="preserve">Spread + InaccuracyCrouch</t>
      </text>
    </comment>
    <comment authorId="0" ref="C13">
      <text>
        <t xml:space="preserve">Spread + InaccuracyStand</t>
      </text>
    </comment>
    <comment authorId="0" ref="D13">
      <text>
        <t xml:space="preserve">Standing Inaccuracy + InaccuracyMove</t>
      </text>
    </comment>
    <comment authorId="0" ref="F13">
      <text>
        <t xml:space="preserve">Standing Inaccuracy + Maximum Firing Inaccuracy(Crouching)</t>
      </text>
    </comment>
    <comment authorId="0" ref="G13">
      <text>
        <t xml:space="preserve">Standing Inaccuracy + Maximum Firing Inaccuracy(Standing)</t>
      </text>
    </comment>
    <comment authorId="0" ref="H13">
      <text>
        <t xml:space="preserve">Running Inaccuracy + 
Maximum Firing Inaccuracy(Standing)</t>
      </text>
    </comment>
    <comment authorId="0" ref="AZ13">
      <text>
        <t xml:space="preserve">Damage*1</t>
      </text>
    </comment>
    <comment authorId="0" ref="BA13">
      <text>
        <t xml:space="preserve">Damage*4</t>
      </text>
    </comment>
    <comment authorId="0" ref="BB13">
      <text>
        <t xml:space="preserve">Damage*1.25</t>
      </text>
    </comment>
    <comment authorId="0" ref="BC13">
      <text>
        <t xml:space="preserve">Damage*0.75</t>
      </text>
    </comment>
    <comment authorId="0" ref="BD13">
      <text>
        <t xml:space="preserve">Damage*1*(ArmorRatio/2)</t>
      </text>
    </comment>
    <comment authorId="0" ref="BE13">
      <text>
        <t xml:space="preserve">Damage*4*(ArmorRatio/2)</t>
      </text>
    </comment>
    <comment authorId="0" ref="BF13">
      <text>
        <t xml:space="preserve">Damage*1.25*(ArmorRatio/2)</t>
      </text>
    </comment>
    <comment authorId="0" ref="A14">
      <text>
        <t xml:space="preserve">MAG-7</t>
      </text>
    </comment>
    <comment authorId="0" ref="A15">
      <text>
        <t xml:space="preserve">Nova</t>
      </text>
    </comment>
    <comment authorId="0" ref="A16">
      <text>
        <t xml:space="preserve">Sawed-Off</t>
      </text>
    </comment>
    <comment authorId="0" ref="A17">
      <text>
        <t xml:space="preserve">XM1014</t>
      </text>
    </comment>
    <comment authorId="0" ref="B19">
      <text>
        <t xml:space="preserve">Spread + InaccuracyCrouch</t>
      </text>
    </comment>
    <comment authorId="0" ref="C19">
      <text>
        <t xml:space="preserve">Spread + InaccuracyStand</t>
      </text>
    </comment>
    <comment authorId="0" ref="D19">
      <text>
        <t xml:space="preserve">Standing Inaccuracy + InaccuracyMove</t>
      </text>
    </comment>
    <comment authorId="0" ref="F19">
      <text>
        <t xml:space="preserve">Standing Inaccuracy + Maximum Firing Inaccuracy(Crouching)</t>
      </text>
    </comment>
    <comment authorId="0" ref="G19">
      <text>
        <t xml:space="preserve">Standing Inaccuracy + Maximum Firing Inaccuracy(Standing)</t>
      </text>
    </comment>
    <comment authorId="0" ref="H19">
      <text>
        <t xml:space="preserve">Running Inaccuracy + 
Maximum Firing Inaccuracy(Standing)</t>
      </text>
    </comment>
    <comment authorId="0" ref="AZ19">
      <text>
        <t xml:space="preserve">Damage*1</t>
      </text>
    </comment>
    <comment authorId="0" ref="BA19">
      <text>
        <t xml:space="preserve">Damage*4</t>
      </text>
    </comment>
    <comment authorId="0" ref="BB19">
      <text>
        <t xml:space="preserve">Damage*1.25</t>
      </text>
    </comment>
    <comment authorId="0" ref="BC19">
      <text>
        <t xml:space="preserve">Damage*0.75</t>
      </text>
    </comment>
    <comment authorId="0" ref="BD19">
      <text>
        <t xml:space="preserve">Damage*1*(ArmorRatio/2)</t>
      </text>
    </comment>
    <comment authorId="0" ref="BE19">
      <text>
        <t xml:space="preserve">Damage*4*(ArmorRatio/2)</t>
      </text>
    </comment>
    <comment authorId="0" ref="BF19">
      <text>
        <t xml:space="preserve">Damage*1.25*(ArmorRatio/2)</t>
      </text>
    </comment>
    <comment authorId="0" ref="A20">
      <text>
        <t xml:space="preserve">PP-Bizon</t>
      </text>
    </comment>
    <comment authorId="0" ref="A21">
      <text>
        <t xml:space="preserve">MAC-10</t>
      </text>
    </comment>
    <comment authorId="0" ref="A22">
      <text>
        <t xml:space="preserve">MP7</t>
      </text>
    </comment>
    <comment authorId="0" ref="A23">
      <text>
        <t xml:space="preserve">MP5-SD</t>
      </text>
    </comment>
    <comment authorId="0" ref="A24">
      <text>
        <t xml:space="preserve">MP9</t>
      </text>
    </comment>
    <comment authorId="0" ref="A25">
      <text>
        <t xml:space="preserve">P90</t>
      </text>
    </comment>
    <comment authorId="0" ref="A26">
      <text>
        <t xml:space="preserve">UMP-45</t>
      </text>
    </comment>
    <comment authorId="0" ref="B28">
      <text>
        <t xml:space="preserve">Spread + InaccuracyCrouch</t>
      </text>
    </comment>
    <comment authorId="0" ref="C28">
      <text>
        <t xml:space="preserve">Spread + InaccuracyStand</t>
      </text>
    </comment>
    <comment authorId="0" ref="D28">
      <text>
        <t xml:space="preserve">Standing Inaccuracy + InaccuracyMove</t>
      </text>
    </comment>
    <comment authorId="0" ref="F28">
      <text>
        <t xml:space="preserve">Standing Inaccuracy + Maximum Firing Inaccuracy(Crouching)</t>
      </text>
    </comment>
    <comment authorId="0" ref="G28">
      <text>
        <t xml:space="preserve">Standing Inaccuracy + Maximum Firing Inaccuracy(Standing)</t>
      </text>
    </comment>
    <comment authorId="0" ref="H28">
      <text>
        <t xml:space="preserve">Running Inaccuracy + 
Maximum Firing Inaccuracy(Standing)</t>
      </text>
    </comment>
    <comment authorId="0" ref="AZ28">
      <text>
        <t xml:space="preserve">Damage*1</t>
      </text>
    </comment>
    <comment authorId="0" ref="BA28">
      <text>
        <t xml:space="preserve">Damage*4</t>
      </text>
    </comment>
    <comment authorId="0" ref="BB28">
      <text>
        <t xml:space="preserve">Damage*1.25</t>
      </text>
    </comment>
    <comment authorId="0" ref="BC28">
      <text>
        <t xml:space="preserve">Damage*0.75</t>
      </text>
    </comment>
    <comment authorId="0" ref="BD28">
      <text>
        <t xml:space="preserve">Damage*1*(ArmorRatio/2)</t>
      </text>
    </comment>
    <comment authorId="0" ref="BE28">
      <text>
        <t xml:space="preserve">Damage*4*(ArmorRatio/2)</t>
      </text>
    </comment>
    <comment authorId="0" ref="BF28">
      <text>
        <t xml:space="preserve">Damage*1.25*(ArmorRatio/2)</t>
      </text>
    </comment>
    <comment authorId="0" ref="A29">
      <text>
        <t xml:space="preserve">AK-47</t>
      </text>
    </comment>
    <comment authorId="0" ref="A30">
      <text>
        <t xml:space="preserve">AUG</t>
      </text>
    </comment>
    <comment authorId="0" ref="A31">
      <text>
        <t xml:space="preserve">FAMAS</t>
      </text>
    </comment>
    <comment authorId="0" ref="A32">
      <text>
        <t xml:space="preserve">Galil AR</t>
      </text>
    </comment>
    <comment authorId="0" ref="A33">
      <text>
        <t xml:space="preserve">M4A4</t>
      </text>
    </comment>
    <comment authorId="0" ref="A34">
      <text>
        <t xml:space="preserve">M4A1-S (Silencer Equipped)</t>
      </text>
    </comment>
    <comment authorId="0" ref="A35">
      <text>
        <t xml:space="preserve">SG 553</t>
      </text>
    </comment>
    <comment authorId="0" ref="B37">
      <text>
        <t xml:space="preserve">Spread + InaccuracyCrouch</t>
      </text>
    </comment>
    <comment authorId="0" ref="C37">
      <text>
        <t xml:space="preserve">Spread + InaccuracyStand</t>
      </text>
    </comment>
    <comment authorId="0" ref="D37">
      <text>
        <t xml:space="preserve">Standing Inaccuracy + InaccuracyMove</t>
      </text>
    </comment>
    <comment authorId="0" ref="F37">
      <text>
        <t xml:space="preserve">Standing Inaccuracy + Maximum Firing Inaccuracy(Crouching)</t>
      </text>
    </comment>
    <comment authorId="0" ref="G37">
      <text>
        <t xml:space="preserve">Standing Inaccuracy + Maximum Firing Inaccuracy(Standing)</t>
      </text>
    </comment>
    <comment authorId="0" ref="H37">
      <text>
        <t xml:space="preserve">Running Inaccuracy + 
Maximum Firing Inaccuracy(Standing)</t>
      </text>
    </comment>
    <comment authorId="0" ref="AZ37">
      <text>
        <t xml:space="preserve">Damage*1</t>
      </text>
    </comment>
    <comment authorId="0" ref="BA37">
      <text>
        <t xml:space="preserve">Damage*4</t>
      </text>
    </comment>
    <comment authorId="0" ref="BB37">
      <text>
        <t xml:space="preserve">Damage*1.25</t>
      </text>
    </comment>
    <comment authorId="0" ref="BC37">
      <text>
        <t xml:space="preserve">Damage*0.75</t>
      </text>
    </comment>
    <comment authorId="0" ref="BD37">
      <text>
        <t xml:space="preserve">Damage*1*(ArmorRatio/2)</t>
      </text>
    </comment>
    <comment authorId="0" ref="BE37">
      <text>
        <t xml:space="preserve">Damage*4*(ArmorRatio/2)</t>
      </text>
    </comment>
    <comment authorId="0" ref="BF37">
      <text>
        <t xml:space="preserve">Damage*1.25*(ArmorRatio/2)</t>
      </text>
    </comment>
    <comment authorId="0" ref="A38">
      <text>
        <t xml:space="preserve">M249</t>
      </text>
    </comment>
    <comment authorId="0" ref="A39">
      <text>
        <t xml:space="preserve">Negev</t>
      </text>
    </comment>
    <comment authorId="0" ref="B41">
      <text>
        <t xml:space="preserve">Spread + InaccuracyCrouch</t>
      </text>
    </comment>
    <comment authorId="0" ref="C41">
      <text>
        <t xml:space="preserve">Spread + InaccuracyStand</t>
      </text>
    </comment>
    <comment authorId="0" ref="D41">
      <text>
        <t xml:space="preserve">Standing Inaccuracy + InaccuracyMove</t>
      </text>
    </comment>
    <comment authorId="0" ref="F41">
      <text>
        <t xml:space="preserve">Standing Inaccuracy + Maximum Firing Inaccuracy(Crouching)</t>
      </text>
    </comment>
    <comment authorId="0" ref="G41">
      <text>
        <t xml:space="preserve">Standing Inaccuracy + Maximum Firing Inaccuracy(Standing)</t>
      </text>
    </comment>
    <comment authorId="0" ref="H41">
      <text>
        <t xml:space="preserve">Running Inaccuracy + 
Maximum Firing Inaccuracy(Standing)</t>
      </text>
    </comment>
    <comment authorId="0" ref="AZ41">
      <text>
        <t xml:space="preserve">Damage*1</t>
      </text>
    </comment>
    <comment authorId="0" ref="BA41">
      <text>
        <t xml:space="preserve">Damage*4</t>
      </text>
    </comment>
    <comment authorId="0" ref="BB41">
      <text>
        <t xml:space="preserve">Damage*1.25</t>
      </text>
    </comment>
    <comment authorId="0" ref="BC41">
      <text>
        <t xml:space="preserve">Damage*0.75</t>
      </text>
    </comment>
    <comment authorId="0" ref="BD41">
      <text>
        <t xml:space="preserve">Damage*1*(ArmorRatio/2)</t>
      </text>
    </comment>
    <comment authorId="0" ref="BE41">
      <text>
        <t xml:space="preserve">Damage*4*(ArmorRatio/2)</t>
      </text>
    </comment>
    <comment authorId="0" ref="BF41">
      <text>
        <t xml:space="preserve">Damage*1.25*(ArmorRatio/2)</t>
      </text>
    </comment>
    <comment authorId="0" ref="A42">
      <text>
        <t xml:space="preserve">AWP</t>
      </text>
    </comment>
    <comment authorId="0" ref="A43">
      <text>
        <t xml:space="preserve">G3SG1</t>
      </text>
    </comment>
    <comment authorId="0" ref="A44">
      <text>
        <t xml:space="preserve">SCAR-20</t>
      </text>
    </comment>
    <comment authorId="0" ref="A45">
      <text>
        <t xml:space="preserve">SSG 08</t>
      </text>
    </comment>
  </commentList>
</comments>
</file>

<file path=xl/comments4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">
      <text>
        <t xml:space="preserve">minimum interval between firing next bullet(measured in seconds)</t>
      </text>
    </comment>
    <comment authorId="0" ref="C1">
      <text>
        <t xml:space="preserve">additional inaccuracy after firing</t>
      </text>
    </comment>
    <comment authorId="0" ref="D1">
      <text>
        <t xml:space="preserve">time taken for: InaccuracyFire and InaccuracyLand to clear when standing and time taken to shift from InaccuracyStand to InaccuracyStandAlt after zooming or switching to burst-fire mode.</t>
      </text>
    </comment>
    <comment authorId="0" ref="A2">
      <text>
        <t xml:space="preserve">Desert Eagle</t>
      </text>
    </comment>
    <comment authorId="0" ref="A3">
      <text>
        <t xml:space="preserve">R8 Revolver</t>
      </text>
    </comment>
    <comment authorId="0" ref="B3">
      <text>
        <t xml:space="preserve">CycleTimeAlt: 0.4 is used for calculations</t>
      </text>
    </comment>
    <comment authorId="0" ref="C3">
      <text>
        <t xml:space="preserve">InaccuracyFireAlt: 55.00  is used for these calculations</t>
      </text>
    </comment>
    <comment authorId="0" ref="A4">
      <text>
        <t xml:space="preserve">Dual Berettas</t>
      </text>
    </comment>
    <comment authorId="0" ref="A5">
      <text>
        <t xml:space="preserve">Five-SeveN</t>
      </text>
    </comment>
    <comment authorId="0" ref="A6">
      <text>
        <t xml:space="preserve">Glock 18</t>
      </text>
    </comment>
    <comment authorId="0" ref="A7">
      <text>
        <t xml:space="preserve">P2000</t>
      </text>
    </comment>
    <comment authorId="0" ref="A8">
      <text>
        <t xml:space="preserve">(silencer equipped)</t>
      </text>
    </comment>
    <comment authorId="0" ref="C8">
      <text>
        <t xml:space="preserve">InaccuracyFireAlt: 52.00  is used for these calculations</t>
      </text>
    </comment>
    <comment authorId="0" ref="A9">
      <text>
        <t xml:space="preserve">P250</t>
      </text>
    </comment>
    <comment authorId="0" ref="A10">
      <text>
        <t xml:space="preserve">CZ75 Auto</t>
      </text>
    </comment>
    <comment authorId="0" ref="A11">
      <text>
        <t xml:space="preserve">Tec-9</t>
      </text>
    </comment>
    <comment authorId="0" ref="B13">
      <text>
        <t xml:space="preserve">minimum interval between firing next bullet(measured in seconds)</t>
      </text>
    </comment>
    <comment authorId="0" ref="C13">
      <text>
        <t xml:space="preserve">additional inaccuracy after firing</t>
      </text>
    </comment>
    <comment authorId="0" ref="D13">
      <text>
        <t xml:space="preserve">time taken for: InaccuracyFire and InaccuracyLand to clear when standing and time taken to shift from InaccuracyStand to InaccuracyStandAlt after zooming or switching to burst-fire mode.</t>
      </text>
    </comment>
    <comment authorId="0" ref="A14">
      <text>
        <t xml:space="preserve">MAG-7</t>
      </text>
    </comment>
    <comment authorId="0" ref="A15">
      <text>
        <t xml:space="preserve">Nova</t>
      </text>
    </comment>
    <comment authorId="0" ref="A16">
      <text>
        <t xml:space="preserve">Sawed-Off</t>
      </text>
    </comment>
    <comment authorId="0" ref="A17">
      <text>
        <t xml:space="preserve">XM1014</t>
      </text>
    </comment>
    <comment authorId="0" ref="B19">
      <text>
        <t xml:space="preserve">minimum interval between firing next bullet(measured in seconds)</t>
      </text>
    </comment>
    <comment authorId="0" ref="C19">
      <text>
        <t xml:space="preserve">additional inaccuracy after firing</t>
      </text>
    </comment>
    <comment authorId="0" ref="D19">
      <text>
        <t xml:space="preserve">time taken for: InaccuracyFire and InaccuracyLand to clear when standing and time taken to shift from InaccuracyStand to InaccuracyStandAlt after zooming or switching to burst-fire mode.</t>
      </text>
    </comment>
    <comment authorId="0" ref="A20">
      <text>
        <t xml:space="preserve">PP-Bizon</t>
      </text>
    </comment>
    <comment authorId="0" ref="A21">
      <text>
        <t xml:space="preserve">MAC-10</t>
      </text>
    </comment>
    <comment authorId="0" ref="A22">
      <text>
        <t xml:space="preserve">MP7</t>
      </text>
    </comment>
    <comment authorId="0" ref="A24">
      <text>
        <t xml:space="preserve">MP9</t>
      </text>
    </comment>
    <comment authorId="0" ref="A25">
      <text>
        <t xml:space="preserve">P90</t>
      </text>
    </comment>
    <comment authorId="0" ref="A26">
      <text>
        <t xml:space="preserve">UMP-45</t>
      </text>
    </comment>
    <comment authorId="0" ref="B28">
      <text>
        <t xml:space="preserve">minimum interval between firing next bullet(measured in seconds)</t>
      </text>
    </comment>
    <comment authorId="0" ref="C28">
      <text>
        <t xml:space="preserve">additional inaccuracy after firing</t>
      </text>
    </comment>
    <comment authorId="0" ref="D28">
      <text>
        <t xml:space="preserve">time taken for: InaccuracyFire and InaccuracyLand to clear when standing and time taken to shift from InaccuracyStand to InaccuracyStandAlt after zooming or switching to burst-fire mode.</t>
      </text>
    </comment>
    <comment authorId="0" ref="A29">
      <text>
        <t xml:space="preserve">AK-47</t>
      </text>
    </comment>
    <comment authorId="0" ref="A30">
      <text>
        <t xml:space="preserve">AUG</t>
      </text>
    </comment>
    <comment authorId="0" ref="A31">
      <text>
        <t xml:space="preserve">FAMAS</t>
      </text>
    </comment>
    <comment authorId="0" ref="A32">
      <text>
        <t xml:space="preserve">Galil AR</t>
      </text>
    </comment>
    <comment authorId="0" ref="A33">
      <text>
        <t xml:space="preserve">M4A4</t>
      </text>
    </comment>
    <comment authorId="0" ref="A34">
      <text>
        <t xml:space="preserve">M4A1-S</t>
      </text>
    </comment>
    <comment authorId="0" ref="C34">
      <text>
        <t xml:space="preserve">InaccuracyFireAlt: 7.00  is used for these calculations</t>
      </text>
    </comment>
    <comment authorId="0" ref="A35">
      <text>
        <t xml:space="preserve">SG 553</t>
      </text>
    </comment>
    <comment authorId="0" ref="B37">
      <text>
        <t xml:space="preserve">minimum interval between firing next bullet(measured in seconds)</t>
      </text>
    </comment>
    <comment authorId="0" ref="C37">
      <text>
        <t xml:space="preserve">additional inaccuracy after firing</t>
      </text>
    </comment>
    <comment authorId="0" ref="D37">
      <text>
        <t xml:space="preserve">time taken for: InaccuracyFire and InaccuracyLand to clear when standing and time taken to shift from InaccuracyStand to InaccuracyStandAlt after zooming or switching to burst-fire mode.</t>
      </text>
    </comment>
    <comment authorId="0" ref="A38">
      <text>
        <t xml:space="preserve">M249</t>
      </text>
    </comment>
    <comment authorId="0" ref="A39">
      <text>
        <t xml:space="preserve">Negev</t>
      </text>
    </comment>
    <comment authorId="0" ref="B41">
      <text>
        <t xml:space="preserve">minimum interval between firing next bullet(measured in seconds)</t>
      </text>
    </comment>
    <comment authorId="0" ref="C41">
      <text>
        <t xml:space="preserve">additional inaccuracy after firing</t>
      </text>
    </comment>
    <comment authorId="0" ref="D41">
      <text>
        <t xml:space="preserve">time taken for: InaccuracyFire and InaccuracyLand to clear when standing and time taken to shift from InaccuracyStand to InaccuracyStandAlt after zooming or switching to burst-fire mode.</t>
      </text>
    </comment>
    <comment authorId="0" ref="A42">
      <text>
        <t xml:space="preserve">AWP</t>
      </text>
    </comment>
    <comment authorId="0" ref="A43">
      <text>
        <t xml:space="preserve">G3SG1</t>
      </text>
    </comment>
    <comment authorId="0" ref="A44">
      <text>
        <t xml:space="preserve">SCAR-20</t>
      </text>
    </comment>
    <comment authorId="0" ref="A45">
      <text>
        <t xml:space="preserve">SSG 08</t>
      </text>
    </comment>
  </commentList>
</comments>
</file>

<file path=xl/comments5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">
      <text>
        <t xml:space="preserve">minimum interval between firing next bullet(measured in seconds)</t>
      </text>
    </comment>
    <comment authorId="0" ref="A2">
      <text>
        <t xml:space="preserve">Desert Eagle</t>
      </text>
    </comment>
    <comment authorId="0" ref="A3">
      <text>
        <t xml:space="preserve">R8 Revolver</t>
      </text>
    </comment>
    <comment authorId="0" ref="A4">
      <text>
        <t xml:space="preserve">Dual Berettas</t>
      </text>
    </comment>
    <comment authorId="0" ref="A5">
      <text>
        <t xml:space="preserve">Five-SeveN</t>
      </text>
    </comment>
    <comment authorId="0" ref="A6">
      <text>
        <t xml:space="preserve">Glock 18</t>
      </text>
    </comment>
    <comment authorId="0" ref="A7">
      <text>
        <t xml:space="preserve">P2000</t>
      </text>
    </comment>
    <comment authorId="0" ref="A8">
      <text>
        <t xml:space="preserve">(silencer equipped)</t>
      </text>
    </comment>
    <comment authorId="0" ref="A9">
      <text>
        <t xml:space="preserve">P250</t>
      </text>
    </comment>
    <comment authorId="0" ref="A10">
      <text>
        <t xml:space="preserve">CZ75 Auto</t>
      </text>
    </comment>
    <comment authorId="0" ref="A11">
      <text>
        <t xml:space="preserve">Tec-9</t>
      </text>
    </comment>
    <comment authorId="0" ref="A14">
      <text>
        <t xml:space="preserve">MAG-7</t>
      </text>
    </comment>
    <comment authorId="0" ref="A15">
      <text>
        <t xml:space="preserve">Nova</t>
      </text>
    </comment>
    <comment authorId="0" ref="A16">
      <text>
        <t xml:space="preserve">Sawed-Off</t>
      </text>
    </comment>
    <comment authorId="0" ref="A17">
      <text>
        <t xml:space="preserve">XM1014</t>
      </text>
    </comment>
    <comment authorId="0" ref="A20">
      <text>
        <t xml:space="preserve">PP-Bizon</t>
      </text>
    </comment>
    <comment authorId="0" ref="A21">
      <text>
        <t xml:space="preserve">MAC-10</t>
      </text>
    </comment>
    <comment authorId="0" ref="A22">
      <text>
        <t xml:space="preserve">MP7</t>
      </text>
    </comment>
    <comment authorId="0" ref="A23">
      <text>
        <t xml:space="preserve">MP5-SD</t>
      </text>
    </comment>
    <comment authorId="0" ref="A24">
      <text>
        <t xml:space="preserve">MP9</t>
      </text>
    </comment>
    <comment authorId="0" ref="A25">
      <text>
        <t xml:space="preserve">P90</t>
      </text>
    </comment>
    <comment authorId="0" ref="A26">
      <text>
        <t xml:space="preserve">UMP-45</t>
      </text>
    </comment>
    <comment authorId="0" ref="A29">
      <text>
        <t xml:space="preserve">AK-47</t>
      </text>
    </comment>
    <comment authorId="0" ref="A30">
      <text>
        <t xml:space="preserve">AUG</t>
      </text>
    </comment>
    <comment authorId="0" ref="A31">
      <text>
        <t xml:space="preserve">FAMAS</t>
      </text>
    </comment>
    <comment authorId="0" ref="A32">
      <text>
        <t xml:space="preserve">Galil AR</t>
      </text>
    </comment>
    <comment authorId="0" ref="A33">
      <text>
        <t xml:space="preserve">M4A4</t>
      </text>
    </comment>
    <comment authorId="0" ref="A34">
      <text>
        <t xml:space="preserve">M4A1-S</t>
      </text>
    </comment>
    <comment authorId="0" ref="A35">
      <text>
        <t xml:space="preserve">SG 553</t>
      </text>
    </comment>
    <comment authorId="0" ref="A38">
      <text>
        <t xml:space="preserve">M249</t>
      </text>
    </comment>
    <comment authorId="0" ref="A39">
      <text>
        <t xml:space="preserve">Negev</t>
      </text>
    </comment>
    <comment authorId="0" ref="A42">
      <text>
        <t xml:space="preserve">AWP</t>
      </text>
    </comment>
    <comment authorId="0" ref="A43">
      <text>
        <t xml:space="preserve">G3SG1</t>
      </text>
    </comment>
    <comment authorId="0" ref="A44">
      <text>
        <t xml:space="preserve">SCAR-20</t>
      </text>
    </comment>
    <comment authorId="0" ref="A45">
      <text>
        <t xml:space="preserve">SSG 08</t>
      </text>
    </comment>
  </commentList>
</comments>
</file>

<file path=xl/comments6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">
      <text>
        <t xml:space="preserve">minimum interval between firing next bullet(measured in seconds)</t>
      </text>
    </comment>
    <comment authorId="0" ref="C1">
      <text>
        <t xml:space="preserve">additional inaccuracy after firing</t>
      </text>
    </comment>
    <comment authorId="0" ref="D1">
      <text>
        <t xml:space="preserve">time taken for: InaccuracyFire and InaccuracyLand to clear when standing and time taken to shift from InaccuracyStand to InaccuracyStandAlt after zooming or switching to burst-fire mode.</t>
      </text>
    </comment>
    <comment authorId="0" ref="A2">
      <text>
        <t xml:space="preserve">Desert Eagle</t>
      </text>
    </comment>
    <comment authorId="0" ref="A3">
      <text>
        <t xml:space="preserve">R8 Revolver</t>
      </text>
    </comment>
    <comment authorId="0" ref="B3">
      <text>
        <t xml:space="preserve">CycleTimeAlt: 0.4 is used for calculations</t>
      </text>
    </comment>
    <comment authorId="0" ref="C3">
      <text>
        <t xml:space="preserve">InaccuracyFireAlt: 55.00  is used for these calculations</t>
      </text>
    </comment>
    <comment authorId="0" ref="A4">
      <text>
        <t xml:space="preserve">Dual Berettas</t>
      </text>
    </comment>
    <comment authorId="0" ref="A5">
      <text>
        <t xml:space="preserve">Five-SeveN</t>
      </text>
    </comment>
    <comment authorId="0" ref="A6">
      <text>
        <t xml:space="preserve">Glock 18</t>
      </text>
    </comment>
    <comment authorId="0" ref="A7">
      <text>
        <t xml:space="preserve">P2000</t>
      </text>
    </comment>
    <comment authorId="0" ref="A8">
      <text>
        <t xml:space="preserve">(silencer equipped)</t>
      </text>
    </comment>
    <comment authorId="0" ref="C8">
      <text>
        <t xml:space="preserve">InaccuracyFireAlt: 52.00  is used for these calculations</t>
      </text>
    </comment>
    <comment authorId="0" ref="A9">
      <text>
        <t xml:space="preserve">P250</t>
      </text>
    </comment>
    <comment authorId="0" ref="A10">
      <text>
        <t xml:space="preserve">CZ75 Auto</t>
      </text>
    </comment>
    <comment authorId="0" ref="A11">
      <text>
        <t xml:space="preserve">Tec-9</t>
      </text>
    </comment>
    <comment authorId="0" ref="B13">
      <text>
        <t xml:space="preserve">minimum interval between firing next bullet(measured in seconds)</t>
      </text>
    </comment>
    <comment authorId="0" ref="C13">
      <text>
        <t xml:space="preserve">additional inaccuracy after firing</t>
      </text>
    </comment>
    <comment authorId="0" ref="D13">
      <text>
        <t xml:space="preserve">when crouching it is the decay rate for InaccuracyFire, InaccuracyJump, InaccuracyLand, the difference between InaccuracyStand and InaccuracyCrouch and the difference between InaccuracyCrouch and InaccuracyCrouchAlt using the following formula: ‘Inacc * (0.1 ^ (time/RecoveryTime))’</t>
      </text>
    </comment>
    <comment authorId="0" ref="A14">
      <text>
        <t xml:space="preserve">MAG-7</t>
      </text>
    </comment>
    <comment authorId="0" ref="A15">
      <text>
        <t xml:space="preserve">Nova</t>
      </text>
    </comment>
    <comment authorId="0" ref="A16">
      <text>
        <t xml:space="preserve">Sawed-Off</t>
      </text>
    </comment>
    <comment authorId="0" ref="A17">
      <text>
        <t xml:space="preserve">XM1014</t>
      </text>
    </comment>
    <comment authorId="0" ref="B19">
      <text>
        <t xml:space="preserve">minimum interval between firing next bullet(measured in seconds)</t>
      </text>
    </comment>
    <comment authorId="0" ref="C19">
      <text>
        <t xml:space="preserve">additional inaccuracy after firing</t>
      </text>
    </comment>
    <comment authorId="0" ref="D19">
      <text>
        <t xml:space="preserve">when crouching it is the decay rate for InaccuracyFire, InaccuracyJump, InaccuracyLand, the difference between InaccuracyStand and InaccuracyCrouch and the difference between InaccuracyCrouch and InaccuracyCrouchAlt using the following formula: ‘Inacc * (0.1 ^ (time/RecoveryTime))’</t>
      </text>
    </comment>
    <comment authorId="0" ref="A20">
      <text>
        <t xml:space="preserve">PP-Bizon</t>
      </text>
    </comment>
    <comment authorId="0" ref="A21">
      <text>
        <t xml:space="preserve">MAC-10</t>
      </text>
    </comment>
    <comment authorId="0" ref="A22">
      <text>
        <t xml:space="preserve">MP7</t>
      </text>
    </comment>
    <comment authorId="0" ref="A24">
      <text>
        <t xml:space="preserve">MP9</t>
      </text>
    </comment>
    <comment authorId="0" ref="A25">
      <text>
        <t xml:space="preserve">P90</t>
      </text>
    </comment>
    <comment authorId="0" ref="A26">
      <text>
        <t xml:space="preserve">UMP-45</t>
      </text>
    </comment>
    <comment authorId="0" ref="B28">
      <text>
        <t xml:space="preserve">minimum interval between firing next bullet(measured in seconds)</t>
      </text>
    </comment>
    <comment authorId="0" ref="C28">
      <text>
        <t xml:space="preserve">additional inaccuracy after firing</t>
      </text>
    </comment>
    <comment authorId="0" ref="D28">
      <text>
        <t xml:space="preserve">when crouching it is the decay rate for InaccuracyFire, InaccuracyJump, InaccuracyLand, the difference between InaccuracyStand and InaccuracyCrouch and the difference between InaccuracyCrouch and InaccuracyCrouchAlt using the following formula: ‘Inacc * (0.1 ^ (time/RecoveryTime))’</t>
      </text>
    </comment>
    <comment authorId="0" ref="A29">
      <text>
        <t xml:space="preserve">AK-47</t>
      </text>
    </comment>
    <comment authorId="0" ref="A30">
      <text>
        <t xml:space="preserve">AUG</t>
      </text>
    </comment>
    <comment authorId="0" ref="A31">
      <text>
        <t xml:space="preserve">FAMAS</t>
      </text>
    </comment>
    <comment authorId="0" ref="A32">
      <text>
        <t xml:space="preserve">Galil AR</t>
      </text>
    </comment>
    <comment authorId="0" ref="A33">
      <text>
        <t xml:space="preserve">M4A4</t>
      </text>
    </comment>
    <comment authorId="0" ref="A34">
      <text>
        <t xml:space="preserve">M4A1-S</t>
      </text>
    </comment>
    <comment authorId="0" ref="C34">
      <text>
        <t xml:space="preserve">InaccuracyFireAlt: 7.00  is used for these calculations</t>
      </text>
    </comment>
    <comment authorId="0" ref="A35">
      <text>
        <t xml:space="preserve">SG 553</t>
      </text>
    </comment>
    <comment authorId="0" ref="B37">
      <text>
        <t xml:space="preserve">minimum interval between firing next bullet(measured in seconds)</t>
      </text>
    </comment>
    <comment authorId="0" ref="C37">
      <text>
        <t xml:space="preserve">additional inaccuracy after firing</t>
      </text>
    </comment>
    <comment authorId="0" ref="D37">
      <text>
        <t xml:space="preserve">when crouching it is the decay rate for InaccuracyFire, InaccuracyJump, InaccuracyLand, the difference between InaccuracyStand and InaccuracyCrouch and the difference between InaccuracyCrouch and InaccuracyCrouchAlt using the following formula: ‘Inacc * (0.1 ^ (time/RecoveryTime))’</t>
      </text>
    </comment>
    <comment authorId="0" ref="A38">
      <text>
        <t xml:space="preserve">M249</t>
      </text>
    </comment>
    <comment authorId="0" ref="A39">
      <text>
        <t xml:space="preserve">Negev</t>
      </text>
    </comment>
    <comment authorId="0" ref="B41">
      <text>
        <t xml:space="preserve">minimum interval between firing next bullet(measured in seconds)</t>
      </text>
    </comment>
    <comment authorId="0" ref="C41">
      <text>
        <t xml:space="preserve">additional inaccuracy after firing</t>
      </text>
    </comment>
    <comment authorId="0" ref="D41">
      <text>
        <t xml:space="preserve">when crouching it is the decay rate for InaccuracyFire, InaccuracyJump, InaccuracyLand, the difference between InaccuracyStand and InaccuracyCrouch and the difference between InaccuracyCrouch and InaccuracyCrouchAlt using the following formula: ‘Inacc * (0.1 ^ (time/RecoveryTime))’</t>
      </text>
    </comment>
    <comment authorId="0" ref="A42">
      <text>
        <t xml:space="preserve">AWP</t>
      </text>
    </comment>
    <comment authorId="0" ref="A43">
      <text>
        <t xml:space="preserve">G3SG1</t>
      </text>
    </comment>
    <comment authorId="0" ref="A44">
      <text>
        <t xml:space="preserve">SCAR-20</t>
      </text>
    </comment>
    <comment authorId="0" ref="A45">
      <text>
        <t xml:space="preserve">SSG 08</t>
      </text>
    </comment>
  </commentList>
</comments>
</file>

<file path=xl/comments7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">
      <text>
        <t xml:space="preserve">minimum interval between firing next bullet(measured in seconds)</t>
      </text>
    </comment>
    <comment authorId="0" ref="C1">
      <text>
        <t xml:space="preserve">additional inaccuracy after firing</t>
      </text>
    </comment>
    <comment authorId="0" ref="D1">
      <text>
        <t xml:space="preserve">time taken for InaccuracyFire and InaccuracyLand to clear when crouched. Also time taken for: InaccuracyJump to clear; to shift from InaccuracyLadder to InaccuracyStand or InaccuracyCrouch; to shift from InaccuracyStand to InaccuracyCrouch and to shift from InaccuracyCrouch to InaccuracyCrouchAlt after zooming or switching to burst-fire mode.</t>
      </text>
    </comment>
    <comment authorId="0" ref="A2">
      <text>
        <t xml:space="preserve">Desert Eagle</t>
      </text>
    </comment>
    <comment authorId="0" ref="A3">
      <text>
        <t xml:space="preserve">R8 Revolver</t>
      </text>
    </comment>
    <comment authorId="0" ref="B3">
      <text>
        <t xml:space="preserve">CycleTimeAlt: 0.4 is used for calculations</t>
      </text>
    </comment>
    <comment authorId="0" ref="C3">
      <text>
        <t xml:space="preserve">InaccuracyFireAlt: 55.00  is used for these calculations</t>
      </text>
    </comment>
    <comment authorId="0" ref="A4">
      <text>
        <t xml:space="preserve">Dual Berettas</t>
      </text>
    </comment>
    <comment authorId="0" ref="A5">
      <text>
        <t xml:space="preserve">Five-SeveN</t>
      </text>
    </comment>
    <comment authorId="0" ref="A6">
      <text>
        <t xml:space="preserve">Glock 18</t>
      </text>
    </comment>
    <comment authorId="0" ref="A7">
      <text>
        <t xml:space="preserve">P2000</t>
      </text>
    </comment>
    <comment authorId="0" ref="A8">
      <text>
        <t xml:space="preserve">(silencer equipped)</t>
      </text>
    </comment>
    <comment authorId="0" ref="C8">
      <text>
        <t xml:space="preserve">InaccuracyFireAlt: 52.00  is used for these calculations</t>
      </text>
    </comment>
    <comment authorId="0" ref="A9">
      <text>
        <t xml:space="preserve">P250</t>
      </text>
    </comment>
    <comment authorId="0" ref="A10">
      <text>
        <t xml:space="preserve">CZ75 Auto</t>
      </text>
    </comment>
    <comment authorId="0" ref="A11">
      <text>
        <t xml:space="preserve">Tec-9</t>
      </text>
    </comment>
    <comment authorId="0" ref="B13">
      <text>
        <t xml:space="preserve">minimum interval between firing next bullet(measured in seconds)</t>
      </text>
    </comment>
    <comment authorId="0" ref="C13">
      <text>
        <t xml:space="preserve">additional inaccuracy after firing</t>
      </text>
    </comment>
    <comment authorId="0" ref="D13">
      <text>
        <t xml:space="preserve">time taken for InaccuracyFire and InaccuracyLand to clear when crouched. Also time taken for: InaccuracyJump to clear; to shift from InaccuracyLadder to InaccuracyStand or InaccuracyCrouch; to shift from InaccuracyStand to InaccuracyCrouch and to shift from InaccuracyCrouch to InaccuracyCrouchAlt after zooming or switching to burst-fire mode.</t>
      </text>
    </comment>
    <comment authorId="0" ref="A14">
      <text>
        <t xml:space="preserve">MAG-7</t>
      </text>
    </comment>
    <comment authorId="0" ref="A15">
      <text>
        <t xml:space="preserve">Nova</t>
      </text>
    </comment>
    <comment authorId="0" ref="A16">
      <text>
        <t xml:space="preserve">Sawed-Off</t>
      </text>
    </comment>
    <comment authorId="0" ref="A17">
      <text>
        <t xml:space="preserve">XM1014</t>
      </text>
    </comment>
    <comment authorId="0" ref="B19">
      <text>
        <t xml:space="preserve">minimum interval between firing next bullet(measured in seconds)</t>
      </text>
    </comment>
    <comment authorId="0" ref="C19">
      <text>
        <t xml:space="preserve">additional inaccuracy after firing</t>
      </text>
    </comment>
    <comment authorId="0" ref="D19">
      <text>
        <t xml:space="preserve">time taken for InaccuracyFire and InaccuracyLand to clear when crouched. Also time taken for: InaccuracyJump to clear; to shift from InaccuracyLadder to InaccuracyStand or InaccuracyCrouch; to shift from InaccuracyStand to InaccuracyCrouch and to shift from InaccuracyCrouch to InaccuracyCrouchAlt after zooming or switching to burst-fire mode.</t>
      </text>
    </comment>
    <comment authorId="0" ref="A20">
      <text>
        <t xml:space="preserve">PP-Bizon</t>
      </text>
    </comment>
    <comment authorId="0" ref="A21">
      <text>
        <t xml:space="preserve">MAC-10</t>
      </text>
    </comment>
    <comment authorId="0" ref="A22">
      <text>
        <t xml:space="preserve">MP7</t>
      </text>
    </comment>
    <comment authorId="0" ref="A23">
      <text>
        <t xml:space="preserve">MP5-SD</t>
      </text>
    </comment>
    <comment authorId="0" ref="A24">
      <text>
        <t xml:space="preserve">MP9</t>
      </text>
    </comment>
    <comment authorId="0" ref="A25">
      <text>
        <t xml:space="preserve">P90</t>
      </text>
    </comment>
    <comment authorId="0" ref="A26">
      <text>
        <t xml:space="preserve">UMP-45</t>
      </text>
    </comment>
    <comment authorId="0" ref="B28">
      <text>
        <t xml:space="preserve">minimum interval between firing next bullet(measured in seconds)</t>
      </text>
    </comment>
    <comment authorId="0" ref="C28">
      <text>
        <t xml:space="preserve">additional inaccuracy after firing</t>
      </text>
    </comment>
    <comment authorId="0" ref="D28">
      <text>
        <t xml:space="preserve">time taken for InaccuracyFire and InaccuracyLand to clear when crouched. Also time taken for: InaccuracyJump to clear; to shift from InaccuracyLadder to InaccuracyStand or InaccuracyCrouch; to shift from InaccuracyStand to InaccuracyCrouch and to shift from InaccuracyCrouch to InaccuracyCrouchAlt after zooming or switching to burst-fire mode.</t>
      </text>
    </comment>
    <comment authorId="0" ref="A29">
      <text>
        <t xml:space="preserve">AK-47</t>
      </text>
    </comment>
    <comment authorId="0" ref="A30">
      <text>
        <t xml:space="preserve">AUG</t>
      </text>
    </comment>
    <comment authorId="0" ref="A31">
      <text>
        <t xml:space="preserve">FAMAS</t>
      </text>
    </comment>
    <comment authorId="0" ref="A32">
      <text>
        <t xml:space="preserve">Galil AR</t>
      </text>
    </comment>
    <comment authorId="0" ref="A33">
      <text>
        <t xml:space="preserve">M4A4</t>
      </text>
    </comment>
    <comment authorId="0" ref="A34">
      <text>
        <t xml:space="preserve">M4A1-S</t>
      </text>
    </comment>
    <comment authorId="0" ref="C34">
      <text>
        <t xml:space="preserve">InaccuracyFireAlt: 7.00  is used for these calculations</t>
      </text>
    </comment>
    <comment authorId="0" ref="A35">
      <text>
        <t xml:space="preserve">SG 553</t>
      </text>
    </comment>
    <comment authorId="0" ref="B37">
      <text>
        <t xml:space="preserve">minimum interval between firing next bullet(measured in seconds)</t>
      </text>
    </comment>
    <comment authorId="0" ref="C37">
      <text>
        <t xml:space="preserve">additional inaccuracy after firing</t>
      </text>
    </comment>
    <comment authorId="0" ref="D37">
      <text>
        <t xml:space="preserve">time taken for InaccuracyFire and InaccuracyLand to clear when crouched. Also time taken for: InaccuracyJump to clear; to shift from InaccuracyLadder to InaccuracyStand or InaccuracyCrouch; to shift from InaccuracyStand to InaccuracyCrouch and to shift from InaccuracyCrouch to InaccuracyCrouchAlt after zooming or switching to burst-fire mode.</t>
      </text>
    </comment>
    <comment authorId="0" ref="A38">
      <text>
        <t xml:space="preserve">M249</t>
      </text>
    </comment>
    <comment authorId="0" ref="A39">
      <text>
        <t xml:space="preserve">Negev</t>
      </text>
    </comment>
    <comment authorId="0" ref="B41">
      <text>
        <t xml:space="preserve">minimum interval between firing next bullet(measured in seconds)</t>
      </text>
    </comment>
    <comment authorId="0" ref="C41">
      <text>
        <t xml:space="preserve">additional inaccuracy after firing</t>
      </text>
    </comment>
    <comment authorId="0" ref="D41">
      <text>
        <t xml:space="preserve">time taken for InaccuracyFire and InaccuracyLand to clear when crouched. Also time taken for: InaccuracyJump to clear; to shift from InaccuracyLadder to InaccuracyStand or InaccuracyCrouch; to shift from InaccuracyStand to InaccuracyCrouch and to shift from InaccuracyCrouch to InaccuracyCrouchAlt after zooming or switching to burst-fire mode.</t>
      </text>
    </comment>
    <comment authorId="0" ref="A42">
      <text>
        <t xml:space="preserve">AWP</t>
      </text>
    </comment>
    <comment authorId="0" ref="A43">
      <text>
        <t xml:space="preserve">G3SG1</t>
      </text>
    </comment>
    <comment authorId="0" ref="A44">
      <text>
        <t xml:space="preserve">SCAR-20</t>
      </text>
    </comment>
    <comment authorId="0" ref="A45">
      <text>
        <t xml:space="preserve">SSG 08</t>
      </text>
    </comment>
  </commentList>
</comments>
</file>

<file path=xl/comments8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1">
      <text>
        <t xml:space="preserve">additional inaccuracy after firing</t>
      </text>
    </comment>
    <comment authorId="0" ref="D1">
      <text>
        <t xml:space="preserve">time taken for: InaccuracyFire and InaccuracyLand to clear when standing and time taken to shift from InaccuracyStand to InaccuracyStandAlt after zooming or switching to burst-fire mode.</t>
      </text>
    </comment>
    <comment authorId="0" ref="A2">
      <text>
        <t xml:space="preserve">Desert Eagle</t>
      </text>
    </comment>
    <comment authorId="0" ref="A3">
      <text>
        <t xml:space="preserve">R8 Revolver</t>
      </text>
    </comment>
    <comment authorId="0" ref="A4">
      <text>
        <t xml:space="preserve">Dual Berettas</t>
      </text>
    </comment>
    <comment authorId="0" ref="A5">
      <text>
        <t xml:space="preserve">Five-SeveN</t>
      </text>
    </comment>
    <comment authorId="0" ref="A6">
      <text>
        <t xml:space="preserve">Glock 18</t>
      </text>
    </comment>
    <comment authorId="0" ref="A7">
      <text>
        <t xml:space="preserve">P2000</t>
      </text>
    </comment>
    <comment authorId="0" ref="A8">
      <text>
        <t xml:space="preserve">(silencer equipped)</t>
      </text>
    </comment>
    <comment authorId="0" ref="A9">
      <text>
        <t xml:space="preserve">P250</t>
      </text>
    </comment>
    <comment authorId="0" ref="A10">
      <text>
        <t xml:space="preserve">CZ75 Auto</t>
      </text>
    </comment>
    <comment authorId="0" ref="A11">
      <text>
        <t xml:space="preserve">Tec-9</t>
      </text>
    </comment>
    <comment authorId="0" ref="C13">
      <text>
        <t xml:space="preserve">additional inaccuracy after firing</t>
      </text>
    </comment>
    <comment authorId="0" ref="D13">
      <text>
        <t xml:space="preserve">time taken for: InaccuracyFire and InaccuracyLand to clear when standing and time taken to shift from InaccuracyStand to InaccuracyStandAlt after zooming or switching to burst-fire mode.</t>
      </text>
    </comment>
    <comment authorId="0" ref="A14">
      <text>
        <t xml:space="preserve">MAG-7</t>
      </text>
    </comment>
    <comment authorId="0" ref="A15">
      <text>
        <t xml:space="preserve">Nova</t>
      </text>
    </comment>
    <comment authorId="0" ref="A16">
      <text>
        <t xml:space="preserve">Sawed-Off</t>
      </text>
    </comment>
    <comment authorId="0" ref="A17">
      <text>
        <t xml:space="preserve">XM1014</t>
      </text>
    </comment>
    <comment authorId="0" ref="C19">
      <text>
        <t xml:space="preserve">additional inaccuracy after firing</t>
      </text>
    </comment>
    <comment authorId="0" ref="D19">
      <text>
        <t xml:space="preserve">time taken for: InaccuracyFire and InaccuracyLand to clear when standing and time taken to shift from InaccuracyStand to InaccuracyStandAlt after zooming or switching to burst-fire mode.</t>
      </text>
    </comment>
    <comment authorId="0" ref="A20">
      <text>
        <t xml:space="preserve">PP-Bizon</t>
      </text>
    </comment>
    <comment authorId="0" ref="A21">
      <text>
        <t xml:space="preserve">MAC-10</t>
      </text>
    </comment>
    <comment authorId="0" ref="A22">
      <text>
        <t xml:space="preserve">MP7</t>
      </text>
    </comment>
    <comment authorId="0" ref="A24">
      <text>
        <t xml:space="preserve">MP9</t>
      </text>
    </comment>
    <comment authorId="0" ref="A25">
      <text>
        <t xml:space="preserve">P90</t>
      </text>
    </comment>
    <comment authorId="0" ref="A26">
      <text>
        <t xml:space="preserve">UMP-45</t>
      </text>
    </comment>
    <comment authorId="0" ref="C28">
      <text>
        <t xml:space="preserve">additional inaccuracy after firing</t>
      </text>
    </comment>
    <comment authorId="0" ref="D28">
      <text>
        <t xml:space="preserve">time taken for: InaccuracyFire and InaccuracyLand to clear when standing and time taken to shift from InaccuracyStand to InaccuracyStandAlt after zooming or switching to burst-fire mode.</t>
      </text>
    </comment>
    <comment authorId="0" ref="A29">
      <text>
        <t xml:space="preserve">AK-47</t>
      </text>
    </comment>
    <comment authorId="0" ref="A30">
      <text>
        <t xml:space="preserve">AUG</t>
      </text>
    </comment>
    <comment authorId="0" ref="A31">
      <text>
        <t xml:space="preserve">FAMAS</t>
      </text>
    </comment>
    <comment authorId="0" ref="A32">
      <text>
        <t xml:space="preserve">Galil AR</t>
      </text>
    </comment>
    <comment authorId="0" ref="A33">
      <text>
        <t xml:space="preserve">M4A4</t>
      </text>
    </comment>
    <comment authorId="0" ref="A34">
      <text>
        <t xml:space="preserve">M4A1-S</t>
      </text>
    </comment>
    <comment authorId="0" ref="C34">
      <text>
        <t xml:space="preserve">InaccuracyFireAlt: 7.00  is used for these calculations</t>
      </text>
    </comment>
    <comment authorId="0" ref="A35">
      <text>
        <t xml:space="preserve">SG 553</t>
      </text>
    </comment>
    <comment authorId="0" ref="C37">
      <text>
        <t xml:space="preserve">additional inaccuracy after firing</t>
      </text>
    </comment>
    <comment authorId="0" ref="D37">
      <text>
        <t xml:space="preserve">time taken for: InaccuracyFire and InaccuracyLand to clear when standing and time taken to shift from InaccuracyStand to InaccuracyStandAlt after zooming or switching to burst-fire mode.</t>
      </text>
    </comment>
    <comment authorId="0" ref="A38">
      <text>
        <t xml:space="preserve">M249</t>
      </text>
    </comment>
    <comment authorId="0" ref="A39">
      <text>
        <t xml:space="preserve">Negev</t>
      </text>
    </comment>
    <comment authorId="0" ref="C41">
      <text>
        <t xml:space="preserve">additional inaccuracy after firing</t>
      </text>
    </comment>
    <comment authorId="0" ref="D41">
      <text>
        <t xml:space="preserve">time taken for: InaccuracyFire and InaccuracyLand to clear when standing and time taken to shift from InaccuracyStand to InaccuracyStandAlt after zooming or switching to burst-fire mode.</t>
      </text>
    </comment>
    <comment authorId="0" ref="A42">
      <text>
        <t xml:space="preserve">AWP</t>
      </text>
    </comment>
    <comment authorId="0" ref="A43">
      <text>
        <t xml:space="preserve">G3SG1</t>
      </text>
    </comment>
    <comment authorId="0" ref="A44">
      <text>
        <t xml:space="preserve">SCAR-20</t>
      </text>
    </comment>
    <comment authorId="0" ref="A45">
      <text>
        <t xml:space="preserve">SSG 08</t>
      </text>
    </comment>
  </commentList>
</comments>
</file>

<file path=xl/comments9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1">
      <text>
        <t xml:space="preserve">additional inaccuracy after firing</t>
      </text>
    </comment>
    <comment authorId="0" ref="D1">
      <text>
        <t xml:space="preserve">time taken for: InaccuracyFire and InaccuracyLand to clear when standing and time taken to shift from InaccuracyStand to InaccuracyStandAlt after zooming or switching to burst-fire mode.</t>
      </text>
    </comment>
    <comment authorId="0" ref="A2">
      <text>
        <t xml:space="preserve">Desert Eagle</t>
      </text>
    </comment>
    <comment authorId="0" ref="A3">
      <text>
        <t xml:space="preserve">R8 Revolver</t>
      </text>
    </comment>
    <comment authorId="0" ref="A4">
      <text>
        <t xml:space="preserve">Dual Berettas</t>
      </text>
    </comment>
    <comment authorId="0" ref="A5">
      <text>
        <t xml:space="preserve">Five-SeveN</t>
      </text>
    </comment>
    <comment authorId="0" ref="A6">
      <text>
        <t xml:space="preserve">Glock 18</t>
      </text>
    </comment>
    <comment authorId="0" ref="A7">
      <text>
        <t xml:space="preserve">P2000</t>
      </text>
    </comment>
    <comment authorId="0" ref="A8">
      <text>
        <t xml:space="preserve">(silencer equipped)</t>
      </text>
    </comment>
    <comment authorId="0" ref="A9">
      <text>
        <t xml:space="preserve">P250</t>
      </text>
    </comment>
    <comment authorId="0" ref="A10">
      <text>
        <t xml:space="preserve">CZ75 Auto</t>
      </text>
    </comment>
    <comment authorId="0" ref="A11">
      <text>
        <t xml:space="preserve">Tec-9</t>
      </text>
    </comment>
    <comment authorId="0" ref="C13">
      <text>
        <t xml:space="preserve">additional inaccuracy after firing</t>
      </text>
    </comment>
    <comment authorId="0" ref="D13">
      <text>
        <t xml:space="preserve">time taken for: InaccuracyFire and InaccuracyLand to clear when standing and time taken to shift from InaccuracyStand to InaccuracyStandAlt after zooming or switching to burst-fire mode.</t>
      </text>
    </comment>
    <comment authorId="0" ref="A14">
      <text>
        <t xml:space="preserve">MAG-7</t>
      </text>
    </comment>
    <comment authorId="0" ref="A15">
      <text>
        <t xml:space="preserve">Nova</t>
      </text>
    </comment>
    <comment authorId="0" ref="A16">
      <text>
        <t xml:space="preserve">Sawed-Off</t>
      </text>
    </comment>
    <comment authorId="0" ref="A17">
      <text>
        <t xml:space="preserve">XM1014</t>
      </text>
    </comment>
    <comment authorId="0" ref="C19">
      <text>
        <t xml:space="preserve">additional inaccuracy after firing</t>
      </text>
    </comment>
    <comment authorId="0" ref="D19">
      <text>
        <t xml:space="preserve">time taken for: InaccuracyFire and InaccuracyLand to clear when standing and time taken to shift from InaccuracyStand to InaccuracyStandAlt after zooming or switching to burst-fire mode.</t>
      </text>
    </comment>
    <comment authorId="0" ref="A20">
      <text>
        <t xml:space="preserve">PP-Bizon</t>
      </text>
    </comment>
    <comment authorId="0" ref="A21">
      <text>
        <t xml:space="preserve">MAC-10</t>
      </text>
    </comment>
    <comment authorId="0" ref="A22">
      <text>
        <t xml:space="preserve">MP7</t>
      </text>
    </comment>
    <comment authorId="0" ref="A23">
      <text>
        <t xml:space="preserve">MP5-SD</t>
      </text>
    </comment>
    <comment authorId="0" ref="A24">
      <text>
        <t xml:space="preserve">MP9</t>
      </text>
    </comment>
    <comment authorId="0" ref="A25">
      <text>
        <t xml:space="preserve">P90</t>
      </text>
    </comment>
    <comment authorId="0" ref="A26">
      <text>
        <t xml:space="preserve">UMP-45</t>
      </text>
    </comment>
    <comment authorId="0" ref="C28">
      <text>
        <t xml:space="preserve">additional inaccuracy after firing</t>
      </text>
    </comment>
    <comment authorId="0" ref="D28">
      <text>
        <t xml:space="preserve">time taken for: InaccuracyFire and InaccuracyLand to clear when standing and time taken to shift from InaccuracyStand to InaccuracyStandAlt after zooming or switching to burst-fire mode.</t>
      </text>
    </comment>
    <comment authorId="0" ref="A29">
      <text>
        <t xml:space="preserve">AK-47</t>
      </text>
    </comment>
    <comment authorId="0" ref="A30">
      <text>
        <t xml:space="preserve">AUG</t>
      </text>
    </comment>
    <comment authorId="0" ref="A31">
      <text>
        <t xml:space="preserve">FAMAS</t>
      </text>
    </comment>
    <comment authorId="0" ref="A32">
      <text>
        <t xml:space="preserve">Galil AR</t>
      </text>
    </comment>
    <comment authorId="0" ref="A33">
      <text>
        <t xml:space="preserve">M4A4</t>
      </text>
    </comment>
    <comment authorId="0" ref="A34">
      <text>
        <t xml:space="preserve">M4A1-S</t>
      </text>
    </comment>
    <comment authorId="0" ref="C34">
      <text>
        <t xml:space="preserve">InaccuracyFireAlt: 7.00  is used for these calculations</t>
      </text>
    </comment>
    <comment authorId="0" ref="A35">
      <text>
        <t xml:space="preserve">SG 553</t>
      </text>
    </comment>
    <comment authorId="0" ref="C37">
      <text>
        <t xml:space="preserve">additional inaccuracy after firing</t>
      </text>
    </comment>
    <comment authorId="0" ref="D37">
      <text>
        <t xml:space="preserve">time taken for: InaccuracyFire and InaccuracyLand to clear when standing and time taken to shift from InaccuracyStand to InaccuracyStandAlt after zooming or switching to burst-fire mode.</t>
      </text>
    </comment>
    <comment authorId="0" ref="A38">
      <text>
        <t xml:space="preserve">M249</t>
      </text>
    </comment>
    <comment authorId="0" ref="A39">
      <text>
        <t xml:space="preserve">Negev</t>
      </text>
    </comment>
    <comment authorId="0" ref="C41">
      <text>
        <t xml:space="preserve">additional inaccuracy after firing</t>
      </text>
    </comment>
    <comment authorId="0" ref="D41">
      <text>
        <t xml:space="preserve">time taken for: InaccuracyFire and InaccuracyLand to clear when standing and time taken to shift from InaccuracyStand to InaccuracyStandAlt after zooming or switching to burst-fire mode.</t>
      </text>
    </comment>
    <comment authorId="0" ref="A42">
      <text>
        <t xml:space="preserve">AWP</t>
      </text>
    </comment>
    <comment authorId="0" ref="A43">
      <text>
        <t xml:space="preserve">G3SG1</t>
      </text>
    </comment>
    <comment authorId="0" ref="A44">
      <text>
        <t xml:space="preserve">SCAR-20</t>
      </text>
    </comment>
    <comment authorId="0" ref="A45">
      <text>
        <t xml:space="preserve">SSG 08</t>
      </text>
    </comment>
  </commentList>
</comments>
</file>

<file path=xl/sharedStrings.xml><?xml version="1.0" encoding="utf-8"?>
<sst xmlns="http://schemas.openxmlformats.org/spreadsheetml/2006/main" count="1844" uniqueCount="290">
  <si>
    <t>Types</t>
  </si>
  <si>
    <t>Pistols</t>
  </si>
  <si>
    <t>Type</t>
  </si>
  <si>
    <t>Crouching
Inaccuracy</t>
  </si>
  <si>
    <t>Price</t>
  </si>
  <si>
    <t>Standing
Inaccuracy</t>
  </si>
  <si>
    <t>Running
Inaccuracy</t>
  </si>
  <si>
    <t>Crouching /
Standing
Inaccuracy</t>
  </si>
  <si>
    <t>WeaporArmorRatio</t>
  </si>
  <si>
    <t>Max Crouching
Firing Inaccuracy</t>
  </si>
  <si>
    <t>Max Standing 
Firing Inaccuracy</t>
  </si>
  <si>
    <t>Max Running
Firing Inaccuracy</t>
  </si>
  <si>
    <t>Max Crouching /
Max Standing
Firing Inaccuracy</t>
  </si>
  <si>
    <t>2nd bullet
recovery time
stand</t>
  </si>
  <si>
    <t>Kill Award</t>
  </si>
  <si>
    <t>Damage</t>
  </si>
  <si>
    <t>Armor
Penetration</t>
  </si>
  <si>
    <t>Fire Rate
(RPM)</t>
  </si>
  <si>
    <t>RangeModifier</t>
  </si>
  <si>
    <t>CycleTime</t>
  </si>
  <si>
    <t>Penetration
Power</t>
  </si>
  <si>
    <t>Magazine
Size</t>
  </si>
  <si>
    <t>Ammo in
Reserve</t>
  </si>
  <si>
    <t>Mobility</t>
  </si>
  <si>
    <t>Tagging Power</t>
  </si>
  <si>
    <t>Bullet
Range</t>
  </si>
  <si>
    <t>Hold to
Shoot</t>
  </si>
  <si>
    <t>3rd bullet
recovery time 
stand</t>
  </si>
  <si>
    <t>Recoil
Amount</t>
  </si>
  <si>
    <t>Penetration</t>
  </si>
  <si>
    <t>KillAward</t>
  </si>
  <si>
    <t>MaxPlayerSpeed</t>
  </si>
  <si>
    <t>clip_size</t>
  </si>
  <si>
    <t>4th bullet
recovery time 
stand</t>
  </si>
  <si>
    <t>WeaponPrice</t>
  </si>
  <si>
    <t>5th bullet
recovery time 
stand</t>
  </si>
  <si>
    <t>Range</t>
  </si>
  <si>
    <t>6th bullet
recovery time 
stand</t>
  </si>
  <si>
    <t>7th bullet
recovery time 
stand</t>
  </si>
  <si>
    <t>WeaponType</t>
  </si>
  <si>
    <t>FullAuto</t>
  </si>
  <si>
    <t>Bullets</t>
  </si>
  <si>
    <t>TracerFrequency</t>
  </si>
  <si>
    <t>Recoil Angle
Variance</t>
  </si>
  <si>
    <t>FlinchVelocityModifierLarge</t>
  </si>
  <si>
    <t>onehot</t>
  </si>
  <si>
    <t>8th bullet
recovery time 
stand</t>
  </si>
  <si>
    <t>9th bullet
recovery time 
stand</t>
  </si>
  <si>
    <t>10th bullet
recovery time 
stand</t>
  </si>
  <si>
    <t>FlinchVelocityModifierSmall</t>
  </si>
  <si>
    <t>Max Num</t>
  </si>
  <si>
    <t>2nd bullet
recovery time 
crouch</t>
  </si>
  <si>
    <t>3rd bullet
recovery time
crouch</t>
  </si>
  <si>
    <t>4th bullet
recovery time 
crouch</t>
  </si>
  <si>
    <t>5th bullet
recovery time 
crouch</t>
  </si>
  <si>
    <t>6th bullet
recovery time 
crouch</t>
  </si>
  <si>
    <t>7th bullet
recovery time 
crouch</t>
  </si>
  <si>
    <t>Spread</t>
  </si>
  <si>
    <t>8th bullet
recovery time 
crouch</t>
  </si>
  <si>
    <t>9th bullet
recovery time 
crouch</t>
  </si>
  <si>
    <t>InaccuracyCrouch</t>
  </si>
  <si>
    <t>10th bullet
recovery time 
crouch</t>
  </si>
  <si>
    <t>InaccuracyStand</t>
  </si>
  <si>
    <t>InaccuracyFire</t>
  </si>
  <si>
    <t>InaccuracyMove</t>
  </si>
  <si>
    <t>InaccuracyJump</t>
  </si>
  <si>
    <t>inaccuracy jump intial</t>
  </si>
  <si>
    <t>Desert Eagle</t>
  </si>
  <si>
    <t>InaccuracyLand</t>
  </si>
  <si>
    <t>InaccuracyLadder</t>
  </si>
  <si>
    <t>RecoveryTimeCrouch</t>
  </si>
  <si>
    <t>RecoveryTimeCrouchFinal</t>
  </si>
  <si>
    <t>RecoveryTimeStand</t>
  </si>
  <si>
    <t>RecoveryTimeStandFinal</t>
  </si>
  <si>
    <t>RecoilAngleVariance</t>
  </si>
  <si>
    <t>RecoilMagnitude</t>
  </si>
  <si>
    <t>RecoilMagnitudeVariance</t>
  </si>
  <si>
    <t>Crouching
Inaccuracy
Degrees</t>
  </si>
  <si>
    <t>SpreadAlt</t>
  </si>
  <si>
    <t>InaccuracyCrouchAlt</t>
  </si>
  <si>
    <t>Standing
Inaccuracy
Degrees</t>
  </si>
  <si>
    <t>InaccuracyStandAlt</t>
  </si>
  <si>
    <t>InaccuracyFireAlt</t>
  </si>
  <si>
    <t>Running
Inaccuracy
Degrees</t>
  </si>
  <si>
    <t>InaccuracyMoveAlt</t>
  </si>
  <si>
    <t>Crouching
Inaccuracy
Area</t>
  </si>
  <si>
    <t>InaccuracyJumpAlt</t>
  </si>
  <si>
    <t>Standing
Inaccuracy
Area</t>
  </si>
  <si>
    <t>InaccuracyLandAlt</t>
  </si>
  <si>
    <t>Running
Inaccuracy
Area</t>
  </si>
  <si>
    <t>Crouching /
Standing
Inaccuracy Area</t>
  </si>
  <si>
    <t>InaccuracyLadderAlt</t>
  </si>
  <si>
    <t>RecoilAngleVarianceAlt</t>
  </si>
  <si>
    <t>RecoilMagnitudeAlt</t>
  </si>
  <si>
    <t>RecoilMagnitudeVarianceAlt</t>
  </si>
  <si>
    <t>MaxPlayerSpeedAlt</t>
  </si>
  <si>
    <t>TracerFrequencyAlt</t>
  </si>
  <si>
    <t>Damage to
Armor</t>
  </si>
  <si>
    <t>ZoomFov1</t>
  </si>
  <si>
    <t>ZoomFov2</t>
  </si>
  <si>
    <t>Damage
(Chest &amp; Arms)</t>
  </si>
  <si>
    <t>CycleTimeAlt</t>
  </si>
  <si>
    <t>cycletime_when_in_burst_mode</t>
  </si>
  <si>
    <t>time_between_burst_shots</t>
  </si>
  <si>
    <t>deagle</t>
  </si>
  <si>
    <t>Damage 
(Head)</t>
  </si>
  <si>
    <t>Damage
(Stomach)</t>
  </si>
  <si>
    <t>Damage
(Legs)</t>
  </si>
  <si>
    <t>Damage
(Vest: Chest &amp;
Arms)</t>
  </si>
  <si>
    <t>Damage
(Helmet)</t>
  </si>
  <si>
    <t>Damage
(Vest: Stomach)</t>
  </si>
  <si>
    <t>DPS</t>
  </si>
  <si>
    <t>DPS(Armor)</t>
  </si>
  <si>
    <t>Pistol</t>
  </si>
  <si>
    <t>Damage Per Clip</t>
  </si>
  <si>
    <t>Damage Per Clip(Armor)</t>
  </si>
  <si>
    <t>No</t>
  </si>
  <si>
    <t>R8 Revolver</t>
  </si>
  <si>
    <t>revolver</t>
  </si>
  <si>
    <t>Yes</t>
  </si>
  <si>
    <t>elite</t>
  </si>
  <si>
    <t>Dual Berettas</t>
  </si>
  <si>
    <t>fiveseven</t>
  </si>
  <si>
    <t>Five-SeveN</t>
  </si>
  <si>
    <t>glock</t>
  </si>
  <si>
    <t>hkp2000</t>
  </si>
  <si>
    <t>Glock-18</t>
  </si>
  <si>
    <t>usp_silencer</t>
  </si>
  <si>
    <t>P2000</t>
  </si>
  <si>
    <t>p250</t>
  </si>
  <si>
    <t>USP-S</t>
  </si>
  <si>
    <t>cz75a</t>
  </si>
  <si>
    <t>tec9</t>
  </si>
  <si>
    <t>P250</t>
  </si>
  <si>
    <t>CZ75 Auto</t>
  </si>
  <si>
    <t>Shotguns</t>
  </si>
  <si>
    <t>Tec-9</t>
  </si>
  <si>
    <t>mag7</t>
  </si>
  <si>
    <t>Shotgun</t>
  </si>
  <si>
    <t>Mag-7</t>
  </si>
  <si>
    <t>nova</t>
  </si>
  <si>
    <t>Nova</t>
  </si>
  <si>
    <t>sawedoff</t>
  </si>
  <si>
    <t>xm1014</t>
  </si>
  <si>
    <t>Sawed-Off</t>
  </si>
  <si>
    <t>SMGs</t>
  </si>
  <si>
    <t>XM1014</t>
  </si>
  <si>
    <t>bizon</t>
  </si>
  <si>
    <t>SubMachinegun</t>
  </si>
  <si>
    <t>PP-Bizon</t>
  </si>
  <si>
    <t>mac10</t>
  </si>
  <si>
    <t>MAC-10</t>
  </si>
  <si>
    <t>mp7</t>
  </si>
  <si>
    <t>MP7</t>
  </si>
  <si>
    <t>mp5sd</t>
  </si>
  <si>
    <t>MP5-SD</t>
  </si>
  <si>
    <t>mp9</t>
  </si>
  <si>
    <t>MP9</t>
  </si>
  <si>
    <t>p90</t>
  </si>
  <si>
    <t>P90</t>
  </si>
  <si>
    <t>ump45</t>
  </si>
  <si>
    <t>Automatic Rifles</t>
  </si>
  <si>
    <t>UMP-45</t>
  </si>
  <si>
    <t>AK-47</t>
  </si>
  <si>
    <t>ak47</t>
  </si>
  <si>
    <t>Rifle</t>
  </si>
  <si>
    <t>aug</t>
  </si>
  <si>
    <t>AUG</t>
  </si>
  <si>
    <t>famas</t>
  </si>
  <si>
    <t>FAMAS</t>
  </si>
  <si>
    <t>galilar</t>
  </si>
  <si>
    <t>m4a1</t>
  </si>
  <si>
    <t>Galil AR</t>
  </si>
  <si>
    <t>m4a1_silencer</t>
  </si>
  <si>
    <t>M4A4</t>
  </si>
  <si>
    <t>sg556</t>
  </si>
  <si>
    <t>M4A1-S</t>
  </si>
  <si>
    <t>LMGs</t>
  </si>
  <si>
    <t>SG 553</t>
  </si>
  <si>
    <t>m249</t>
  </si>
  <si>
    <t>Machinegun</t>
  </si>
  <si>
    <t>negev</t>
  </si>
  <si>
    <t>M249</t>
  </si>
  <si>
    <t>Negev</t>
  </si>
  <si>
    <t>Sniper Rifles</t>
  </si>
  <si>
    <t>AWP</t>
  </si>
  <si>
    <t>awp</t>
  </si>
  <si>
    <t>SniperRifle</t>
  </si>
  <si>
    <t>g3sg1</t>
  </si>
  <si>
    <t>G3SG1</t>
  </si>
  <si>
    <t>scar20</t>
  </si>
  <si>
    <t>SCAR-20</t>
  </si>
  <si>
    <t>ssg08</t>
  </si>
  <si>
    <t>SSG 08</t>
  </si>
  <si>
    <t>High Explosive Grenade</t>
  </si>
  <si>
    <t>Decoy Grenade</t>
  </si>
  <si>
    <t>Molotov</t>
  </si>
  <si>
    <t>Incendiary Grenade</t>
  </si>
  <si>
    <t>Flashbang</t>
  </si>
  <si>
    <t>Smoke Grenade</t>
  </si>
  <si>
    <t>Vest</t>
  </si>
  <si>
    <t>NA</t>
  </si>
  <si>
    <t>Vesthelm</t>
  </si>
  <si>
    <t>Zeus x27</t>
  </si>
  <si>
    <t>Inaccuracy
Fire</t>
  </si>
  <si>
    <t>Recovery
TimeStand</t>
  </si>
  <si>
    <t>RecoveryTime
StandFinal</t>
  </si>
  <si>
    <t>Defuse Kit</t>
  </si>
  <si>
    <t>End</t>
  </si>
  <si>
    <t>N/A</t>
  </si>
  <si>
    <t>11th bullet
recovery time 
stand</t>
  </si>
  <si>
    <t>12th bullet
recovery time 
stand</t>
  </si>
  <si>
    <t>13th bullet
recovery time 
stand</t>
  </si>
  <si>
    <t>14th bullet
recovery time 
stand</t>
  </si>
  <si>
    <t>15th bullet
recovery time 
stand</t>
  </si>
  <si>
    <t>11th bullet
recovery time 
crouch</t>
  </si>
  <si>
    <t>12th bullet
recovery time 
crouch</t>
  </si>
  <si>
    <t>13th bullet
recovery time 
crouch</t>
  </si>
  <si>
    <t>14th bullet
recovery time 
crouch</t>
  </si>
  <si>
    <t>15th bullet
recovery time 
crouch</t>
  </si>
  <si>
    <t>Recovery
TimeCrouch</t>
  </si>
  <si>
    <t>RecoveryTime
CrouchFinal</t>
  </si>
  <si>
    <t>Tap Interval</t>
  </si>
  <si>
    <t>Damage @
100U/2.54m</t>
  </si>
  <si>
    <t>Damage @
200U/5.08m</t>
  </si>
  <si>
    <t>Damage @
300U/7.62m</t>
  </si>
  <si>
    <t>Damage @
400U/10.16m</t>
  </si>
  <si>
    <t>Damage @
500U/12.7m</t>
  </si>
  <si>
    <t>Damage @
600U/15.24m</t>
  </si>
  <si>
    <t>Damage @
700U/17.78m</t>
  </si>
  <si>
    <t>Damage @
800U/20.32m</t>
  </si>
  <si>
    <t>Damage @
900U/22.86m</t>
  </si>
  <si>
    <t>Damage @
1000U/25.4m</t>
  </si>
  <si>
    <t>Damage @
1100U/27.94m</t>
  </si>
  <si>
    <t>Damage @
1200U/30.48m</t>
  </si>
  <si>
    <t>Damage @
1300U/33.02m</t>
  </si>
  <si>
    <t>Damage @
1400U/35.56m</t>
  </si>
  <si>
    <t>Damage @
1500U/38.1m</t>
  </si>
  <si>
    <t>Damage @
2000U/50.8m</t>
  </si>
  <si>
    <t>Damage @
2500U/63.5m</t>
  </si>
  <si>
    <t>Damage @
3000U/76.2m</t>
  </si>
  <si>
    <t>One Hit Kill
Range</t>
  </si>
  <si>
    <t>DPS @100U</t>
  </si>
  <si>
    <t>DPS @300U</t>
  </si>
  <si>
    <t>DPS @600U</t>
  </si>
  <si>
    <t>DPS @1200U</t>
  </si>
  <si>
    <t>Armor Ratio</t>
  </si>
  <si>
    <t>Two Hit Kill
Range</t>
  </si>
  <si>
    <t>Req. Chest Hits
@100U/2.54m</t>
  </si>
  <si>
    <t>Req. Chest Hits
@200U/5.08m</t>
  </si>
  <si>
    <t>Req. Chest Hits
@300U/7.62m</t>
  </si>
  <si>
    <t>Req. Chest Hits
@400U/10.16m</t>
  </si>
  <si>
    <t>Req. Chest Hits
@500U/12.7m</t>
  </si>
  <si>
    <t>Req. Chest Hits
@600U/15.24m</t>
  </si>
  <si>
    <t>Req. Chest Hits
@700U/17.78m</t>
  </si>
  <si>
    <t>Req. Chest Hits
@800U/20.32m</t>
  </si>
  <si>
    <t>Req. Chest Hits
@900U/22.86m</t>
  </si>
  <si>
    <t>Req. Chest Hits
@1000U/25.4m</t>
  </si>
  <si>
    <t>Req. Chest Hits
@100U/27.94m</t>
  </si>
  <si>
    <t>Req. Chest Hits
@1200U/30.48m</t>
  </si>
  <si>
    <t>Req. Chest Hits
@1300U/33.02m</t>
  </si>
  <si>
    <t>Req. Chest Hits
@1400U/35.56m</t>
  </si>
  <si>
    <t>Req. Chest Hits
@1500U/38.1m</t>
  </si>
  <si>
    <t>Req. Chest Hits
@2000U/50.8m</t>
  </si>
  <si>
    <t>Req. Chest Hits
@2500U/63.5m</t>
  </si>
  <si>
    <t>Req. Chest Hits
@3000U/76.2m</t>
  </si>
  <si>
    <t>Time-to-Kill 
@100U</t>
  </si>
  <si>
    <t>Time-to-Kill 
@300U</t>
  </si>
  <si>
    <t>Time-to-Kill 
@600U</t>
  </si>
  <si>
    <t>Time-to-Kill 
@1200U</t>
  </si>
  <si>
    <t>Instant</t>
  </si>
  <si>
    <t>Deploy Time</t>
  </si>
  <si>
    <t>Reload
(Clip Ready)</t>
  </si>
  <si>
    <t>Reload
(Fire Ready)</t>
  </si>
  <si>
    <t>1.53 &amp; 1.17</t>
  </si>
  <si>
    <t>2.73 &amp; 2.83</t>
  </si>
  <si>
    <t>1.1 &amp; 1.0</t>
  </si>
  <si>
    <t>Date:</t>
  </si>
  <si>
    <t>2019.11.18</t>
  </si>
  <si>
    <t>Author:</t>
  </si>
  <si>
    <t>BlackRetina</t>
  </si>
  <si>
    <t>BlackRetina@gmail.com</t>
  </si>
  <si>
    <t>Co-Author:</t>
  </si>
  <si>
    <t>SlothSquadron</t>
  </si>
  <si>
    <t>CrewNicholas@gmail.com</t>
  </si>
  <si>
    <t>License:</t>
  </si>
  <si>
    <t>Public Domain</t>
  </si>
  <si>
    <t>Thanks:</t>
  </si>
  <si>
    <t>3kliksphilip</t>
  </si>
  <si>
    <t>Shotgun Reload Times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</si>
</sst>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#,##0.000"/>
    <numFmt numFmtId="165" formatCode="0.000000"/>
    <numFmt numFmtId="166" formatCode="0.000"/>
    <numFmt numFmtId="167" formatCode="0.0"/>
    <numFmt numFmtId="168" formatCode="$#,##0"/>
    <numFmt numFmtId="169" formatCode="#,###.00"/>
  </numFmts>
  <fonts count="16">
    <font>
      <sz val="10.0"/>
      <color rgb="FF000000"/>
      <name val="Arial"/>
    </font>
    <font>
      <sz val="10.0"/>
      <color rgb="FF000000"/>
    </font>
    <font>
      <sz val="8.0"/>
      <color rgb="FF000000"/>
      <name val="Arial"/>
    </font>
    <font>
      <sz val="10.0"/>
      <color rgb="FF000000"/>
      <name val="Calibri"/>
    </font>
    <font>
      <sz val="8.0"/>
      <color rgb="FF000000"/>
      <name val="Calibri"/>
    </font>
    <font>
      <b/>
      <sz val="10.0"/>
      <color rgb="FF000000"/>
    </font>
    <font>
      <b/>
      <sz val="10.0"/>
      <color rgb="FF000000"/>
      <name val="Calibri"/>
    </font>
    <font>
      <color theme="1"/>
      <name val="Arial"/>
    </font>
    <font>
      <color rgb="FF000000"/>
      <name val="Arial"/>
    </font>
    <font>
      <sz val="8.0"/>
      <color theme="1"/>
      <name val="Arial"/>
    </font>
    <font>
      <b/>
      <sz val="10.0"/>
      <color rgb="FF000000"/>
      <name val="Arial"/>
    </font>
    <font>
      <color theme="1"/>
      <name val="Calibri"/>
    </font>
    <font>
      <color rgb="FF242424"/>
      <name val="Arial"/>
    </font>
    <font/>
    <font>
      <sz val="11.0"/>
      <color rgb="FF000000"/>
      <name val="Inconsolata"/>
    </font>
    <font>
      <color rgb="FFFF0000"/>
      <name val="Arial"/>
    </font>
  </fonts>
  <fills count="9">
    <fill>
      <patternFill patternType="none"/>
    </fill>
    <fill>
      <patternFill patternType="lightGray"/>
    </fill>
    <fill>
      <patternFill patternType="solid">
        <fgColor rgb="FFB3B3B3"/>
        <bgColor rgb="FFB3B3B3"/>
      </patternFill>
    </fill>
    <fill>
      <patternFill patternType="solid">
        <fgColor rgb="FFAECF00"/>
        <bgColor rgb="FFAECF00"/>
      </patternFill>
    </fill>
    <fill>
      <patternFill patternType="solid">
        <fgColor rgb="FFFFFFFF"/>
        <bgColor rgb="FFFFFFFF"/>
      </patternFill>
    </fill>
    <fill>
      <patternFill patternType="solid">
        <fgColor rgb="FF00B8FF"/>
        <bgColor rgb="FF00B8FF"/>
      </patternFill>
    </fill>
    <fill>
      <patternFill patternType="solid">
        <fgColor rgb="FFFF950E"/>
        <bgColor rgb="FFFF950E"/>
      </patternFill>
    </fill>
    <fill>
      <patternFill patternType="solid">
        <fgColor rgb="FFEEEEEE"/>
        <bgColor rgb="FFEEEEEE"/>
      </patternFill>
    </fill>
    <fill>
      <patternFill patternType="solid">
        <fgColor rgb="FFF5F5F5"/>
        <bgColor rgb="FFF5F5F5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ck">
        <color rgb="FF000000"/>
      </left>
      <right style="thick">
        <color rgb="FF000000"/>
      </right>
    </border>
    <border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bottom style="thick">
        <color rgb="FF000000"/>
      </bottom>
    </border>
    <border>
      <right style="thin">
        <color rgb="FF000000"/>
      </right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top style="thin">
        <color rgb="FF000000"/>
      </top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189">
    <xf borderId="0" fillId="0" fontId="0" numFmtId="0" xfId="0" applyAlignment="1" applyFont="1">
      <alignment readingOrder="0" shrinkToFit="0" vertical="bottom" wrapText="1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0" numFmtId="0" xfId="0" applyAlignment="1" applyBorder="1" applyFont="1">
      <alignment horizontal="left" shrinkToFit="0" vertical="center" wrapText="0"/>
    </xf>
    <xf borderId="1" fillId="0" fontId="1" numFmtId="0" xfId="0" applyAlignment="1" applyBorder="1" applyFont="1">
      <alignment horizontal="right" readingOrder="0" shrinkToFit="0" vertical="center" wrapText="0"/>
    </xf>
    <xf borderId="2" fillId="2" fontId="2" numFmtId="4" xfId="0" applyAlignment="1" applyBorder="1" applyFill="1" applyFont="1" applyNumberFormat="1">
      <alignment horizontal="left" shrinkToFit="0" vertical="center" wrapText="0"/>
    </xf>
    <xf borderId="2" fillId="0" fontId="3" numFmtId="0" xfId="0" applyAlignment="1" applyBorder="1" applyFont="1">
      <alignment horizontal="left" shrinkToFit="0" vertical="center" wrapText="0"/>
    </xf>
    <xf borderId="2" fillId="2" fontId="2" numFmtId="0" xfId="0" applyAlignment="1" applyBorder="1" applyFont="1">
      <alignment horizontal="left" shrinkToFit="0" vertical="center" wrapText="0"/>
    </xf>
    <xf borderId="2" fillId="2" fontId="4" numFmtId="0" xfId="0" applyAlignment="1" applyBorder="1" applyFont="1">
      <alignment horizontal="left" shrinkToFit="0" vertical="center" wrapText="0"/>
    </xf>
    <xf borderId="2" fillId="2" fontId="4" numFmtId="164" xfId="0" applyAlignment="1" applyBorder="1" applyFont="1" applyNumberFormat="1">
      <alignment horizontal="left" shrinkToFit="0" vertical="center" wrapText="0"/>
    </xf>
    <xf borderId="2" fillId="2" fontId="4" numFmtId="4" xfId="0" applyAlignment="1" applyBorder="1" applyFont="1" applyNumberFormat="1">
      <alignment horizontal="left" shrinkToFit="0" vertical="center" wrapText="0"/>
    </xf>
    <xf borderId="2" fillId="2" fontId="2" numFmtId="165" xfId="0" applyAlignment="1" applyBorder="1" applyFont="1" applyNumberFormat="1">
      <alignment horizontal="left" shrinkToFit="0" wrapText="0"/>
    </xf>
    <xf borderId="2" fillId="2" fontId="4" numFmtId="166" xfId="0" applyAlignment="1" applyBorder="1" applyFont="1" applyNumberFormat="1">
      <alignment horizontal="left" shrinkToFit="0" vertical="center" wrapText="0"/>
    </xf>
    <xf borderId="2" fillId="2" fontId="2" numFmtId="165" xfId="0" applyAlignment="1" applyBorder="1" applyFont="1" applyNumberFormat="1">
      <alignment horizontal="left" shrinkToFit="0" vertical="center" wrapText="0"/>
    </xf>
    <xf borderId="2" fillId="2" fontId="4" numFmtId="167" xfId="0" applyAlignment="1" applyBorder="1" applyFont="1" applyNumberFormat="1">
      <alignment horizontal="left" shrinkToFit="0" vertical="center" wrapText="0"/>
    </xf>
    <xf borderId="3" fillId="2" fontId="2" numFmtId="165" xfId="0" applyAlignment="1" applyBorder="1" applyFont="1" applyNumberFormat="1">
      <alignment horizontal="left" shrinkToFit="0" wrapText="0"/>
    </xf>
    <xf borderId="2" fillId="0" fontId="3" numFmtId="0" xfId="0" applyAlignment="1" applyBorder="1" applyFont="1">
      <alignment horizontal="left" readingOrder="0" shrinkToFit="0" vertical="center" wrapText="0"/>
    </xf>
    <xf borderId="2" fillId="2" fontId="2" numFmtId="4" xfId="0" applyAlignment="1" applyBorder="1" applyFont="1" applyNumberFormat="1">
      <alignment shrinkToFit="0" vertical="center" wrapText="0"/>
    </xf>
    <xf borderId="0" fillId="0" fontId="0" numFmtId="165" xfId="0" applyAlignment="1" applyFont="1" applyNumberFormat="1">
      <alignment shrinkToFit="0" vertical="bottom" wrapText="0"/>
    </xf>
    <xf borderId="3" fillId="2" fontId="2" numFmtId="4" xfId="0" applyAlignment="1" applyBorder="1" applyFont="1" applyNumberFormat="1">
      <alignment shrinkToFit="0" vertical="center" wrapText="0"/>
    </xf>
    <xf borderId="2" fillId="0" fontId="3" numFmtId="0" xfId="0" applyAlignment="1" applyBorder="1" applyFont="1">
      <alignment horizontal="right" readingOrder="0" shrinkToFit="0" vertical="center" wrapText="0"/>
    </xf>
    <xf borderId="4" fillId="3" fontId="5" numFmtId="0" xfId="0" applyAlignment="1" applyBorder="1" applyFill="1" applyFont="1">
      <alignment horizontal="left" shrinkToFit="0" vertical="bottom" wrapText="0"/>
    </xf>
    <xf borderId="2" fillId="2" fontId="4" numFmtId="165" xfId="0" applyAlignment="1" applyBorder="1" applyFont="1" applyNumberFormat="1">
      <alignment horizontal="left" shrinkToFit="0" vertical="center" wrapText="0"/>
    </xf>
    <xf borderId="5" fillId="0" fontId="2" numFmtId="0" xfId="0" applyAlignment="1" applyBorder="1" applyFont="1">
      <alignment shrinkToFit="0" vertical="center" wrapText="0"/>
    </xf>
    <xf borderId="0" fillId="0" fontId="5" numFmtId="0" xfId="0" applyAlignment="1" applyFont="1">
      <alignment horizontal="right" readingOrder="0" shrinkToFit="0" vertical="bottom" wrapText="0"/>
    </xf>
    <xf borderId="2" fillId="2" fontId="4" numFmtId="1" xfId="0" applyAlignment="1" applyBorder="1" applyFont="1" applyNumberFormat="1">
      <alignment horizontal="left" shrinkToFit="0" vertical="center" wrapText="0"/>
    </xf>
    <xf borderId="5" fillId="0" fontId="0" numFmtId="0" xfId="0" applyAlignment="1" applyBorder="1" applyFont="1">
      <alignment shrinkToFit="0" vertical="center" wrapText="0"/>
    </xf>
    <xf borderId="2" fillId="0" fontId="3" numFmtId="168" xfId="0" applyAlignment="1" applyBorder="1" applyFont="1" applyNumberFormat="1">
      <alignment horizontal="right" shrinkToFit="0" vertical="bottom" wrapText="0"/>
    </xf>
    <xf borderId="2" fillId="2" fontId="2" numFmtId="1" xfId="0" applyAlignment="1" applyBorder="1" applyFont="1" applyNumberFormat="1">
      <alignment horizontal="left" shrinkToFit="0" vertical="center" wrapText="0"/>
    </xf>
    <xf borderId="2" fillId="3" fontId="6" numFmtId="0" xfId="0" applyAlignment="1" applyBorder="1" applyFont="1">
      <alignment horizontal="left" shrinkToFit="0" vertical="bottom" wrapText="0"/>
    </xf>
    <xf borderId="2" fillId="0" fontId="3" numFmtId="0" xfId="0" applyAlignment="1" applyBorder="1" applyFont="1">
      <alignment horizontal="right" shrinkToFit="0" vertical="bottom" wrapText="0"/>
    </xf>
    <xf borderId="2" fillId="0" fontId="3" numFmtId="164" xfId="0" applyAlignment="1" applyBorder="1" applyFont="1" applyNumberFormat="1">
      <alignment horizontal="right" shrinkToFit="0" vertical="bottom" wrapText="0"/>
    </xf>
    <xf borderId="2" fillId="0" fontId="3" numFmtId="10" xfId="0" applyAlignment="1" applyBorder="1" applyFont="1" applyNumberFormat="1">
      <alignment horizontal="right" shrinkToFit="0" vertical="bottom" wrapText="0"/>
    </xf>
    <xf borderId="2" fillId="0" fontId="3" numFmtId="166" xfId="0" applyAlignment="1" applyBorder="1" applyFont="1" applyNumberFormat="1">
      <alignment horizontal="right" shrinkToFit="0" vertical="bottom" wrapText="0"/>
    </xf>
    <xf borderId="5" fillId="0" fontId="7" numFmtId="0" xfId="0" applyAlignment="1" applyBorder="1" applyFont="1">
      <alignment shrinkToFit="0" wrapText="1"/>
    </xf>
    <xf borderId="2" fillId="0" fontId="3" numFmtId="4" xfId="0" applyAlignment="1" applyBorder="1" applyFont="1" applyNumberFormat="1">
      <alignment horizontal="right" shrinkToFit="0" vertical="bottom" wrapText="0"/>
    </xf>
    <xf borderId="6" fillId="0" fontId="8" numFmtId="4" xfId="0" applyAlignment="1" applyBorder="1" applyFont="1" applyNumberFormat="1">
      <alignment horizontal="right" shrinkToFit="0" vertical="bottom" wrapText="0"/>
    </xf>
    <xf borderId="2" fillId="0" fontId="3" numFmtId="9" xfId="0" applyAlignment="1" applyBorder="1" applyFont="1" applyNumberFormat="1">
      <alignment horizontal="right" shrinkToFit="0" vertical="bottom" wrapText="0"/>
    </xf>
    <xf borderId="7" fillId="0" fontId="8" numFmtId="4" xfId="0" applyAlignment="1" applyBorder="1" applyFont="1" applyNumberFormat="1">
      <alignment horizontal="right" shrinkToFit="0" vertical="bottom" wrapText="0"/>
    </xf>
    <xf borderId="2" fillId="2" fontId="9" numFmtId="0" xfId="0" applyAlignment="1" applyBorder="1" applyFont="1">
      <alignment shrinkToFit="0" vertical="center" wrapText="1"/>
    </xf>
    <xf borderId="2" fillId="0" fontId="8" numFmtId="4" xfId="0" applyAlignment="1" applyBorder="1" applyFont="1" applyNumberFormat="1">
      <alignment horizontal="right" shrinkToFit="0" vertical="bottom" wrapText="0"/>
    </xf>
    <xf borderId="2" fillId="0" fontId="3" numFmtId="3" xfId="0" applyAlignment="1" applyBorder="1" applyFont="1" applyNumberFormat="1">
      <alignment horizontal="right" shrinkToFit="0" vertical="bottom" wrapText="0"/>
    </xf>
    <xf borderId="3" fillId="0" fontId="8" numFmtId="4" xfId="0" applyAlignment="1" applyBorder="1" applyFont="1" applyNumberFormat="1">
      <alignment horizontal="right" shrinkToFit="0" vertical="bottom" wrapText="0"/>
    </xf>
    <xf borderId="2" fillId="2" fontId="9" numFmtId="4" xfId="0" applyAlignment="1" applyBorder="1" applyFont="1" applyNumberFormat="1">
      <alignment shrinkToFit="0" vertical="center" wrapText="1"/>
    </xf>
    <xf borderId="2" fillId="0" fontId="3" numFmtId="165" xfId="0" applyAlignment="1" applyBorder="1" applyFont="1" applyNumberFormat="1">
      <alignment horizontal="right" shrinkToFit="0" vertical="bottom" wrapText="0"/>
    </xf>
    <xf borderId="2" fillId="3" fontId="10" numFmtId="0" xfId="0" applyAlignment="1" applyBorder="1" applyFont="1">
      <alignment horizontal="left" shrinkToFit="0" vertical="bottom" wrapText="0"/>
    </xf>
    <xf borderId="2" fillId="0" fontId="3" numFmtId="167" xfId="0" applyAlignment="1" applyBorder="1" applyFont="1" applyNumberFormat="1">
      <alignment horizontal="right" shrinkToFit="0" vertical="bottom" wrapText="0"/>
    </xf>
    <xf borderId="2" fillId="0" fontId="0" numFmtId="4" xfId="0" applyAlignment="1" applyBorder="1" applyFont="1" applyNumberFormat="1">
      <alignment horizontal="right" shrinkToFit="0" vertical="bottom" wrapText="0"/>
    </xf>
    <xf borderId="2" fillId="0" fontId="3" numFmtId="0" xfId="0" applyAlignment="1" applyBorder="1" applyFont="1">
      <alignment horizontal="right" readingOrder="0" shrinkToFit="0" vertical="bottom" wrapText="0"/>
    </xf>
    <xf borderId="6" fillId="0" fontId="7" numFmtId="166" xfId="0" applyAlignment="1" applyBorder="1" applyFont="1" applyNumberFormat="1">
      <alignment shrinkToFit="0" vertical="bottom" wrapText="1"/>
    </xf>
    <xf borderId="2" fillId="0" fontId="3" numFmtId="1" xfId="0" applyAlignment="1" applyBorder="1" applyFont="1" applyNumberFormat="1">
      <alignment horizontal="right" shrinkToFit="0" vertical="bottom" wrapText="0"/>
    </xf>
    <xf borderId="3" fillId="0" fontId="6" numFmtId="0" xfId="0" applyAlignment="1" applyBorder="1" applyFont="1">
      <alignment horizontal="right" readingOrder="0" shrinkToFit="0" vertical="bottom" wrapText="0"/>
    </xf>
    <xf borderId="2" fillId="0" fontId="3" numFmtId="0" xfId="0" applyAlignment="1" applyBorder="1" applyFont="1">
      <alignment shrinkToFit="0" vertical="bottom" wrapText="0"/>
    </xf>
    <xf borderId="2" fillId="0" fontId="0" numFmtId="10" xfId="0" applyAlignment="1" applyBorder="1" applyFont="1" applyNumberFormat="1">
      <alignment horizontal="right" shrinkToFit="0" vertical="bottom" wrapText="0"/>
    </xf>
    <xf borderId="2" fillId="0" fontId="3" numFmtId="4" xfId="0" applyAlignment="1" applyBorder="1" applyFont="1" applyNumberFormat="1">
      <alignment shrinkToFit="0" vertical="bottom" wrapText="0"/>
    </xf>
    <xf borderId="8" fillId="3" fontId="5" numFmtId="0" xfId="0" applyAlignment="1" applyBorder="1" applyFont="1">
      <alignment horizontal="left" shrinkToFit="0" vertical="bottom" wrapText="0"/>
    </xf>
    <xf borderId="6" fillId="0" fontId="8" numFmtId="165" xfId="0" applyAlignment="1" applyBorder="1" applyFont="1" applyNumberFormat="1">
      <alignment horizontal="right" shrinkToFit="0" vertical="bottom" wrapText="0"/>
    </xf>
    <xf borderId="7" fillId="0" fontId="8" numFmtId="165" xfId="0" applyAlignment="1" applyBorder="1" applyFont="1" applyNumberFormat="1">
      <alignment horizontal="right" shrinkToFit="0" vertical="bottom" wrapText="0"/>
    </xf>
    <xf borderId="6" fillId="0" fontId="8" numFmtId="166" xfId="0" applyAlignment="1" applyBorder="1" applyFont="1" applyNumberFormat="1">
      <alignment horizontal="right" shrinkToFit="0" vertical="bottom" wrapText="0"/>
    </xf>
    <xf borderId="0" fillId="0" fontId="2" numFmtId="165" xfId="0" applyAlignment="1" applyFont="1" applyNumberFormat="1">
      <alignment horizontal="left" shrinkToFit="0" vertical="center" wrapText="0"/>
    </xf>
    <xf borderId="2" fillId="0" fontId="8" numFmtId="165" xfId="0" applyAlignment="1" applyBorder="1" applyFont="1" applyNumberFormat="1">
      <alignment horizontal="right" shrinkToFit="0" vertical="bottom" wrapText="0"/>
    </xf>
    <xf borderId="7" fillId="4" fontId="8" numFmtId="165" xfId="0" applyAlignment="1" applyBorder="1" applyFill="1" applyFont="1" applyNumberFormat="1">
      <alignment horizontal="right" shrinkToFit="0" vertical="bottom" wrapText="1"/>
    </xf>
    <xf borderId="2" fillId="5" fontId="6" numFmtId="0" xfId="0" applyAlignment="1" applyBorder="1" applyFill="1" applyFont="1">
      <alignment horizontal="left" shrinkToFit="0" vertical="bottom" wrapText="0"/>
    </xf>
    <xf borderId="2" fillId="4" fontId="8" numFmtId="165" xfId="0" applyAlignment="1" applyBorder="1" applyFont="1" applyNumberFormat="1">
      <alignment horizontal="right" shrinkToFit="0" vertical="bottom" wrapText="1"/>
    </xf>
    <xf borderId="5" fillId="0" fontId="0" numFmtId="0" xfId="0" applyAlignment="1" applyBorder="1" applyFont="1">
      <alignment shrinkToFit="0" vertical="bottom" wrapText="0"/>
    </xf>
    <xf borderId="8" fillId="5" fontId="5" numFmtId="0" xfId="0" applyAlignment="1" applyBorder="1" applyFont="1">
      <alignment horizontal="left" shrinkToFit="0" vertical="bottom" wrapText="0"/>
    </xf>
    <xf borderId="2" fillId="0" fontId="0" numFmtId="4" xfId="0" applyAlignment="1" applyBorder="1" applyFont="1" applyNumberFormat="1">
      <alignment shrinkToFit="0" vertical="bottom" wrapText="0"/>
    </xf>
    <xf borderId="2" fillId="6" fontId="6" numFmtId="0" xfId="0" applyAlignment="1" applyBorder="1" applyFill="1" applyFont="1">
      <alignment horizontal="left" shrinkToFit="0" vertical="bottom" wrapText="0"/>
    </xf>
    <xf borderId="2" fillId="0" fontId="0" numFmtId="1" xfId="0" applyAlignment="1" applyBorder="1" applyFont="1" applyNumberFormat="1">
      <alignment horizontal="right" shrinkToFit="0" vertical="bottom" wrapText="0"/>
    </xf>
    <xf borderId="8" fillId="6" fontId="5" numFmtId="0" xfId="0" applyAlignment="1" applyBorder="1" applyFont="1">
      <alignment horizontal="left" shrinkToFit="0" vertical="bottom" wrapText="0"/>
    </xf>
    <xf borderId="2" fillId="0" fontId="0" numFmtId="3" xfId="0" applyAlignment="1" applyBorder="1" applyFont="1" applyNumberFormat="1">
      <alignment horizontal="right" shrinkToFit="0" vertical="bottom" wrapText="0"/>
    </xf>
    <xf borderId="2" fillId="0" fontId="7" numFmtId="0" xfId="0" applyAlignment="1" applyBorder="1" applyFont="1">
      <alignment shrinkToFit="0" wrapText="1"/>
    </xf>
    <xf borderId="2" fillId="0" fontId="7" numFmtId="4" xfId="0" applyAlignment="1" applyBorder="1" applyFont="1" applyNumberFormat="1">
      <alignment shrinkToFit="0" wrapText="1"/>
    </xf>
    <xf borderId="0" fillId="0" fontId="0" numFmtId="165" xfId="0" applyAlignment="1" applyFont="1" applyNumberFormat="1">
      <alignment horizontal="right" shrinkToFit="0" vertical="bottom" wrapText="0"/>
    </xf>
    <xf borderId="8" fillId="5" fontId="5" numFmtId="0" xfId="0" applyAlignment="1" applyBorder="1" applyFont="1">
      <alignment horizontal="left" readingOrder="0" shrinkToFit="0" vertical="bottom" wrapText="0"/>
    </xf>
    <xf borderId="3" fillId="0" fontId="8" numFmtId="165" xfId="0" applyAlignment="1" applyBorder="1" applyFont="1" applyNumberFormat="1">
      <alignment horizontal="right" shrinkToFit="0" vertical="bottom" wrapText="0"/>
    </xf>
    <xf borderId="9" fillId="0" fontId="3" numFmtId="0" xfId="0" applyAlignment="1" applyBorder="1" applyFont="1">
      <alignment shrinkToFit="0" vertical="bottom" wrapText="0"/>
    </xf>
    <xf borderId="9" fillId="0" fontId="3" numFmtId="164" xfId="0" applyAlignment="1" applyBorder="1" applyFont="1" applyNumberFormat="1">
      <alignment shrinkToFit="0" vertical="bottom" wrapText="0"/>
    </xf>
    <xf borderId="9" fillId="0" fontId="3" numFmtId="166" xfId="0" applyAlignment="1" applyBorder="1" applyFont="1" applyNumberFormat="1">
      <alignment shrinkToFit="0" vertical="bottom" wrapText="0"/>
    </xf>
    <xf borderId="10" fillId="0" fontId="8" numFmtId="4" xfId="0" applyAlignment="1" applyBorder="1" applyFont="1" applyNumberFormat="1">
      <alignment shrinkToFit="0" vertical="bottom" wrapText="1"/>
    </xf>
    <xf borderId="9" fillId="0" fontId="3" numFmtId="4" xfId="0" applyAlignment="1" applyBorder="1" applyFont="1" applyNumberFormat="1">
      <alignment shrinkToFit="0" vertical="bottom" wrapText="0"/>
    </xf>
    <xf borderId="10" fillId="0" fontId="7" numFmtId="4" xfId="0" applyAlignment="1" applyBorder="1" applyFont="1" applyNumberFormat="1">
      <alignment shrinkToFit="0" vertical="bottom" wrapText="1"/>
    </xf>
    <xf borderId="9" fillId="0" fontId="3" numFmtId="165" xfId="0" applyAlignment="1" applyBorder="1" applyFont="1" applyNumberFormat="1">
      <alignment shrinkToFit="0" vertical="bottom" wrapText="0"/>
    </xf>
    <xf borderId="9" fillId="0" fontId="3" numFmtId="167" xfId="0" applyAlignment="1" applyBorder="1" applyFont="1" applyNumberFormat="1">
      <alignment shrinkToFit="0" vertical="bottom" wrapText="0"/>
    </xf>
    <xf borderId="10" fillId="0" fontId="7" numFmtId="166" xfId="0" applyAlignment="1" applyBorder="1" applyFont="1" applyNumberFormat="1">
      <alignment shrinkToFit="0" vertical="bottom" wrapText="1"/>
    </xf>
    <xf borderId="9" fillId="0" fontId="3" numFmtId="1" xfId="0" applyAlignment="1" applyBorder="1" applyFont="1" applyNumberFormat="1">
      <alignment shrinkToFit="0" vertical="bottom" wrapText="0"/>
    </xf>
    <xf borderId="11" fillId="6" fontId="5" numFmtId="0" xfId="0" applyAlignment="1" applyBorder="1" applyFont="1">
      <alignment horizontal="left" shrinkToFit="0" vertical="bottom" wrapText="0"/>
    </xf>
    <xf borderId="6" fillId="2" fontId="2" numFmtId="0" xfId="0" applyAlignment="1" applyBorder="1" applyFont="1">
      <alignment horizontal="left" shrinkToFit="0" vertical="center" wrapText="0"/>
    </xf>
    <xf borderId="0" fillId="4" fontId="8" numFmtId="165" xfId="0" applyAlignment="1" applyFont="1" applyNumberFormat="1">
      <alignment horizontal="right" shrinkToFit="0" vertical="bottom" wrapText="1"/>
    </xf>
    <xf borderId="12" fillId="0" fontId="0" numFmtId="0" xfId="0" applyAlignment="1" applyBorder="1" applyFont="1">
      <alignment shrinkToFit="0" vertical="bottom" wrapText="0"/>
    </xf>
    <xf borderId="4" fillId="5" fontId="5" numFmtId="0" xfId="0" applyAlignment="1" applyBorder="1" applyFont="1">
      <alignment horizontal="left" shrinkToFit="0" vertical="bottom" wrapText="0"/>
    </xf>
    <xf borderId="2" fillId="5" fontId="10" numFmtId="0" xfId="0" applyAlignment="1" applyBorder="1" applyFont="1">
      <alignment horizontal="left" shrinkToFit="0" vertical="bottom" wrapText="0"/>
    </xf>
    <xf borderId="11" fillId="3" fontId="5" numFmtId="0" xfId="0" applyAlignment="1" applyBorder="1" applyFont="1">
      <alignment horizontal="left" shrinkToFit="0" vertical="bottom" wrapText="0"/>
    </xf>
    <xf borderId="2" fillId="6" fontId="10" numFmtId="0" xfId="0" applyAlignment="1" applyBorder="1" applyFont="1">
      <alignment horizontal="left" shrinkToFit="0" vertical="bottom" wrapText="0"/>
    </xf>
    <xf borderId="4" fillId="6" fontId="5" numFmtId="0" xfId="0" applyAlignment="1" applyBorder="1" applyFont="1">
      <alignment horizontal="left" shrinkToFit="0" vertical="bottom" wrapText="0"/>
    </xf>
    <xf borderId="2" fillId="0" fontId="8" numFmtId="164" xfId="0" applyAlignment="1" applyBorder="1" applyFont="1" applyNumberFormat="1">
      <alignment horizontal="right" shrinkToFit="0" vertical="bottom" wrapText="0"/>
    </xf>
    <xf borderId="3" fillId="0" fontId="8" numFmtId="0" xfId="0" applyAlignment="1" applyBorder="1" applyFont="1">
      <alignment horizontal="right" shrinkToFit="0" vertical="bottom" wrapText="0"/>
    </xf>
    <xf borderId="3" fillId="0" fontId="8" numFmtId="164" xfId="0" applyAlignment="1" applyBorder="1" applyFont="1" applyNumberFormat="1">
      <alignment horizontal="right" shrinkToFit="0" vertical="bottom" wrapText="0"/>
    </xf>
    <xf borderId="3" fillId="0" fontId="8" numFmtId="166" xfId="0" applyAlignment="1" applyBorder="1" applyFont="1" applyNumberFormat="1">
      <alignment horizontal="right" shrinkToFit="0" vertical="bottom" wrapText="0"/>
    </xf>
    <xf borderId="3" fillId="0" fontId="8" numFmtId="168" xfId="0" applyAlignment="1" applyBorder="1" applyFont="1" applyNumberFormat="1">
      <alignment horizontal="right" shrinkToFit="0" vertical="bottom" wrapText="0"/>
    </xf>
    <xf borderId="2" fillId="0" fontId="3" numFmtId="49" xfId="0" applyAlignment="1" applyBorder="1" applyFont="1" applyNumberFormat="1">
      <alignment horizontal="right" shrinkToFit="0" vertical="bottom" wrapText="0"/>
    </xf>
    <xf borderId="2" fillId="0" fontId="3" numFmtId="168" xfId="0" applyAlignment="1" applyBorder="1" applyFont="1" applyNumberFormat="1">
      <alignment horizontal="right" readingOrder="0" shrinkToFit="0" vertical="bottom" wrapText="0"/>
    </xf>
    <xf borderId="9" fillId="0" fontId="0" numFmtId="0" xfId="0" applyAlignment="1" applyBorder="1" applyFont="1">
      <alignment shrinkToFit="0" vertical="bottom" wrapText="0"/>
    </xf>
    <xf borderId="9" fillId="0" fontId="0" numFmtId="4" xfId="0" applyAlignment="1" applyBorder="1" applyFont="1" applyNumberFormat="1">
      <alignment shrinkToFit="0" vertical="bottom" wrapText="0"/>
    </xf>
    <xf borderId="0" fillId="0" fontId="0" numFmtId="0" xfId="0" applyAlignment="1" applyFont="1">
      <alignment shrinkToFit="0" vertical="bottom" wrapText="0"/>
    </xf>
    <xf borderId="9" fillId="0" fontId="0" numFmtId="1" xfId="0" applyAlignment="1" applyBorder="1" applyFont="1" applyNumberFormat="1">
      <alignment shrinkToFit="0" vertical="bottom" wrapText="0"/>
    </xf>
    <xf borderId="4" fillId="3" fontId="5" numFmtId="0" xfId="0" applyAlignment="1" applyBorder="1" applyFont="1">
      <alignment horizontal="left" readingOrder="0" shrinkToFit="0" vertical="bottom" wrapText="0"/>
    </xf>
    <xf borderId="0" fillId="0" fontId="7" numFmtId="0" xfId="0" applyAlignment="1" applyFont="1">
      <alignment shrinkToFit="0" wrapText="1"/>
    </xf>
    <xf borderId="0" fillId="0" fontId="11" numFmtId="0" xfId="0" applyAlignment="1" applyFont="1">
      <alignment readingOrder="0" shrinkToFit="0" wrapText="1"/>
    </xf>
    <xf borderId="9" fillId="0" fontId="7" numFmtId="0" xfId="0" applyAlignment="1" applyBorder="1" applyFont="1">
      <alignment shrinkToFit="0" wrapText="1"/>
    </xf>
    <xf borderId="2" fillId="0" fontId="3" numFmtId="10" xfId="0" applyAlignment="1" applyBorder="1" applyFont="1" applyNumberFormat="1">
      <alignment horizontal="right" readingOrder="0" shrinkToFit="0" vertical="bottom" wrapText="0"/>
    </xf>
    <xf borderId="9" fillId="0" fontId="7" numFmtId="4" xfId="0" applyAlignment="1" applyBorder="1" applyFont="1" applyNumberFormat="1">
      <alignment shrinkToFit="0" wrapText="1"/>
    </xf>
    <xf borderId="0" fillId="0" fontId="11" numFmtId="9" xfId="0" applyAlignment="1" applyFont="1" applyNumberFormat="1">
      <alignment readingOrder="0" shrinkToFit="0" wrapText="1"/>
    </xf>
    <xf borderId="0" fillId="0" fontId="3" numFmtId="0" xfId="0" applyAlignment="1" applyFont="1">
      <alignment horizontal="right" readingOrder="0" shrinkToFit="0" vertical="bottom" wrapText="0"/>
    </xf>
    <xf borderId="12" fillId="0" fontId="2" numFmtId="0" xfId="0" applyAlignment="1" applyBorder="1" applyFont="1">
      <alignment shrinkToFit="0" vertical="center" wrapText="0"/>
    </xf>
    <xf borderId="0" fillId="0" fontId="6" numFmtId="0" xfId="0" applyAlignment="1" applyFont="1">
      <alignment horizontal="right" readingOrder="0" shrinkToFit="0" vertical="bottom" wrapText="0"/>
    </xf>
    <xf borderId="0" fillId="7" fontId="12" numFmtId="0" xfId="0" applyAlignment="1" applyFill="1" applyFont="1">
      <alignment readingOrder="0" shrinkToFit="0" wrapText="1"/>
    </xf>
    <xf borderId="2" fillId="0" fontId="3" numFmtId="9" xfId="0" applyAlignment="1" applyBorder="1" applyFont="1" applyNumberFormat="1">
      <alignment horizontal="right" readingOrder="0" shrinkToFit="0" vertical="bottom" wrapText="0"/>
    </xf>
    <xf borderId="2" fillId="0" fontId="0" numFmtId="0" xfId="0" applyAlignment="1" applyBorder="1" applyFont="1">
      <alignment shrinkToFit="0" vertical="bottom" wrapText="0"/>
    </xf>
    <xf borderId="2" fillId="0" fontId="0" numFmtId="165" xfId="0" applyAlignment="1" applyBorder="1" applyFont="1" applyNumberFormat="1">
      <alignment horizontal="right" shrinkToFit="0" vertical="bottom" wrapText="0"/>
    </xf>
    <xf borderId="2" fillId="4" fontId="0" numFmtId="165" xfId="0" applyAlignment="1" applyBorder="1" applyFont="1" applyNumberFormat="1">
      <alignment shrinkToFit="0" wrapText="1"/>
    </xf>
    <xf borderId="0" fillId="8" fontId="12" numFmtId="0" xfId="0" applyAlignment="1" applyFill="1" applyFont="1">
      <alignment readingOrder="0" shrinkToFit="0" wrapText="1"/>
    </xf>
    <xf borderId="0" fillId="0" fontId="0" numFmtId="165" xfId="0" applyAlignment="1" applyFont="1" applyNumberFormat="1">
      <alignment shrinkToFit="0" wrapText="1"/>
    </xf>
    <xf borderId="0" fillId="0" fontId="11" numFmtId="0" xfId="0" applyAlignment="1" applyFont="1">
      <alignment horizontal="right" readingOrder="0" shrinkToFit="0" wrapText="1"/>
    </xf>
    <xf borderId="8" fillId="3" fontId="5" numFmtId="0" xfId="0" applyAlignment="1" applyBorder="1" applyFont="1">
      <alignment horizontal="left" readingOrder="0" shrinkToFit="0" vertical="bottom" wrapText="0"/>
    </xf>
    <xf borderId="2" fillId="0" fontId="1" numFmtId="0" xfId="0" applyAlignment="1" applyBorder="1" applyFont="1">
      <alignment horizontal="right" readingOrder="0" shrinkToFit="0" vertical="bottom" wrapText="0"/>
    </xf>
    <xf borderId="5" fillId="0" fontId="3" numFmtId="0" xfId="0" applyAlignment="1" applyBorder="1" applyFont="1">
      <alignment shrinkToFit="0" vertical="center" wrapText="0"/>
    </xf>
    <xf borderId="11" fillId="5" fontId="5" numFmtId="0" xfId="0" applyAlignment="1" applyBorder="1" applyFont="1">
      <alignment horizontal="left" shrinkToFit="0" vertical="bottom" wrapText="0"/>
    </xf>
    <xf borderId="2" fillId="2" fontId="3" numFmtId="3" xfId="0" applyAlignment="1" applyBorder="1" applyFont="1" applyNumberFormat="1">
      <alignment horizontal="right" shrinkToFit="0" vertical="bottom" wrapText="0"/>
    </xf>
    <xf borderId="13" fillId="0" fontId="13" numFmtId="0" xfId="0" applyAlignment="1" applyBorder="1" applyFont="1">
      <alignment horizontal="left" readingOrder="0" shrinkToFit="0" wrapText="1"/>
    </xf>
    <xf borderId="0" fillId="0" fontId="11" numFmtId="0" xfId="0" applyAlignment="1" applyFont="1">
      <alignment horizontal="right" shrinkToFit="0" wrapText="1"/>
    </xf>
    <xf borderId="5" fillId="0" fontId="3" numFmtId="0" xfId="0" applyAlignment="1" applyBorder="1" applyFont="1">
      <alignment shrinkToFit="0" vertical="bottom" wrapText="0"/>
    </xf>
    <xf borderId="0" fillId="0" fontId="3" numFmtId="4" xfId="0" applyAlignment="1" applyFont="1" applyNumberFormat="1">
      <alignment shrinkToFit="0" vertical="bottom" wrapText="0"/>
    </xf>
    <xf borderId="0" fillId="0" fontId="3" numFmtId="165" xfId="0" applyAlignment="1" applyFont="1" applyNumberFormat="1">
      <alignment shrinkToFit="0" vertical="bottom" wrapText="0"/>
    </xf>
    <xf borderId="0" fillId="0" fontId="3" numFmtId="0" xfId="0" applyAlignment="1" applyFont="1">
      <alignment shrinkToFit="0" vertical="bottom" wrapText="0"/>
    </xf>
    <xf borderId="14" fillId="0" fontId="3" numFmtId="4" xfId="0" applyAlignment="1" applyBorder="1" applyFont="1" applyNumberFormat="1">
      <alignment shrinkToFit="0" vertical="bottom" wrapText="0"/>
    </xf>
    <xf borderId="15" fillId="0" fontId="3" numFmtId="4" xfId="0" applyAlignment="1" applyBorder="1" applyFont="1" applyNumberFormat="1">
      <alignment shrinkToFit="0" vertical="center" wrapText="0"/>
    </xf>
    <xf borderId="0" fillId="0" fontId="3" numFmtId="4" xfId="0" applyAlignment="1" applyFont="1" applyNumberFormat="1">
      <alignment shrinkToFit="0" vertical="center" wrapText="0"/>
    </xf>
    <xf borderId="15" fillId="0" fontId="3" numFmtId="4" xfId="0" applyAlignment="1" applyBorder="1" applyFont="1" applyNumberFormat="1">
      <alignment shrinkToFit="0" vertical="bottom" wrapText="0"/>
    </xf>
    <xf borderId="0" fillId="4" fontId="14" numFmtId="4" xfId="0" applyAlignment="1" applyFont="1" applyNumberFormat="1">
      <alignment horizontal="right" shrinkToFit="0" wrapText="1"/>
    </xf>
    <xf borderId="0" fillId="4" fontId="14" numFmtId="4" xfId="0" applyAlignment="1" applyFont="1" applyNumberFormat="1">
      <alignment shrinkToFit="0" wrapText="1"/>
    </xf>
    <xf borderId="10" fillId="0" fontId="3" numFmtId="4" xfId="0" applyAlignment="1" applyBorder="1" applyFont="1" applyNumberFormat="1">
      <alignment shrinkToFit="0" vertical="bottom" wrapText="0"/>
    </xf>
    <xf borderId="2" fillId="0" fontId="7" numFmtId="165" xfId="0" applyAlignment="1" applyBorder="1" applyFont="1" applyNumberFormat="1">
      <alignment shrinkToFit="0" vertical="bottom" wrapText="1"/>
    </xf>
    <xf borderId="3" fillId="0" fontId="7" numFmtId="165" xfId="0" applyAlignment="1" applyBorder="1" applyFont="1" applyNumberFormat="1">
      <alignment shrinkToFit="0" vertical="bottom" wrapText="1"/>
    </xf>
    <xf borderId="12" fillId="0" fontId="7" numFmtId="165" xfId="0" applyAlignment="1" applyBorder="1" applyFont="1" applyNumberFormat="1">
      <alignment shrinkToFit="0" vertical="bottom" wrapText="1"/>
    </xf>
    <xf borderId="3" fillId="4" fontId="7" numFmtId="165" xfId="0" applyAlignment="1" applyBorder="1" applyFont="1" applyNumberFormat="1">
      <alignment shrinkToFit="0" vertical="bottom" wrapText="1"/>
    </xf>
    <xf borderId="7" fillId="0" fontId="7" numFmtId="4" xfId="0" applyAlignment="1" applyBorder="1" applyFont="1" applyNumberFormat="1">
      <alignment shrinkToFit="0" vertical="bottom" wrapText="1"/>
    </xf>
    <xf borderId="0" fillId="0" fontId="8" numFmtId="4" xfId="0" applyAlignment="1" applyFont="1" applyNumberFormat="1">
      <alignment horizontal="right" shrinkToFit="0" vertical="bottom" wrapText="0"/>
    </xf>
    <xf borderId="3" fillId="0" fontId="3" numFmtId="4" xfId="0" applyAlignment="1" applyBorder="1" applyFont="1" applyNumberFormat="1">
      <alignment shrinkToFit="0" vertical="bottom" wrapText="0"/>
    </xf>
    <xf borderId="2" fillId="0" fontId="3" numFmtId="165" xfId="0" applyAlignment="1" applyBorder="1" applyFont="1" applyNumberFormat="1">
      <alignment shrinkToFit="0" vertical="bottom" wrapText="0"/>
    </xf>
    <xf borderId="15" fillId="0" fontId="3" numFmtId="165" xfId="0" applyAlignment="1" applyBorder="1" applyFont="1" applyNumberFormat="1">
      <alignment shrinkToFit="0" vertical="bottom" wrapText="0"/>
    </xf>
    <xf borderId="15" fillId="0" fontId="3" numFmtId="0" xfId="0" applyAlignment="1" applyBorder="1" applyFont="1">
      <alignment shrinkToFit="0" vertical="bottom" wrapText="0"/>
    </xf>
    <xf borderId="2" fillId="2" fontId="3" numFmtId="3" xfId="0" applyAlignment="1" applyBorder="1" applyFont="1" applyNumberFormat="1">
      <alignment horizontal="right" shrinkToFit="0" vertical="center" wrapText="0"/>
    </xf>
    <xf borderId="2" fillId="2" fontId="8" numFmtId="3" xfId="0" applyAlignment="1" applyBorder="1" applyFont="1" applyNumberFormat="1">
      <alignment horizontal="right" shrinkToFit="0" vertical="bottom" wrapText="0"/>
    </xf>
    <xf borderId="3" fillId="2" fontId="8" numFmtId="3" xfId="0" applyAlignment="1" applyBorder="1" applyFont="1" applyNumberFormat="1">
      <alignment horizontal="right" shrinkToFit="0" vertical="bottom" wrapText="0"/>
    </xf>
    <xf borderId="0" fillId="0" fontId="7" numFmtId="4" xfId="0" applyAlignment="1" applyFont="1" applyNumberFormat="1">
      <alignment shrinkToFit="0" vertical="bottom" wrapText="1"/>
    </xf>
    <xf borderId="6" fillId="2" fontId="8" numFmtId="3" xfId="0" applyAlignment="1" applyBorder="1" applyFont="1" applyNumberFormat="1">
      <alignment horizontal="right" shrinkToFit="0" vertical="bottom" wrapText="0"/>
    </xf>
    <xf borderId="7" fillId="2" fontId="8" numFmtId="3" xfId="0" applyAlignment="1" applyBorder="1" applyFont="1" applyNumberFormat="1">
      <alignment horizontal="right" shrinkToFit="0" vertical="bottom" wrapText="0"/>
    </xf>
    <xf borderId="2" fillId="2" fontId="2" numFmtId="166" xfId="0" applyAlignment="1" applyBorder="1" applyFont="1" applyNumberFormat="1">
      <alignment horizontal="left" shrinkToFit="0" vertical="center" wrapText="0"/>
    </xf>
    <xf borderId="5" fillId="0" fontId="4" numFmtId="0" xfId="0" applyAlignment="1" applyBorder="1" applyFont="1">
      <alignment shrinkToFit="0" vertical="center" wrapText="0"/>
    </xf>
    <xf borderId="2" fillId="2" fontId="4" numFmtId="0" xfId="0" applyAlignment="1" applyBorder="1" applyFont="1">
      <alignment shrinkToFit="0" vertical="center" wrapText="0"/>
    </xf>
    <xf borderId="2" fillId="0" fontId="3" numFmtId="169" xfId="0" applyAlignment="1" applyBorder="1" applyFont="1" applyNumberFormat="1">
      <alignment horizontal="right" shrinkToFit="0" vertical="bottom" wrapText="0"/>
    </xf>
    <xf borderId="2" fillId="2" fontId="4" numFmtId="3" xfId="0" applyAlignment="1" applyBorder="1" applyFont="1" applyNumberFormat="1">
      <alignment horizontal="left" shrinkToFit="0" vertical="center" wrapText="0"/>
    </xf>
    <xf borderId="6" fillId="2" fontId="2" numFmtId="166" xfId="0" applyAlignment="1" applyBorder="1" applyFont="1" applyNumberFormat="1">
      <alignment horizontal="left" shrinkToFit="0" vertical="center" wrapText="0"/>
    </xf>
    <xf borderId="9" fillId="0" fontId="3" numFmtId="3" xfId="0" applyAlignment="1" applyBorder="1" applyFont="1" applyNumberFormat="1">
      <alignment shrinkToFit="0" vertical="bottom" wrapText="0"/>
    </xf>
    <xf borderId="10" fillId="0" fontId="3" numFmtId="0" xfId="0" applyAlignment="1" applyBorder="1" applyFont="1">
      <alignment shrinkToFit="0" vertical="bottom" wrapText="0"/>
    </xf>
    <xf borderId="1" fillId="0" fontId="3" numFmtId="0" xfId="0" applyAlignment="1" applyBorder="1" applyFont="1">
      <alignment shrinkToFit="0" vertical="center" wrapText="0"/>
    </xf>
    <xf borderId="5" fillId="0" fontId="3" numFmtId="1" xfId="0" applyAlignment="1" applyBorder="1" applyFont="1" applyNumberFormat="1">
      <alignment shrinkToFit="0" vertical="center" wrapText="0"/>
    </xf>
    <xf borderId="2" fillId="2" fontId="4" numFmtId="1" xfId="0" applyAlignment="1" applyBorder="1" applyFont="1" applyNumberFormat="1">
      <alignment shrinkToFit="0" vertical="center" wrapText="0"/>
    </xf>
    <xf borderId="5" fillId="0" fontId="3" numFmtId="1" xfId="0" applyAlignment="1" applyBorder="1" applyFont="1" applyNumberFormat="1">
      <alignment shrinkToFit="0" vertical="bottom" wrapText="0"/>
    </xf>
    <xf borderId="0" fillId="0" fontId="3" numFmtId="1" xfId="0" applyAlignment="1" applyFont="1" applyNumberFormat="1">
      <alignment shrinkToFit="0" vertical="bottom" wrapText="0"/>
    </xf>
    <xf borderId="14" fillId="0" fontId="3" numFmtId="1" xfId="0" applyAlignment="1" applyBorder="1" applyFont="1" applyNumberFormat="1">
      <alignment shrinkToFit="0" vertical="bottom" wrapText="0"/>
    </xf>
    <xf borderId="15" fillId="0" fontId="3" numFmtId="1" xfId="0" applyAlignment="1" applyBorder="1" applyFont="1" applyNumberFormat="1">
      <alignment shrinkToFit="0" vertical="center" wrapText="0"/>
    </xf>
    <xf borderId="0" fillId="0" fontId="4" numFmtId="1" xfId="0" applyAlignment="1" applyFont="1" applyNumberFormat="1">
      <alignment shrinkToFit="0" vertical="center" wrapText="0"/>
    </xf>
    <xf borderId="12" fillId="0" fontId="3" numFmtId="0" xfId="0" applyAlignment="1" applyBorder="1" applyFont="1">
      <alignment shrinkToFit="0" vertical="center" wrapText="0"/>
    </xf>
    <xf borderId="15" fillId="0" fontId="3" numFmtId="1" xfId="0" applyAlignment="1" applyBorder="1" applyFont="1" applyNumberFormat="1">
      <alignment shrinkToFit="0" vertical="bottom" wrapText="0"/>
    </xf>
    <xf borderId="0" fillId="0" fontId="3" numFmtId="1" xfId="0" applyAlignment="1" applyFont="1" applyNumberFormat="1">
      <alignment horizontal="right" shrinkToFit="0" vertical="bottom" wrapText="0"/>
    </xf>
    <xf borderId="12" fillId="0" fontId="3" numFmtId="0" xfId="0" applyAlignment="1" applyBorder="1" applyFont="1">
      <alignment shrinkToFit="0" vertical="bottom" wrapText="0"/>
    </xf>
    <xf borderId="15" fillId="0" fontId="3" numFmtId="0" xfId="0" applyAlignment="1" applyBorder="1" applyFont="1">
      <alignment shrinkToFit="0" vertical="center" wrapText="0"/>
    </xf>
    <xf borderId="10" fillId="0" fontId="3" numFmtId="1" xfId="0" applyAlignment="1" applyBorder="1" applyFont="1" applyNumberFormat="1">
      <alignment shrinkToFit="0" vertical="bottom" wrapText="0"/>
    </xf>
    <xf borderId="12" fillId="0" fontId="4" numFmtId="4" xfId="0" applyAlignment="1" applyBorder="1" applyFont="1" applyNumberFormat="1">
      <alignment horizontal="left" shrinkToFit="0" vertical="center" wrapText="0"/>
    </xf>
    <xf borderId="12" fillId="0" fontId="3" numFmtId="4" xfId="0" applyAlignment="1" applyBorder="1" applyFont="1" applyNumberFormat="1">
      <alignment horizontal="right" shrinkToFit="0" vertical="bottom" wrapText="0"/>
    </xf>
    <xf borderId="2" fillId="0" fontId="11" numFmtId="4" xfId="0" applyAlignment="1" applyBorder="1" applyFont="1" applyNumberFormat="1">
      <alignment shrinkToFit="0" wrapText="1"/>
    </xf>
    <xf borderId="2" fillId="0" fontId="11" numFmtId="0" xfId="0" applyAlignment="1" applyBorder="1" applyFont="1">
      <alignment shrinkToFit="0" wrapText="1"/>
    </xf>
    <xf borderId="2" fillId="0" fontId="11" numFmtId="0" xfId="0" applyAlignment="1" applyBorder="1" applyFont="1">
      <alignment horizontal="right" shrinkToFit="0" wrapText="1"/>
    </xf>
    <xf borderId="2" fillId="0" fontId="15" numFmtId="4" xfId="0" applyAlignment="1" applyBorder="1" applyFont="1" applyNumberFormat="1">
      <alignment horizontal="right" shrinkToFit="0" vertical="bottom" wrapText="0"/>
    </xf>
    <xf borderId="3" fillId="0" fontId="15" numFmtId="4" xfId="0" applyAlignment="1" applyBorder="1" applyFont="1" applyNumberFormat="1">
      <alignment horizontal="right" shrinkToFit="0" vertical="bottom" wrapText="0"/>
    </xf>
    <xf borderId="6" fillId="0" fontId="15" numFmtId="4" xfId="0" applyAlignment="1" applyBorder="1" applyFont="1" applyNumberFormat="1">
      <alignment horizontal="right" shrinkToFit="0" vertical="bottom" wrapText="0"/>
    </xf>
    <xf borderId="7" fillId="0" fontId="15" numFmtId="4" xfId="0" applyAlignment="1" applyBorder="1" applyFont="1" applyNumberFormat="1">
      <alignment horizontal="right" shrinkToFit="0" vertical="bottom" wrapText="0"/>
    </xf>
    <xf borderId="0" fillId="0" fontId="3" numFmtId="0" xfId="0" applyAlignment="1" applyFont="1">
      <alignment horizontal="left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comments" Target="../comments10.xml"/><Relationship Id="rId2" Type="http://schemas.openxmlformats.org/officeDocument/2006/relationships/drawing" Target="../drawings/drawing10.xml"/><Relationship Id="rId3" Type="http://schemas.openxmlformats.org/officeDocument/2006/relationships/vmlDrawing" Target="../drawings/vmlDrawing10.v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comments" Target="../comments11.xml"/><Relationship Id="rId2" Type="http://schemas.openxmlformats.org/officeDocument/2006/relationships/drawing" Target="../drawings/drawing11.xml"/><Relationship Id="rId3" Type="http://schemas.openxmlformats.org/officeDocument/2006/relationships/vmlDrawing" Target="../drawings/vmlDrawing11.v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comments" Target="../comments12.xml"/><Relationship Id="rId2" Type="http://schemas.openxmlformats.org/officeDocument/2006/relationships/drawing" Target="../drawings/drawing12.xml"/><Relationship Id="rId3" Type="http://schemas.openxmlformats.org/officeDocument/2006/relationships/vmlDrawing" Target="../drawings/vmlDrawing12.v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4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5.v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6.v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drawing" Target="../drawings/drawing7.xml"/><Relationship Id="rId3" Type="http://schemas.openxmlformats.org/officeDocument/2006/relationships/vmlDrawing" Target="../drawings/vmlDrawing7.v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drawing" Target="../drawings/drawing8.xml"/><Relationship Id="rId3" Type="http://schemas.openxmlformats.org/officeDocument/2006/relationships/vmlDrawing" Target="../drawings/vmlDrawing8.v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drawing" Target="../drawings/drawing9.xml"/><Relationship Id="rId3" Type="http://schemas.openxmlformats.org/officeDocument/2006/relationships/vmlDrawing" Target="../drawings/vmlDrawing9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0"/>
  <cols>
    <col customWidth="1" min="1" max="1" width="19.71"/>
    <col customWidth="1" min="2" max="2" width="10.14"/>
    <col customWidth="1" min="3" max="16" width="11.71"/>
    <col customWidth="1" min="17" max="20" width="8.86"/>
    <col customWidth="1" min="21" max="21" width="9.86"/>
    <col customWidth="1" min="22" max="22" width="10.86"/>
    <col customWidth="1" min="23" max="23" width="8.71"/>
    <col customWidth="1" min="24" max="24" width="8.0"/>
    <col customWidth="1" min="25" max="25" width="8.71"/>
    <col customWidth="1" min="26" max="26" width="10.14"/>
    <col customWidth="1" min="27" max="27" width="11.71"/>
  </cols>
  <sheetData>
    <row r="1" ht="21.0" customHeight="1">
      <c r="A1" s="1" t="s">
        <v>0</v>
      </c>
      <c r="B1" s="3" t="s">
        <v>2</v>
      </c>
      <c r="C1" s="7" t="s">
        <v>4</v>
      </c>
      <c r="D1" s="7" t="s">
        <v>14</v>
      </c>
      <c r="E1" s="7" t="s">
        <v>15</v>
      </c>
      <c r="F1" s="7" t="s">
        <v>16</v>
      </c>
      <c r="G1" s="9" t="s">
        <v>17</v>
      </c>
      <c r="H1" s="7" t="s">
        <v>20</v>
      </c>
      <c r="I1" s="7" t="s">
        <v>21</v>
      </c>
      <c r="J1" s="7" t="s">
        <v>22</v>
      </c>
      <c r="K1" s="7" t="s">
        <v>23</v>
      </c>
      <c r="L1" s="7" t="s">
        <v>24</v>
      </c>
      <c r="M1" s="7" t="s">
        <v>25</v>
      </c>
      <c r="N1" s="7" t="s">
        <v>26</v>
      </c>
      <c r="O1" s="13" t="s">
        <v>28</v>
      </c>
      <c r="P1" s="7" t="s">
        <v>43</v>
      </c>
      <c r="Q1" s="15" t="s">
        <v>45</v>
      </c>
      <c r="R1" s="15" t="s">
        <v>45</v>
      </c>
      <c r="S1" s="15" t="s">
        <v>45</v>
      </c>
      <c r="T1" s="15" t="s">
        <v>45</v>
      </c>
      <c r="U1" s="15" t="s">
        <v>45</v>
      </c>
      <c r="V1" s="15" t="s">
        <v>45</v>
      </c>
      <c r="W1" s="15" t="s">
        <v>45</v>
      </c>
      <c r="X1" s="15" t="s">
        <v>45</v>
      </c>
      <c r="Y1" s="15" t="s">
        <v>45</v>
      </c>
      <c r="Z1" s="19" t="s">
        <v>50</v>
      </c>
      <c r="AA1" s="7" t="s">
        <v>41</v>
      </c>
    </row>
    <row r="2" ht="15.75" customHeight="1">
      <c r="A2" s="20" t="s">
        <v>67</v>
      </c>
      <c r="B2" s="23">
        <v>0.0</v>
      </c>
      <c r="C2" s="26">
        <f>'Raw Values'!J2</f>
        <v>700</v>
      </c>
      <c r="D2" s="26">
        <f>'Raw Values'!G2</f>
        <v>300</v>
      </c>
      <c r="E2" s="29">
        <f>'Raw Values'!C2</f>
        <v>63</v>
      </c>
      <c r="F2" s="31">
        <f>SUM('Raw Values'!B2/2)</f>
        <v>0.932</v>
      </c>
      <c r="G2" s="34">
        <f>SUM(60/'Raw Values'!E2)</f>
        <v>266.6666667</v>
      </c>
      <c r="H2" s="36">
        <f>'Raw Values'!F2</f>
        <v>2</v>
      </c>
      <c r="I2" s="29">
        <f>'Raw Values'!I2</f>
        <v>7</v>
      </c>
      <c r="J2" s="29">
        <v>35.0</v>
      </c>
      <c r="K2" s="29">
        <f>'Raw Values'!H2</f>
        <v>230</v>
      </c>
      <c r="L2" s="36">
        <f>SUM(1-'Raw Values'!P2)</f>
        <v>0.6</v>
      </c>
      <c r="M2" s="40">
        <f>'Raw Values'!K2</f>
        <v>4096</v>
      </c>
      <c r="N2" s="29" t="s">
        <v>116</v>
      </c>
      <c r="O2" s="45">
        <f>'Raw Values'!AF2</f>
        <v>48.2</v>
      </c>
      <c r="P2" s="29">
        <f>'Raw Values'!AE2</f>
        <v>60</v>
      </c>
      <c r="Q2" s="47">
        <v>0.0</v>
      </c>
      <c r="R2" s="47">
        <v>0.0</v>
      </c>
      <c r="S2" s="47">
        <v>0.0</v>
      </c>
      <c r="T2" s="47">
        <v>0.0</v>
      </c>
      <c r="U2" s="47">
        <v>0.0</v>
      </c>
      <c r="V2" s="47">
        <v>0.0</v>
      </c>
      <c r="W2" s="47">
        <v>0.0</v>
      </c>
      <c r="X2" s="47">
        <v>0.0</v>
      </c>
      <c r="Y2" s="47">
        <v>0.0</v>
      </c>
      <c r="Z2" s="50">
        <v>5.0</v>
      </c>
      <c r="AA2" s="29">
        <f>'Raw Values'!N2</f>
        <v>1</v>
      </c>
    </row>
    <row r="3" ht="15.75" customHeight="1">
      <c r="A3" s="54" t="s">
        <v>117</v>
      </c>
      <c r="B3" s="23">
        <v>0.0</v>
      </c>
      <c r="C3" s="26">
        <f>'Raw Values'!J3</f>
        <v>600</v>
      </c>
      <c r="D3" s="26">
        <f>'Raw Values'!G3</f>
        <v>300</v>
      </c>
      <c r="E3" s="29">
        <f>'Raw Values'!C3</f>
        <v>86</v>
      </c>
      <c r="F3" s="31">
        <f>SUM('Raw Values'!B3/2)</f>
        <v>0.932</v>
      </c>
      <c r="G3" s="34">
        <f>SUM(60/'Raw Values'!E3)</f>
        <v>120</v>
      </c>
      <c r="H3" s="36">
        <f>'Raw Values'!F3</f>
        <v>2</v>
      </c>
      <c r="I3" s="29">
        <f>'Raw Values'!I3</f>
        <v>8</v>
      </c>
      <c r="J3" s="29">
        <v>8.0</v>
      </c>
      <c r="K3" s="29">
        <f>'Raw Values'!H3</f>
        <v>180</v>
      </c>
      <c r="L3" s="36">
        <f>SUM(1-'Raw Values'!P3)</f>
        <v>0.6</v>
      </c>
      <c r="M3" s="40">
        <f>'Raw Values'!K3</f>
        <v>4096</v>
      </c>
      <c r="N3" s="29" t="s">
        <v>119</v>
      </c>
      <c r="O3" s="45">
        <f>'Raw Values'!AF3</f>
        <v>20</v>
      </c>
      <c r="P3" s="29">
        <f>'Raw Values'!AE3</f>
        <v>40</v>
      </c>
      <c r="Q3" s="47">
        <v>0.0</v>
      </c>
      <c r="R3" s="47">
        <v>0.0</v>
      </c>
      <c r="S3" s="47">
        <v>0.0</v>
      </c>
      <c r="T3" s="47">
        <v>0.0</v>
      </c>
      <c r="U3" s="47">
        <v>0.0</v>
      </c>
      <c r="V3" s="47">
        <v>0.0</v>
      </c>
      <c r="W3" s="47">
        <v>0.0</v>
      </c>
      <c r="X3" s="47">
        <v>0.0</v>
      </c>
      <c r="Y3" s="47">
        <v>0.0</v>
      </c>
      <c r="Z3" s="50">
        <v>5.0</v>
      </c>
      <c r="AA3" s="29">
        <f>'Raw Values'!N3</f>
        <v>1</v>
      </c>
    </row>
    <row r="4" ht="15.75" customHeight="1">
      <c r="A4" s="54" t="s">
        <v>121</v>
      </c>
      <c r="B4" s="23">
        <v>0.0</v>
      </c>
      <c r="C4" s="26">
        <f>'Raw Values'!J4</f>
        <v>400</v>
      </c>
      <c r="D4" s="26">
        <f>'Raw Values'!G4</f>
        <v>300</v>
      </c>
      <c r="E4" s="29">
        <f>'Raw Values'!C4</f>
        <v>38</v>
      </c>
      <c r="F4" s="31">
        <f>SUM('Raw Values'!B4/2)</f>
        <v>0.575</v>
      </c>
      <c r="G4" s="34">
        <f>SUM(60/'Raw Values'!E4)</f>
        <v>500</v>
      </c>
      <c r="H4" s="36">
        <f>'Raw Values'!F4</f>
        <v>1</v>
      </c>
      <c r="I4" s="29">
        <f>'Raw Values'!I4</f>
        <v>30</v>
      </c>
      <c r="J4" s="29">
        <v>120.0</v>
      </c>
      <c r="K4" s="29">
        <f>'Raw Values'!H4</f>
        <v>240</v>
      </c>
      <c r="L4" s="36">
        <f>SUM(1-'Raw Values'!P4)</f>
        <v>0.5</v>
      </c>
      <c r="M4" s="40">
        <f>'Raw Values'!K4</f>
        <v>4096</v>
      </c>
      <c r="N4" s="29" t="s">
        <v>116</v>
      </c>
      <c r="O4" s="45">
        <f>'Raw Values'!AF4</f>
        <v>27</v>
      </c>
      <c r="P4" s="29">
        <f>'Raw Values'!AE4</f>
        <v>20</v>
      </c>
      <c r="Q4" s="47">
        <v>0.0</v>
      </c>
      <c r="R4" s="47">
        <v>0.0</v>
      </c>
      <c r="S4" s="47">
        <v>0.0</v>
      </c>
      <c r="T4" s="47">
        <v>0.0</v>
      </c>
      <c r="U4" s="47">
        <v>0.0</v>
      </c>
      <c r="V4" s="47">
        <v>0.0</v>
      </c>
      <c r="W4" s="47">
        <v>0.0</v>
      </c>
      <c r="X4" s="47">
        <v>0.0</v>
      </c>
      <c r="Y4" s="47">
        <v>0.0</v>
      </c>
      <c r="Z4" s="50">
        <v>5.0</v>
      </c>
      <c r="AA4" s="29">
        <f>'Raw Values'!N4</f>
        <v>1</v>
      </c>
    </row>
    <row r="5" ht="15.75" customHeight="1">
      <c r="A5" s="64" t="s">
        <v>123</v>
      </c>
      <c r="B5" s="23">
        <v>0.0</v>
      </c>
      <c r="C5" s="26">
        <f>'Raw Values'!J5</f>
        <v>500</v>
      </c>
      <c r="D5" s="26">
        <f>'Raw Values'!G5</f>
        <v>300</v>
      </c>
      <c r="E5" s="29">
        <f>'Raw Values'!C5</f>
        <v>32</v>
      </c>
      <c r="F5" s="31">
        <f>SUM('Raw Values'!B5/2)</f>
        <v>0.9115</v>
      </c>
      <c r="G5" s="34">
        <f>SUM(60/'Raw Values'!E5)</f>
        <v>400</v>
      </c>
      <c r="H5" s="36">
        <f>'Raw Values'!F5</f>
        <v>1</v>
      </c>
      <c r="I5" s="29">
        <f>'Raw Values'!I5</f>
        <v>20</v>
      </c>
      <c r="J5" s="29">
        <v>100.0</v>
      </c>
      <c r="K5" s="29">
        <f>'Raw Values'!H5</f>
        <v>240</v>
      </c>
      <c r="L5" s="36">
        <f>SUM(1-'Raw Values'!P5)</f>
        <v>0.5</v>
      </c>
      <c r="M5" s="40">
        <f>'Raw Values'!K5</f>
        <v>4096</v>
      </c>
      <c r="N5" s="29" t="s">
        <v>116</v>
      </c>
      <c r="O5" s="45">
        <f>'Raw Values'!AF5</f>
        <v>25</v>
      </c>
      <c r="P5" s="29">
        <f>'Raw Values'!AE5</f>
        <v>5</v>
      </c>
      <c r="Q5" s="47">
        <v>0.0</v>
      </c>
      <c r="R5" s="47">
        <v>0.0</v>
      </c>
      <c r="S5" s="47">
        <v>0.0</v>
      </c>
      <c r="T5" s="47">
        <v>0.0</v>
      </c>
      <c r="U5" s="47">
        <v>0.0</v>
      </c>
      <c r="V5" s="47">
        <v>0.0</v>
      </c>
      <c r="W5" s="47">
        <v>0.0</v>
      </c>
      <c r="X5" s="47">
        <v>0.0</v>
      </c>
      <c r="Y5" s="47">
        <v>0.0</v>
      </c>
      <c r="Z5" s="50">
        <v>5.0</v>
      </c>
      <c r="AA5" s="29">
        <f>'Raw Values'!N5</f>
        <v>1</v>
      </c>
    </row>
    <row r="6" ht="15.75" customHeight="1">
      <c r="A6" s="68" t="s">
        <v>126</v>
      </c>
      <c r="B6" s="23">
        <v>0.0</v>
      </c>
      <c r="C6" s="26">
        <f>'Raw Values'!J6</f>
        <v>200</v>
      </c>
      <c r="D6" s="26">
        <f>'Raw Values'!G6</f>
        <v>300</v>
      </c>
      <c r="E6" s="29">
        <f>'Raw Values'!C6</f>
        <v>30</v>
      </c>
      <c r="F6" s="31">
        <f>SUM('Raw Values'!B6/2)</f>
        <v>0.47</v>
      </c>
      <c r="G6" s="34">
        <f>SUM(60/'Raw Values'!E6)</f>
        <v>400</v>
      </c>
      <c r="H6" s="36">
        <f>'Raw Values'!F6</f>
        <v>1</v>
      </c>
      <c r="I6" s="29">
        <f>'Raw Values'!I6</f>
        <v>20</v>
      </c>
      <c r="J6" s="29">
        <v>120.0</v>
      </c>
      <c r="K6" s="29">
        <f>'Raw Values'!H6</f>
        <v>240</v>
      </c>
      <c r="L6" s="36">
        <f>SUM(1-'Raw Values'!P6)</f>
        <v>0.5</v>
      </c>
      <c r="M6" s="40">
        <f>'Raw Values'!K6</f>
        <v>4096</v>
      </c>
      <c r="N6" s="29" t="s">
        <v>116</v>
      </c>
      <c r="O6" s="45">
        <f>'Raw Values'!AF6</f>
        <v>18</v>
      </c>
      <c r="P6" s="29">
        <f>'Raw Values'!AE6</f>
        <v>20</v>
      </c>
      <c r="Q6" s="47">
        <v>0.0</v>
      </c>
      <c r="R6" s="47">
        <v>0.0</v>
      </c>
      <c r="S6" s="47">
        <v>0.0</v>
      </c>
      <c r="T6" s="47">
        <v>0.0</v>
      </c>
      <c r="U6" s="47">
        <v>0.0</v>
      </c>
      <c r="V6" s="47">
        <v>0.0</v>
      </c>
      <c r="W6" s="47">
        <v>0.0</v>
      </c>
      <c r="X6" s="47">
        <v>0.0</v>
      </c>
      <c r="Y6" s="47">
        <v>0.0</v>
      </c>
      <c r="Z6" s="50">
        <v>5.0</v>
      </c>
      <c r="AA6" s="29">
        <f>'Raw Values'!N6</f>
        <v>1</v>
      </c>
    </row>
    <row r="7" ht="15.75" customHeight="1">
      <c r="A7" s="64" t="s">
        <v>128</v>
      </c>
      <c r="B7" s="23">
        <v>0.0</v>
      </c>
      <c r="C7" s="26">
        <f>'Raw Values'!J7</f>
        <v>200</v>
      </c>
      <c r="D7" s="26">
        <f>'Raw Values'!G7</f>
        <v>300</v>
      </c>
      <c r="E7" s="29">
        <f>'Raw Values'!C7</f>
        <v>35</v>
      </c>
      <c r="F7" s="31">
        <f>SUM('Raw Values'!B7/2)</f>
        <v>0.505</v>
      </c>
      <c r="G7" s="34">
        <f>SUM(60/'Raw Values'!E7)</f>
        <v>352.9411765</v>
      </c>
      <c r="H7" s="36">
        <f>'Raw Values'!F7</f>
        <v>1</v>
      </c>
      <c r="I7" s="29">
        <f>'Raw Values'!I7</f>
        <v>13</v>
      </c>
      <c r="J7" s="29">
        <v>52.0</v>
      </c>
      <c r="K7" s="29">
        <f>'Raw Values'!H7</f>
        <v>240</v>
      </c>
      <c r="L7" s="36">
        <f>SUM(1-'Raw Values'!P7)</f>
        <v>0.5</v>
      </c>
      <c r="M7" s="40">
        <f>'Raw Values'!K7</f>
        <v>4096</v>
      </c>
      <c r="N7" s="29" t="s">
        <v>116</v>
      </c>
      <c r="O7" s="45">
        <f>'Raw Values'!AF7</f>
        <v>26</v>
      </c>
      <c r="P7" s="29">
        <f>'Raw Values'!AE7</f>
        <v>0</v>
      </c>
      <c r="Q7" s="47">
        <v>0.0</v>
      </c>
      <c r="R7" s="47">
        <v>0.0</v>
      </c>
      <c r="S7" s="47">
        <v>0.0</v>
      </c>
      <c r="T7" s="47">
        <v>0.0</v>
      </c>
      <c r="U7" s="47">
        <v>0.0</v>
      </c>
      <c r="V7" s="47">
        <v>0.0</v>
      </c>
      <c r="W7" s="47">
        <v>0.0</v>
      </c>
      <c r="X7" s="47">
        <v>0.0</v>
      </c>
      <c r="Y7" s="47">
        <v>0.0</v>
      </c>
      <c r="Z7" s="50">
        <v>5.0</v>
      </c>
      <c r="AA7" s="29">
        <f>'Raw Values'!N7</f>
        <v>1</v>
      </c>
    </row>
    <row r="8" ht="15.75" customHeight="1">
      <c r="A8" s="73" t="s">
        <v>130</v>
      </c>
      <c r="B8" s="23">
        <v>0.0</v>
      </c>
      <c r="C8" s="26">
        <f>'Raw Values'!J8</f>
        <v>200</v>
      </c>
      <c r="D8" s="26">
        <f>'Raw Values'!G8</f>
        <v>300</v>
      </c>
      <c r="E8" s="29">
        <f>'Raw Values'!C8</f>
        <v>35</v>
      </c>
      <c r="F8" s="31">
        <f>SUM('Raw Values'!B8/2)</f>
        <v>0.505</v>
      </c>
      <c r="G8" s="34">
        <f>SUM(60/'Raw Values'!E8)</f>
        <v>352.9411765</v>
      </c>
      <c r="H8" s="36">
        <f>'Raw Values'!F8</f>
        <v>1</v>
      </c>
      <c r="I8" s="29">
        <f>'Raw Values'!I8</f>
        <v>12</v>
      </c>
      <c r="J8" s="29">
        <v>24.0</v>
      </c>
      <c r="K8" s="29">
        <f>'Raw Values'!H8</f>
        <v>240</v>
      </c>
      <c r="L8" s="36">
        <f>SUM(1-'Raw Values'!P8)</f>
        <v>0.5</v>
      </c>
      <c r="M8" s="40">
        <f>'Raw Values'!K8</f>
        <v>4096</v>
      </c>
      <c r="N8" s="29" t="s">
        <v>116</v>
      </c>
      <c r="O8" s="45">
        <f>'Raw Values'!AF8</f>
        <v>29</v>
      </c>
      <c r="P8" s="29">
        <f>'Raw Values'!AE8</f>
        <v>0</v>
      </c>
      <c r="Q8" s="47">
        <v>0.0</v>
      </c>
      <c r="R8" s="47">
        <v>0.0</v>
      </c>
      <c r="S8" s="47">
        <v>0.0</v>
      </c>
      <c r="T8" s="47">
        <v>0.0</v>
      </c>
      <c r="U8" s="47">
        <v>0.0</v>
      </c>
      <c r="V8" s="47">
        <v>0.0</v>
      </c>
      <c r="W8" s="47">
        <v>0.0</v>
      </c>
      <c r="X8" s="47">
        <v>0.0</v>
      </c>
      <c r="Y8" s="47">
        <v>0.0</v>
      </c>
      <c r="Z8" s="50">
        <v>5.0</v>
      </c>
      <c r="AA8" s="29">
        <f>'Raw Values'!N8</f>
        <v>1</v>
      </c>
    </row>
    <row r="9" ht="15.75" customHeight="1">
      <c r="A9" s="54" t="s">
        <v>133</v>
      </c>
      <c r="B9" s="23">
        <v>0.0</v>
      </c>
      <c r="C9" s="26">
        <f>'Raw Values'!J9</f>
        <v>300</v>
      </c>
      <c r="D9" s="26">
        <f>'Raw Values'!G9</f>
        <v>300</v>
      </c>
      <c r="E9" s="29">
        <f>'Raw Values'!C9</f>
        <v>38</v>
      </c>
      <c r="F9" s="31">
        <f>SUM('Raw Values'!B9/2)</f>
        <v>0.64</v>
      </c>
      <c r="G9" s="34">
        <f>SUM(60/'Raw Values'!E9)</f>
        <v>400</v>
      </c>
      <c r="H9" s="36">
        <f>'Raw Values'!F9</f>
        <v>1</v>
      </c>
      <c r="I9" s="29">
        <f>'Raw Values'!I9</f>
        <v>13</v>
      </c>
      <c r="J9" s="29">
        <v>26.0</v>
      </c>
      <c r="K9" s="29">
        <f>'Raw Values'!H9</f>
        <v>240</v>
      </c>
      <c r="L9" s="36">
        <f>SUM(1-'Raw Values'!P9)</f>
        <v>0.5</v>
      </c>
      <c r="M9" s="40">
        <f>'Raw Values'!K9</f>
        <v>4096</v>
      </c>
      <c r="N9" s="29" t="s">
        <v>116</v>
      </c>
      <c r="O9" s="45">
        <f>'Raw Values'!AF9</f>
        <v>26</v>
      </c>
      <c r="P9" s="29">
        <f>'Raw Values'!AE9</f>
        <v>10</v>
      </c>
      <c r="Q9" s="47">
        <v>0.0</v>
      </c>
      <c r="R9" s="47">
        <v>0.0</v>
      </c>
      <c r="S9" s="47">
        <v>0.0</v>
      </c>
      <c r="T9" s="47">
        <v>0.0</v>
      </c>
      <c r="U9" s="47">
        <v>0.0</v>
      </c>
      <c r="V9" s="47">
        <v>0.0</v>
      </c>
      <c r="W9" s="47">
        <v>0.0</v>
      </c>
      <c r="X9" s="47">
        <v>0.0</v>
      </c>
      <c r="Y9" s="47">
        <v>0.0</v>
      </c>
      <c r="Z9" s="50">
        <v>5.0</v>
      </c>
      <c r="AA9" s="29">
        <f>'Raw Values'!N9</f>
        <v>1</v>
      </c>
    </row>
    <row r="10" ht="15.75" customHeight="1">
      <c r="A10" s="54" t="s">
        <v>134</v>
      </c>
      <c r="B10" s="23">
        <v>0.0</v>
      </c>
      <c r="C10" s="26">
        <f>'Raw Values'!J10</f>
        <v>500</v>
      </c>
      <c r="D10" s="26">
        <f>'Raw Values'!G10</f>
        <v>100</v>
      </c>
      <c r="E10" s="29">
        <f>'Raw Values'!C10</f>
        <v>31</v>
      </c>
      <c r="F10" s="31">
        <f>SUM('Raw Values'!B10/2)</f>
        <v>0.7765</v>
      </c>
      <c r="G10" s="34">
        <f>SUM(60/'Raw Values'!E10)</f>
        <v>600</v>
      </c>
      <c r="H10" s="36">
        <f>'Raw Values'!F10</f>
        <v>1</v>
      </c>
      <c r="I10" s="29">
        <f>'Raw Values'!I10</f>
        <v>12</v>
      </c>
      <c r="J10" s="29">
        <v>12.0</v>
      </c>
      <c r="K10" s="29">
        <f>'Raw Values'!H10</f>
        <v>240</v>
      </c>
      <c r="L10" s="36">
        <f>SUM(1-'Raw Values'!P10)</f>
        <v>0.5</v>
      </c>
      <c r="M10" s="40">
        <f>'Raw Values'!K10</f>
        <v>4096</v>
      </c>
      <c r="N10" s="29" t="s">
        <v>119</v>
      </c>
      <c r="O10" s="45">
        <f>'Raw Values'!AF10</f>
        <v>31</v>
      </c>
      <c r="P10" s="29">
        <f>'Raw Values'!AE10</f>
        <v>120</v>
      </c>
      <c r="Q10" s="47">
        <v>0.0</v>
      </c>
      <c r="R10" s="47">
        <v>0.0</v>
      </c>
      <c r="S10" s="47">
        <v>0.0</v>
      </c>
      <c r="T10" s="47">
        <v>0.0</v>
      </c>
      <c r="U10" s="47">
        <v>0.0</v>
      </c>
      <c r="V10" s="47">
        <v>0.0</v>
      </c>
      <c r="W10" s="47">
        <v>0.0</v>
      </c>
      <c r="X10" s="47">
        <v>0.0</v>
      </c>
      <c r="Y10" s="47">
        <v>0.0</v>
      </c>
      <c r="Z10" s="50">
        <v>5.0</v>
      </c>
      <c r="AA10" s="29">
        <f>'Raw Values'!N10</f>
        <v>1</v>
      </c>
    </row>
    <row r="11" ht="15.75" customHeight="1">
      <c r="A11" s="85" t="s">
        <v>136</v>
      </c>
      <c r="B11" s="23">
        <v>0.0</v>
      </c>
      <c r="C11" s="26">
        <f>'Raw Values'!J11</f>
        <v>500</v>
      </c>
      <c r="D11" s="26">
        <f>'Raw Values'!G11</f>
        <v>300</v>
      </c>
      <c r="E11" s="29">
        <f>'Raw Values'!C11</f>
        <v>33</v>
      </c>
      <c r="F11" s="31">
        <f>SUM('Raw Values'!B11/2)</f>
        <v>0.906</v>
      </c>
      <c r="G11" s="34">
        <f>SUM(60/'Raw Values'!E11)</f>
        <v>500</v>
      </c>
      <c r="H11" s="36">
        <f>'Raw Values'!F11</f>
        <v>1</v>
      </c>
      <c r="I11" s="29">
        <f>'Raw Values'!I11</f>
        <v>18</v>
      </c>
      <c r="J11" s="29">
        <v>90.0</v>
      </c>
      <c r="K11" s="29">
        <f>'Raw Values'!H11</f>
        <v>240</v>
      </c>
      <c r="L11" s="36">
        <f>SUM(1-'Raw Values'!P11)</f>
        <v>0.5</v>
      </c>
      <c r="M11" s="40">
        <f>'Raw Values'!K11</f>
        <v>4096</v>
      </c>
      <c r="N11" s="29" t="s">
        <v>116</v>
      </c>
      <c r="O11" s="45">
        <f>'Raw Values'!AF11</f>
        <v>23</v>
      </c>
      <c r="P11" s="29">
        <f>'Raw Values'!AE11</f>
        <v>60</v>
      </c>
      <c r="Q11" s="47">
        <v>0.0</v>
      </c>
      <c r="R11" s="47">
        <v>0.0</v>
      </c>
      <c r="S11" s="47">
        <v>0.0</v>
      </c>
      <c r="T11" s="47">
        <v>0.0</v>
      </c>
      <c r="U11" s="47">
        <v>0.0</v>
      </c>
      <c r="V11" s="47">
        <v>0.0</v>
      </c>
      <c r="W11" s="47">
        <v>0.0</v>
      </c>
      <c r="X11" s="47">
        <v>0.0</v>
      </c>
      <c r="Y11" s="47">
        <v>0.0</v>
      </c>
      <c r="Z11" s="50">
        <v>5.0</v>
      </c>
      <c r="AA11" s="29">
        <f>'Raw Values'!N11</f>
        <v>1</v>
      </c>
    </row>
    <row r="12" ht="15.75" customHeight="1">
      <c r="A12" s="89" t="s">
        <v>139</v>
      </c>
      <c r="B12" s="23">
        <v>1.0</v>
      </c>
      <c r="C12" s="26">
        <f>'Raw Values'!J14</f>
        <v>1300</v>
      </c>
      <c r="D12" s="26">
        <f>'Raw Values'!G14</f>
        <v>900</v>
      </c>
      <c r="E12" s="29">
        <f>'Raw Values'!C14</f>
        <v>30</v>
      </c>
      <c r="F12" s="31">
        <f>SUM('Raw Values'!B14/2)</f>
        <v>0.75</v>
      </c>
      <c r="G12" s="34">
        <f>SUM(60/'Raw Values'!E14)</f>
        <v>70.58823529</v>
      </c>
      <c r="H12" s="36">
        <f>'Raw Values'!F14</f>
        <v>1</v>
      </c>
      <c r="I12" s="29">
        <f>'Raw Values'!I14</f>
        <v>5</v>
      </c>
      <c r="J12" s="29">
        <v>32.0</v>
      </c>
      <c r="K12" s="29">
        <f>'Raw Values'!H14</f>
        <v>225</v>
      </c>
      <c r="L12" s="36">
        <f>SUM(1-'Raw Values'!P14)</f>
        <v>0.6</v>
      </c>
      <c r="M12" s="40">
        <f>'Raw Values'!K14</f>
        <v>1400</v>
      </c>
      <c r="N12" s="29" t="s">
        <v>116</v>
      </c>
      <c r="O12" s="45">
        <f>'Raw Values'!AF14</f>
        <v>165</v>
      </c>
      <c r="P12" s="29">
        <f>'Raw Values'!AE14</f>
        <v>20</v>
      </c>
      <c r="Q12" s="47">
        <v>0.0</v>
      </c>
      <c r="R12" s="47">
        <v>0.0</v>
      </c>
      <c r="S12" s="47">
        <v>0.0</v>
      </c>
      <c r="T12" s="47">
        <v>0.0</v>
      </c>
      <c r="U12" s="47">
        <v>0.0</v>
      </c>
      <c r="V12" s="47">
        <v>0.0</v>
      </c>
      <c r="W12" s="47">
        <v>0.0</v>
      </c>
      <c r="X12" s="47">
        <v>0.0</v>
      </c>
      <c r="Y12" s="47">
        <v>0.0</v>
      </c>
      <c r="Z12" s="50">
        <v>5.0</v>
      </c>
      <c r="AA12" s="29">
        <f>'Raw Values'!N14</f>
        <v>8</v>
      </c>
    </row>
    <row r="13" ht="15.75" customHeight="1">
      <c r="A13" s="54" t="s">
        <v>141</v>
      </c>
      <c r="B13" s="23">
        <v>1.0</v>
      </c>
      <c r="C13" s="26">
        <f>'Raw Values'!J15</f>
        <v>1050</v>
      </c>
      <c r="D13" s="26">
        <f>'Raw Values'!G15</f>
        <v>900</v>
      </c>
      <c r="E13" s="29">
        <f>'Raw Values'!C15</f>
        <v>26</v>
      </c>
      <c r="F13" s="31">
        <f>SUM('Raw Values'!B15/2)</f>
        <v>0.5</v>
      </c>
      <c r="G13" s="34">
        <f>SUM(60/'Raw Values'!E15)</f>
        <v>68.18181818</v>
      </c>
      <c r="H13" s="36">
        <f>'Raw Values'!F15</f>
        <v>1</v>
      </c>
      <c r="I13" s="29">
        <f>'Raw Values'!I15</f>
        <v>8</v>
      </c>
      <c r="J13" s="29">
        <v>32.0</v>
      </c>
      <c r="K13" s="29">
        <f>'Raw Values'!H15</f>
        <v>220</v>
      </c>
      <c r="L13" s="36">
        <f>SUM(1-'Raw Values'!P15)</f>
        <v>0.6</v>
      </c>
      <c r="M13" s="40">
        <f>'Raw Values'!K15</f>
        <v>3000</v>
      </c>
      <c r="N13" s="29" t="s">
        <v>116</v>
      </c>
      <c r="O13" s="45">
        <f>'Raw Values'!AF15</f>
        <v>143</v>
      </c>
      <c r="P13" s="29">
        <f>'Raw Values'!AE15</f>
        <v>20</v>
      </c>
      <c r="Q13" s="47">
        <v>0.0</v>
      </c>
      <c r="R13" s="47">
        <v>0.0</v>
      </c>
      <c r="S13" s="47">
        <v>0.0</v>
      </c>
      <c r="T13" s="47">
        <v>0.0</v>
      </c>
      <c r="U13" s="47">
        <v>0.0</v>
      </c>
      <c r="V13" s="47">
        <v>0.0</v>
      </c>
      <c r="W13" s="47">
        <v>0.0</v>
      </c>
      <c r="X13" s="47">
        <v>0.0</v>
      </c>
      <c r="Y13" s="47">
        <v>0.0</v>
      </c>
      <c r="Z13" s="50">
        <v>5.0</v>
      </c>
      <c r="AA13" s="29">
        <f>'Raw Values'!N15</f>
        <v>9</v>
      </c>
    </row>
    <row r="14" ht="15.75" customHeight="1">
      <c r="A14" s="68" t="s">
        <v>144</v>
      </c>
      <c r="B14" s="23">
        <v>1.0</v>
      </c>
      <c r="C14" s="26">
        <f>'Raw Values'!J16</f>
        <v>1100</v>
      </c>
      <c r="D14" s="26">
        <f>'Raw Values'!G16</f>
        <v>900</v>
      </c>
      <c r="E14" s="29">
        <f>'Raw Values'!C16</f>
        <v>32</v>
      </c>
      <c r="F14" s="31">
        <f>SUM('Raw Values'!B16/2)</f>
        <v>0.75</v>
      </c>
      <c r="G14" s="34">
        <f>SUM(60/'Raw Values'!E16)</f>
        <v>70.58823529</v>
      </c>
      <c r="H14" s="36">
        <f>'Raw Values'!F16</f>
        <v>1</v>
      </c>
      <c r="I14" s="29">
        <f>'Raw Values'!I16</f>
        <v>7</v>
      </c>
      <c r="J14" s="29">
        <v>32.0</v>
      </c>
      <c r="K14" s="29">
        <f>'Raw Values'!H16</f>
        <v>210</v>
      </c>
      <c r="L14" s="36">
        <f>SUM(1-'Raw Values'!P16)</f>
        <v>0.6</v>
      </c>
      <c r="M14" s="40">
        <f>'Raw Values'!K16</f>
        <v>1400</v>
      </c>
      <c r="N14" s="29" t="s">
        <v>116</v>
      </c>
      <c r="O14" s="45">
        <f>'Raw Values'!AF16</f>
        <v>143</v>
      </c>
      <c r="P14" s="29">
        <f>'Raw Values'!AE16</f>
        <v>20</v>
      </c>
      <c r="Q14" s="47">
        <v>0.0</v>
      </c>
      <c r="R14" s="47">
        <v>0.0</v>
      </c>
      <c r="S14" s="47">
        <v>0.0</v>
      </c>
      <c r="T14" s="47">
        <v>0.0</v>
      </c>
      <c r="U14" s="47">
        <v>0.0</v>
      </c>
      <c r="V14" s="47">
        <v>0.0</v>
      </c>
      <c r="W14" s="47">
        <v>0.0</v>
      </c>
      <c r="X14" s="47">
        <v>0.0</v>
      </c>
      <c r="Y14" s="47">
        <v>0.0</v>
      </c>
      <c r="Z14" s="50">
        <v>5.0</v>
      </c>
      <c r="AA14" s="29">
        <f>'Raw Values'!N16</f>
        <v>8</v>
      </c>
    </row>
    <row r="15" ht="15.75" customHeight="1">
      <c r="A15" s="91" t="s">
        <v>146</v>
      </c>
      <c r="B15" s="23">
        <v>1.0</v>
      </c>
      <c r="C15" s="26">
        <f>'Raw Values'!J17</f>
        <v>2000</v>
      </c>
      <c r="D15" s="26">
        <f>'Raw Values'!G17</f>
        <v>900</v>
      </c>
      <c r="E15" s="29">
        <f>'Raw Values'!C17</f>
        <v>20</v>
      </c>
      <c r="F15" s="31">
        <f>SUM('Raw Values'!B17/2)</f>
        <v>0.8</v>
      </c>
      <c r="G15" s="34">
        <f>SUM(60/'Raw Values'!E17)</f>
        <v>171.4285714</v>
      </c>
      <c r="H15" s="36">
        <f>'Raw Values'!F17</f>
        <v>1</v>
      </c>
      <c r="I15" s="29">
        <f>'Raw Values'!I17</f>
        <v>7</v>
      </c>
      <c r="J15" s="29">
        <v>32.0</v>
      </c>
      <c r="K15" s="29">
        <f>'Raw Values'!H17</f>
        <v>215</v>
      </c>
      <c r="L15" s="36">
        <f>SUM(1-'Raw Values'!P17)</f>
        <v>0.6</v>
      </c>
      <c r="M15" s="40">
        <f>'Raw Values'!K17</f>
        <v>3000</v>
      </c>
      <c r="N15" s="29" t="s">
        <v>119</v>
      </c>
      <c r="O15" s="45">
        <f>'Raw Values'!AF17</f>
        <v>80</v>
      </c>
      <c r="P15" s="29">
        <f>'Raw Values'!AE17</f>
        <v>20</v>
      </c>
      <c r="Q15" s="47">
        <v>0.0</v>
      </c>
      <c r="R15" s="47">
        <v>0.0</v>
      </c>
      <c r="S15" s="47">
        <v>0.0</v>
      </c>
      <c r="T15" s="47">
        <v>0.0</v>
      </c>
      <c r="U15" s="47">
        <v>0.0</v>
      </c>
      <c r="V15" s="47">
        <v>0.0</v>
      </c>
      <c r="W15" s="47">
        <v>0.0</v>
      </c>
      <c r="X15" s="47">
        <v>0.0</v>
      </c>
      <c r="Y15" s="47">
        <v>0.0</v>
      </c>
      <c r="Z15" s="50">
        <v>5.0</v>
      </c>
      <c r="AA15" s="29">
        <f>'Raw Values'!N17</f>
        <v>6</v>
      </c>
    </row>
    <row r="16" ht="15.75" customHeight="1">
      <c r="A16" s="20" t="s">
        <v>149</v>
      </c>
      <c r="B16" s="23">
        <v>2.0</v>
      </c>
      <c r="C16" s="26">
        <f>'Raw Values'!J20</f>
        <v>1400</v>
      </c>
      <c r="D16" s="26">
        <f>'Raw Values'!G20</f>
        <v>600</v>
      </c>
      <c r="E16" s="29">
        <f>'Raw Values'!C20</f>
        <v>27</v>
      </c>
      <c r="F16" s="31">
        <f>SUM('Raw Values'!B20/2)</f>
        <v>0.575</v>
      </c>
      <c r="G16" s="34">
        <f>SUM(60/'Raw Values'!E20)</f>
        <v>750</v>
      </c>
      <c r="H16" s="36">
        <f>'Raw Values'!F20</f>
        <v>1</v>
      </c>
      <c r="I16" s="29">
        <f>'Raw Values'!I20</f>
        <v>64</v>
      </c>
      <c r="J16" s="29">
        <v>120.0</v>
      </c>
      <c r="K16" s="29">
        <f>'Raw Values'!H20</f>
        <v>240</v>
      </c>
      <c r="L16" s="36">
        <f>SUM(1-'Raw Values'!P20)</f>
        <v>1</v>
      </c>
      <c r="M16" s="40">
        <f>'Raw Values'!K20</f>
        <v>3600</v>
      </c>
      <c r="N16" s="29" t="s">
        <v>119</v>
      </c>
      <c r="O16" s="45">
        <f>'Raw Values'!AF20</f>
        <v>18</v>
      </c>
      <c r="P16" s="29">
        <f>'Raw Values'!AE20</f>
        <v>70</v>
      </c>
      <c r="Q16" s="47">
        <v>0.0</v>
      </c>
      <c r="R16" s="47">
        <v>0.0</v>
      </c>
      <c r="S16" s="47">
        <v>0.0</v>
      </c>
      <c r="T16" s="47">
        <v>0.0</v>
      </c>
      <c r="U16" s="47">
        <v>0.0</v>
      </c>
      <c r="V16" s="47">
        <v>0.0</v>
      </c>
      <c r="W16" s="47">
        <v>0.0</v>
      </c>
      <c r="X16" s="47">
        <v>0.0</v>
      </c>
      <c r="Y16" s="47">
        <v>0.0</v>
      </c>
      <c r="Z16" s="50">
        <v>5.0</v>
      </c>
      <c r="AA16" s="29">
        <f>'Raw Values'!N20</f>
        <v>1</v>
      </c>
    </row>
    <row r="17" ht="15.75" customHeight="1">
      <c r="A17" s="68" t="s">
        <v>151</v>
      </c>
      <c r="B17" s="23">
        <v>2.0</v>
      </c>
      <c r="C17" s="26">
        <f>'Raw Values'!J21</f>
        <v>1050</v>
      </c>
      <c r="D17" s="26">
        <f>'Raw Values'!G21</f>
        <v>600</v>
      </c>
      <c r="E17" s="29">
        <f>'Raw Values'!C21</f>
        <v>29</v>
      </c>
      <c r="F17" s="31">
        <f>SUM('Raw Values'!B21/2)</f>
        <v>0.575</v>
      </c>
      <c r="G17" s="34">
        <f>SUM(60/'Raw Values'!E21)</f>
        <v>800</v>
      </c>
      <c r="H17" s="36">
        <f>'Raw Values'!F21</f>
        <v>1</v>
      </c>
      <c r="I17" s="29">
        <f>'Raw Values'!I21</f>
        <v>30</v>
      </c>
      <c r="J17" s="29">
        <v>100.0</v>
      </c>
      <c r="K17" s="29">
        <f>'Raw Values'!H21</f>
        <v>240</v>
      </c>
      <c r="L17" s="36">
        <f>SUM(1-'Raw Values'!P21)</f>
        <v>1</v>
      </c>
      <c r="M17" s="40">
        <f>'Raw Values'!K21</f>
        <v>3600</v>
      </c>
      <c r="N17" s="29" t="s">
        <v>119</v>
      </c>
      <c r="O17" s="45">
        <f>'Raw Values'!AF21</f>
        <v>18</v>
      </c>
      <c r="P17" s="29">
        <f>'Raw Values'!AE21</f>
        <v>70</v>
      </c>
      <c r="Q17" s="47">
        <v>0.0</v>
      </c>
      <c r="R17" s="47">
        <v>0.0</v>
      </c>
      <c r="S17" s="47">
        <v>0.0</v>
      </c>
      <c r="T17" s="47">
        <v>0.0</v>
      </c>
      <c r="U17" s="47">
        <v>0.0</v>
      </c>
      <c r="V17" s="47">
        <v>0.0</v>
      </c>
      <c r="W17" s="47">
        <v>0.0</v>
      </c>
      <c r="X17" s="47">
        <v>0.0</v>
      </c>
      <c r="Y17" s="47">
        <v>0.0</v>
      </c>
      <c r="Z17" s="50">
        <v>5.0</v>
      </c>
      <c r="AA17" s="29">
        <f>'Raw Values'!N21</f>
        <v>1</v>
      </c>
    </row>
    <row r="18" ht="15.75" customHeight="1">
      <c r="A18" s="54" t="s">
        <v>153</v>
      </c>
      <c r="B18" s="23">
        <v>2.0</v>
      </c>
      <c r="C18" s="26">
        <f>'Raw Values'!J22</f>
        <v>1500</v>
      </c>
      <c r="D18" s="26">
        <f>'Raw Values'!G22</f>
        <v>600</v>
      </c>
      <c r="E18" s="29">
        <f>'Raw Values'!C22</f>
        <v>29</v>
      </c>
      <c r="F18" s="31">
        <f>SUM('Raw Values'!B22/2)</f>
        <v>0.625</v>
      </c>
      <c r="G18" s="34">
        <f>SUM(60/'Raw Values'!E22)</f>
        <v>750</v>
      </c>
      <c r="H18" s="36">
        <f>'Raw Values'!F22</f>
        <v>1</v>
      </c>
      <c r="I18" s="29">
        <f>'Raw Values'!I22</f>
        <v>30</v>
      </c>
      <c r="J18" s="29">
        <v>120.0</v>
      </c>
      <c r="K18" s="29">
        <f>'Raw Values'!H22</f>
        <v>220</v>
      </c>
      <c r="L18" s="36">
        <f>SUM(1-'Raw Values'!P22)</f>
        <v>1</v>
      </c>
      <c r="M18" s="40">
        <f>'Raw Values'!K22</f>
        <v>3600</v>
      </c>
      <c r="N18" s="29" t="s">
        <v>119</v>
      </c>
      <c r="O18" s="45">
        <f>'Raw Values'!AF22</f>
        <v>16</v>
      </c>
      <c r="P18" s="29">
        <f>'Raw Values'!AE22</f>
        <v>70</v>
      </c>
      <c r="Q18" s="47">
        <v>0.0</v>
      </c>
      <c r="R18" s="47">
        <v>0.0</v>
      </c>
      <c r="S18" s="47">
        <v>0.0</v>
      </c>
      <c r="T18" s="47">
        <v>0.0</v>
      </c>
      <c r="U18" s="47">
        <v>0.0</v>
      </c>
      <c r="V18" s="47">
        <v>0.0</v>
      </c>
      <c r="W18" s="47">
        <v>0.0</v>
      </c>
      <c r="X18" s="47">
        <v>0.0</v>
      </c>
      <c r="Y18" s="47">
        <v>0.0</v>
      </c>
      <c r="Z18" s="50">
        <v>5.0</v>
      </c>
      <c r="AA18" s="29">
        <f>'Raw Values'!N22</f>
        <v>1</v>
      </c>
    </row>
    <row r="19" ht="15.75" customHeight="1">
      <c r="A19" s="54" t="s">
        <v>155</v>
      </c>
      <c r="B19" s="23">
        <v>2.0</v>
      </c>
      <c r="C19" s="26">
        <f>'Raw Values'!J23</f>
        <v>1500</v>
      </c>
      <c r="D19" s="26">
        <f>'Raw Values'!G23</f>
        <v>600</v>
      </c>
      <c r="E19" s="29">
        <f>'Raw Values'!C23</f>
        <v>27</v>
      </c>
      <c r="F19" s="31">
        <f>SUM('Raw Values'!B23/2)</f>
        <v>0.625</v>
      </c>
      <c r="G19" s="34">
        <f>SUM(60/'Raw Values'!E23)</f>
        <v>750</v>
      </c>
      <c r="H19" s="36">
        <f>'Raw Values'!F23</f>
        <v>1</v>
      </c>
      <c r="I19" s="29">
        <f>'Raw Values'!I23</f>
        <v>30</v>
      </c>
      <c r="J19" s="29">
        <v>120.0</v>
      </c>
      <c r="K19" s="29">
        <f>'Raw Values'!H23</f>
        <v>235</v>
      </c>
      <c r="L19" s="36">
        <f>SUM(1-'Raw Values'!P23)</f>
        <v>1</v>
      </c>
      <c r="M19" s="40">
        <f>'Raw Values'!K23</f>
        <v>3600</v>
      </c>
      <c r="N19" s="29" t="s">
        <v>119</v>
      </c>
      <c r="O19" s="45">
        <f>'Raw Values'!AF23</f>
        <v>16</v>
      </c>
      <c r="P19" s="29">
        <f>'Raw Values'!AE23</f>
        <v>70</v>
      </c>
      <c r="Q19" s="47">
        <v>0.0</v>
      </c>
      <c r="R19" s="47">
        <v>0.0</v>
      </c>
      <c r="S19" s="47">
        <v>0.0</v>
      </c>
      <c r="T19" s="47">
        <v>0.0</v>
      </c>
      <c r="U19" s="47">
        <v>0.0</v>
      </c>
      <c r="V19" s="47">
        <v>0.0</v>
      </c>
      <c r="W19" s="47">
        <v>0.0</v>
      </c>
      <c r="X19" s="47">
        <v>0.0</v>
      </c>
      <c r="Y19" s="47">
        <v>0.0</v>
      </c>
      <c r="Z19" s="50">
        <v>5.0</v>
      </c>
      <c r="AA19" s="29">
        <f>'Raw Values'!N23</f>
        <v>1</v>
      </c>
    </row>
    <row r="20" ht="15.75" customHeight="1">
      <c r="A20" s="64" t="s">
        <v>157</v>
      </c>
      <c r="B20" s="23">
        <v>2.0</v>
      </c>
      <c r="C20" s="26">
        <f>'Raw Values'!J24</f>
        <v>1250</v>
      </c>
      <c r="D20" s="26">
        <f>'Raw Values'!G24</f>
        <v>600</v>
      </c>
      <c r="E20" s="29">
        <f>'Raw Values'!C24</f>
        <v>26</v>
      </c>
      <c r="F20" s="31">
        <f>SUM('Raw Values'!B24/2)</f>
        <v>0.6</v>
      </c>
      <c r="G20" s="34">
        <f>SUM(60/'Raw Values'!E24)</f>
        <v>857.1428571</v>
      </c>
      <c r="H20" s="36">
        <f>'Raw Values'!F24</f>
        <v>1</v>
      </c>
      <c r="I20" s="29">
        <f>'Raw Values'!I24</f>
        <v>30</v>
      </c>
      <c r="J20" s="29">
        <v>120.0</v>
      </c>
      <c r="K20" s="29">
        <f>'Raw Values'!H24</f>
        <v>240</v>
      </c>
      <c r="L20" s="36">
        <f>SUM(1-'Raw Values'!P24)</f>
        <v>1</v>
      </c>
      <c r="M20" s="40">
        <f>'Raw Values'!K24</f>
        <v>3600</v>
      </c>
      <c r="N20" s="29" t="s">
        <v>119</v>
      </c>
      <c r="O20" s="45">
        <f>'Raw Values'!AF24</f>
        <v>19</v>
      </c>
      <c r="P20" s="29">
        <f>'Raw Values'!AE24</f>
        <v>70</v>
      </c>
      <c r="Q20" s="47">
        <v>0.0</v>
      </c>
      <c r="R20" s="47">
        <v>0.0</v>
      </c>
      <c r="S20" s="47">
        <v>0.0</v>
      </c>
      <c r="T20" s="47">
        <v>0.0</v>
      </c>
      <c r="U20" s="47">
        <v>0.0</v>
      </c>
      <c r="V20" s="47">
        <v>0.0</v>
      </c>
      <c r="W20" s="47">
        <v>0.0</v>
      </c>
      <c r="X20" s="47">
        <v>0.0</v>
      </c>
      <c r="Y20" s="47">
        <v>0.0</v>
      </c>
      <c r="Z20" s="50">
        <v>5.0</v>
      </c>
      <c r="AA20" s="29">
        <f>'Raw Values'!N24</f>
        <v>1</v>
      </c>
    </row>
    <row r="21" ht="15.75" customHeight="1">
      <c r="A21" s="54" t="s">
        <v>159</v>
      </c>
      <c r="B21" s="23">
        <v>2.0</v>
      </c>
      <c r="C21" s="26">
        <f>'Raw Values'!J25</f>
        <v>2350</v>
      </c>
      <c r="D21" s="26">
        <f>'Raw Values'!G25</f>
        <v>300</v>
      </c>
      <c r="E21" s="29">
        <f>'Raw Values'!C25</f>
        <v>26</v>
      </c>
      <c r="F21" s="31">
        <f>SUM('Raw Values'!B25/2)</f>
        <v>0.69</v>
      </c>
      <c r="G21" s="34">
        <f>SUM(60/'Raw Values'!E25)</f>
        <v>857.1428571</v>
      </c>
      <c r="H21" s="36">
        <f>'Raw Values'!F25</f>
        <v>1</v>
      </c>
      <c r="I21" s="29">
        <f>'Raw Values'!I25</f>
        <v>50</v>
      </c>
      <c r="J21" s="29">
        <v>100.0</v>
      </c>
      <c r="K21" s="29">
        <f>'Raw Values'!H25</f>
        <v>230</v>
      </c>
      <c r="L21" s="36">
        <f>SUM(1-'Raw Values'!P25)</f>
        <v>1</v>
      </c>
      <c r="M21" s="40">
        <f>'Raw Values'!K25</f>
        <v>3700</v>
      </c>
      <c r="N21" s="29" t="s">
        <v>119</v>
      </c>
      <c r="O21" s="45">
        <f>'Raw Values'!AF25</f>
        <v>16</v>
      </c>
      <c r="P21" s="29">
        <f>'Raw Values'!AE25</f>
        <v>70</v>
      </c>
      <c r="Q21" s="47">
        <v>0.0</v>
      </c>
      <c r="R21" s="47">
        <v>0.0</v>
      </c>
      <c r="S21" s="47">
        <v>0.0</v>
      </c>
      <c r="T21" s="47">
        <v>0.0</v>
      </c>
      <c r="U21" s="47">
        <v>0.0</v>
      </c>
      <c r="V21" s="47">
        <v>0.0</v>
      </c>
      <c r="W21" s="47">
        <v>0.0</v>
      </c>
      <c r="X21" s="47">
        <v>0.0</v>
      </c>
      <c r="Y21" s="47">
        <v>0.0</v>
      </c>
      <c r="Z21" s="50">
        <v>5.0</v>
      </c>
      <c r="AA21" s="29">
        <f>'Raw Values'!N25</f>
        <v>1</v>
      </c>
    </row>
    <row r="22" ht="15.75" customHeight="1">
      <c r="A22" s="91" t="s">
        <v>162</v>
      </c>
      <c r="B22" s="23">
        <v>2.0</v>
      </c>
      <c r="C22" s="26">
        <f>'Raw Values'!J26</f>
        <v>1200</v>
      </c>
      <c r="D22" s="26">
        <f>'Raw Values'!G26</f>
        <v>600</v>
      </c>
      <c r="E22" s="29">
        <f>'Raw Values'!C26</f>
        <v>35</v>
      </c>
      <c r="F22" s="31">
        <f>SUM('Raw Values'!B26/2)</f>
        <v>0.65</v>
      </c>
      <c r="G22" s="34">
        <f>SUM(60/'Raw Values'!E26)</f>
        <v>666.6666667</v>
      </c>
      <c r="H22" s="36">
        <f>'Raw Values'!F26</f>
        <v>1</v>
      </c>
      <c r="I22" s="29">
        <f>'Raw Values'!I26</f>
        <v>25</v>
      </c>
      <c r="J22" s="29">
        <v>100.0</v>
      </c>
      <c r="K22" s="29">
        <f>'Raw Values'!H26</f>
        <v>230</v>
      </c>
      <c r="L22" s="36">
        <f>SUM(1-'Raw Values'!P26)</f>
        <v>1</v>
      </c>
      <c r="M22" s="40">
        <f>'Raw Values'!K26</f>
        <v>3700</v>
      </c>
      <c r="N22" s="29" t="s">
        <v>119</v>
      </c>
      <c r="O22" s="45">
        <f>'Raw Values'!AF26</f>
        <v>23</v>
      </c>
      <c r="P22" s="29">
        <f>'Raw Values'!AE26</f>
        <v>40</v>
      </c>
      <c r="Q22" s="47">
        <v>0.0</v>
      </c>
      <c r="R22" s="47">
        <v>0.0</v>
      </c>
      <c r="S22" s="47">
        <v>0.0</v>
      </c>
      <c r="T22" s="47">
        <v>0.0</v>
      </c>
      <c r="U22" s="47">
        <v>0.0</v>
      </c>
      <c r="V22" s="47">
        <v>0.0</v>
      </c>
      <c r="W22" s="47">
        <v>0.0</v>
      </c>
      <c r="X22" s="47">
        <v>0.0</v>
      </c>
      <c r="Y22" s="47">
        <v>0.0</v>
      </c>
      <c r="Z22" s="50">
        <v>5.0</v>
      </c>
      <c r="AA22" s="29">
        <f>'Raw Values'!N26</f>
        <v>1</v>
      </c>
    </row>
    <row r="23" ht="15.75" customHeight="1">
      <c r="A23" s="93" t="s">
        <v>163</v>
      </c>
      <c r="B23" s="23">
        <v>3.0</v>
      </c>
      <c r="C23" s="26">
        <f>'Raw Values'!J29</f>
        <v>2700</v>
      </c>
      <c r="D23" s="26">
        <f>'Raw Values'!G29</f>
        <v>300</v>
      </c>
      <c r="E23" s="29">
        <f>'Raw Values'!C29</f>
        <v>36</v>
      </c>
      <c r="F23" s="31">
        <f>SUM('Raw Values'!B29/2)</f>
        <v>0.775</v>
      </c>
      <c r="G23" s="34">
        <f>SUM(60/'Raw Values'!E29)</f>
        <v>600</v>
      </c>
      <c r="H23" s="36">
        <f>'Raw Values'!F29</f>
        <v>2</v>
      </c>
      <c r="I23" s="29">
        <f>'Raw Values'!I29</f>
        <v>30</v>
      </c>
      <c r="J23" s="29">
        <v>90.0</v>
      </c>
      <c r="K23" s="29">
        <f>'Raw Values'!H29</f>
        <v>215</v>
      </c>
      <c r="L23" s="36">
        <f>SUM(1-'Raw Values'!P29)</f>
        <v>0.6</v>
      </c>
      <c r="M23" s="40">
        <f>'Raw Values'!K29</f>
        <v>8192</v>
      </c>
      <c r="N23" s="29" t="s">
        <v>119</v>
      </c>
      <c r="O23" s="45">
        <f>'Raw Values'!AF29</f>
        <v>30</v>
      </c>
      <c r="P23" s="29">
        <f>'Raw Values'!AE29</f>
        <v>70</v>
      </c>
      <c r="Q23" s="47">
        <v>0.0</v>
      </c>
      <c r="R23" s="47">
        <v>0.0</v>
      </c>
      <c r="S23" s="47">
        <v>0.0</v>
      </c>
      <c r="T23" s="47">
        <v>0.0</v>
      </c>
      <c r="U23" s="47">
        <v>0.0</v>
      </c>
      <c r="V23" s="47">
        <v>0.0</v>
      </c>
      <c r="W23" s="47">
        <v>0.0</v>
      </c>
      <c r="X23" s="47">
        <v>0.0</v>
      </c>
      <c r="Y23" s="47">
        <v>0.0</v>
      </c>
      <c r="Z23" s="50">
        <v>5.0</v>
      </c>
      <c r="AA23" s="29">
        <f>'Raw Values'!N29</f>
        <v>1</v>
      </c>
    </row>
    <row r="24" ht="15.75" customHeight="1">
      <c r="A24" s="64" t="s">
        <v>167</v>
      </c>
      <c r="B24" s="23">
        <v>3.0</v>
      </c>
      <c r="C24" s="26">
        <f>'Raw Values'!J30</f>
        <v>3300</v>
      </c>
      <c r="D24" s="26">
        <f>'Raw Values'!G30</f>
        <v>300</v>
      </c>
      <c r="E24" s="29">
        <f>'Raw Values'!C30</f>
        <v>28</v>
      </c>
      <c r="F24" s="31">
        <f>SUM('Raw Values'!B30/2)</f>
        <v>0.9</v>
      </c>
      <c r="G24" s="34">
        <f>SUM(60/'Raw Values'!E30)</f>
        <v>600</v>
      </c>
      <c r="H24" s="36">
        <f>'Raw Values'!F30</f>
        <v>2</v>
      </c>
      <c r="I24" s="29">
        <f>'Raw Values'!I30</f>
        <v>30</v>
      </c>
      <c r="J24" s="29">
        <v>90.0</v>
      </c>
      <c r="K24" s="29">
        <f>'Raw Values'!H30</f>
        <v>220</v>
      </c>
      <c r="L24" s="36">
        <f>SUM(1-'Raw Values'!P30)</f>
        <v>0.6</v>
      </c>
      <c r="M24" s="40">
        <f>'Raw Values'!K30</f>
        <v>8192</v>
      </c>
      <c r="N24" s="29" t="s">
        <v>119</v>
      </c>
      <c r="O24" s="45">
        <f>'Raw Values'!AF30</f>
        <v>24</v>
      </c>
      <c r="P24" s="29">
        <f>'Raw Values'!AE30</f>
        <v>60</v>
      </c>
      <c r="Q24" s="47">
        <v>0.0</v>
      </c>
      <c r="R24" s="47">
        <v>0.0</v>
      </c>
      <c r="S24" s="47">
        <v>0.0</v>
      </c>
      <c r="T24" s="47">
        <v>0.0</v>
      </c>
      <c r="U24" s="47">
        <v>0.0</v>
      </c>
      <c r="V24" s="47">
        <v>0.0</v>
      </c>
      <c r="W24" s="47">
        <v>0.0</v>
      </c>
      <c r="X24" s="47">
        <v>0.0</v>
      </c>
      <c r="Y24" s="47">
        <v>0.0</v>
      </c>
      <c r="Z24" s="50">
        <v>5.0</v>
      </c>
      <c r="AA24" s="29">
        <f>'Raw Values'!N30</f>
        <v>1</v>
      </c>
    </row>
    <row r="25" ht="15.75" customHeight="1">
      <c r="A25" s="64" t="s">
        <v>169</v>
      </c>
      <c r="B25" s="23">
        <v>3.0</v>
      </c>
      <c r="C25" s="26">
        <f>'Raw Values'!J31</f>
        <v>2050</v>
      </c>
      <c r="D25" s="26">
        <f>'Raw Values'!G31</f>
        <v>300</v>
      </c>
      <c r="E25" s="29">
        <f>'Raw Values'!C31</f>
        <v>30</v>
      </c>
      <c r="F25" s="31">
        <f>SUM('Raw Values'!B31/2)</f>
        <v>0.7</v>
      </c>
      <c r="G25" s="34">
        <f>SUM(60/'Raw Values'!E31)</f>
        <v>666.6666667</v>
      </c>
      <c r="H25" s="36">
        <f>'Raw Values'!F31</f>
        <v>2</v>
      </c>
      <c r="I25" s="29">
        <f>'Raw Values'!I31</f>
        <v>25</v>
      </c>
      <c r="J25" s="29">
        <v>90.0</v>
      </c>
      <c r="K25" s="29">
        <f>'Raw Values'!H31</f>
        <v>220</v>
      </c>
      <c r="L25" s="36">
        <f>SUM(1-'Raw Values'!P31)</f>
        <v>0.6</v>
      </c>
      <c r="M25" s="40">
        <f>'Raw Values'!K31</f>
        <v>8192</v>
      </c>
      <c r="N25" s="29" t="s">
        <v>119</v>
      </c>
      <c r="O25" s="45">
        <f>'Raw Values'!AF31</f>
        <v>20</v>
      </c>
      <c r="P25" s="29">
        <f>'Raw Values'!AE31</f>
        <v>60</v>
      </c>
      <c r="Q25" s="47">
        <v>0.0</v>
      </c>
      <c r="R25" s="47">
        <v>0.0</v>
      </c>
      <c r="S25" s="47">
        <v>0.0</v>
      </c>
      <c r="T25" s="47">
        <v>0.0</v>
      </c>
      <c r="U25" s="47">
        <v>0.0</v>
      </c>
      <c r="V25" s="47">
        <v>0.0</v>
      </c>
      <c r="W25" s="47">
        <v>0.0</v>
      </c>
      <c r="X25" s="47">
        <v>0.0</v>
      </c>
      <c r="Y25" s="47">
        <v>0.0</v>
      </c>
      <c r="Z25" s="50">
        <v>5.0</v>
      </c>
      <c r="AA25" s="29">
        <f>'Raw Values'!N31</f>
        <v>1</v>
      </c>
    </row>
    <row r="26" ht="15.75" customHeight="1">
      <c r="A26" s="68" t="s">
        <v>172</v>
      </c>
      <c r="B26" s="23">
        <v>3.0</v>
      </c>
      <c r="C26" s="26">
        <f>'Raw Values'!J32</f>
        <v>1800</v>
      </c>
      <c r="D26" s="26">
        <f>'Raw Values'!G32</f>
        <v>300</v>
      </c>
      <c r="E26" s="29">
        <f>'Raw Values'!C32</f>
        <v>30</v>
      </c>
      <c r="F26" s="31">
        <f>SUM('Raw Values'!B32/2)</f>
        <v>0.775</v>
      </c>
      <c r="G26" s="34">
        <f>SUM(60/'Raw Values'!E32)</f>
        <v>666.6666667</v>
      </c>
      <c r="H26" s="36">
        <f>'Raw Values'!F32</f>
        <v>2</v>
      </c>
      <c r="I26" s="29">
        <f>'Raw Values'!I32</f>
        <v>35</v>
      </c>
      <c r="J26" s="29">
        <v>90.0</v>
      </c>
      <c r="K26" s="29">
        <f>'Raw Values'!H32</f>
        <v>215</v>
      </c>
      <c r="L26" s="36">
        <f>SUM(1-'Raw Values'!P32)</f>
        <v>0.6</v>
      </c>
      <c r="M26" s="40">
        <f>'Raw Values'!K32</f>
        <v>8192</v>
      </c>
      <c r="N26" s="29" t="s">
        <v>119</v>
      </c>
      <c r="O26" s="45">
        <f>'Raw Values'!AF32</f>
        <v>21</v>
      </c>
      <c r="P26" s="29">
        <f>'Raw Values'!AE32</f>
        <v>70</v>
      </c>
      <c r="Q26" s="47">
        <v>0.0</v>
      </c>
      <c r="R26" s="47">
        <v>0.0</v>
      </c>
      <c r="S26" s="47">
        <v>0.0</v>
      </c>
      <c r="T26" s="47">
        <v>0.0</v>
      </c>
      <c r="U26" s="47">
        <v>0.0</v>
      </c>
      <c r="V26" s="47">
        <v>0.0</v>
      </c>
      <c r="W26" s="47">
        <v>0.0</v>
      </c>
      <c r="X26" s="47">
        <v>0.0</v>
      </c>
      <c r="Y26" s="47">
        <v>0.0</v>
      </c>
      <c r="Z26" s="50">
        <v>5.0</v>
      </c>
      <c r="AA26" s="29">
        <f>'Raw Values'!N32</f>
        <v>1</v>
      </c>
    </row>
    <row r="27" ht="15.75" customHeight="1">
      <c r="A27" s="64" t="s">
        <v>174</v>
      </c>
      <c r="B27" s="23">
        <v>3.0</v>
      </c>
      <c r="C27" s="26">
        <f>'Raw Values'!J33</f>
        <v>3100</v>
      </c>
      <c r="D27" s="26">
        <f>'Raw Values'!G33</f>
        <v>300</v>
      </c>
      <c r="E27" s="29">
        <f>'Raw Values'!C33</f>
        <v>33</v>
      </c>
      <c r="F27" s="31">
        <f>SUM('Raw Values'!B33/2)</f>
        <v>0.7</v>
      </c>
      <c r="G27" s="34">
        <f>SUM(60/'Raw Values'!E33)</f>
        <v>666.6666667</v>
      </c>
      <c r="H27" s="36">
        <f>'Raw Values'!F33</f>
        <v>2</v>
      </c>
      <c r="I27" s="29">
        <f>'Raw Values'!I33</f>
        <v>30</v>
      </c>
      <c r="J27" s="29">
        <v>90.0</v>
      </c>
      <c r="K27" s="29">
        <f>'Raw Values'!H33</f>
        <v>225</v>
      </c>
      <c r="L27" s="36">
        <f>SUM(1-'Raw Values'!P33)</f>
        <v>0.6</v>
      </c>
      <c r="M27" s="40">
        <f>'Raw Values'!K33</f>
        <v>8192</v>
      </c>
      <c r="N27" s="29" t="s">
        <v>119</v>
      </c>
      <c r="O27" s="45">
        <f>'Raw Values'!AF33</f>
        <v>23</v>
      </c>
      <c r="P27" s="29">
        <f>'Raw Values'!AE33</f>
        <v>70</v>
      </c>
      <c r="Q27" s="47">
        <v>0.0</v>
      </c>
      <c r="R27" s="47">
        <v>0.0</v>
      </c>
      <c r="S27" s="47">
        <v>0.0</v>
      </c>
      <c r="T27" s="47">
        <v>0.0</v>
      </c>
      <c r="U27" s="47">
        <v>0.0</v>
      </c>
      <c r="V27" s="47">
        <v>0.0</v>
      </c>
      <c r="W27" s="47">
        <v>0.0</v>
      </c>
      <c r="X27" s="47">
        <v>0.0</v>
      </c>
      <c r="Y27" s="47">
        <v>0.0</v>
      </c>
      <c r="Z27" s="50">
        <v>5.0</v>
      </c>
      <c r="AA27" s="29">
        <f>'Raw Values'!N33</f>
        <v>1</v>
      </c>
    </row>
    <row r="28" ht="15.75" customHeight="1">
      <c r="A28" s="73" t="s">
        <v>176</v>
      </c>
      <c r="B28" s="23">
        <v>3.0</v>
      </c>
      <c r="C28" s="26">
        <f>'Raw Values'!J34</f>
        <v>3100</v>
      </c>
      <c r="D28" s="26">
        <f>'Raw Values'!G34</f>
        <v>300</v>
      </c>
      <c r="E28" s="29">
        <f>'Raw Values'!C34</f>
        <v>33</v>
      </c>
      <c r="F28" s="31">
        <f>SUM('Raw Values'!B34/2)</f>
        <v>0.7</v>
      </c>
      <c r="G28" s="34">
        <f>SUM(60/'Raw Values'!E34)</f>
        <v>600</v>
      </c>
      <c r="H28" s="36">
        <f>'Raw Values'!F34</f>
        <v>2</v>
      </c>
      <c r="I28" s="29">
        <f>'Raw Values'!I34</f>
        <v>25</v>
      </c>
      <c r="J28" s="29">
        <v>75.0</v>
      </c>
      <c r="K28" s="29">
        <f>'Raw Values'!H34</f>
        <v>225</v>
      </c>
      <c r="L28" s="36">
        <f>SUM(1-'Raw Values'!P34)</f>
        <v>0.6</v>
      </c>
      <c r="M28" s="40">
        <f>'Raw Values'!K34</f>
        <v>8192</v>
      </c>
      <c r="N28" s="29" t="s">
        <v>119</v>
      </c>
      <c r="O28" s="45">
        <f>'Raw Values'!AF34</f>
        <v>25</v>
      </c>
      <c r="P28" s="29">
        <f>'Raw Values'!AE34</f>
        <v>65</v>
      </c>
      <c r="Q28" s="47">
        <v>0.0</v>
      </c>
      <c r="R28" s="47">
        <v>0.0</v>
      </c>
      <c r="S28" s="47">
        <v>0.0</v>
      </c>
      <c r="T28" s="47">
        <v>0.0</v>
      </c>
      <c r="U28" s="47">
        <v>0.0</v>
      </c>
      <c r="V28" s="47">
        <v>0.0</v>
      </c>
      <c r="W28" s="47">
        <v>0.0</v>
      </c>
      <c r="X28" s="47">
        <v>0.0</v>
      </c>
      <c r="Y28" s="47">
        <v>0.0</v>
      </c>
      <c r="Z28" s="50">
        <v>5.0</v>
      </c>
      <c r="AA28" s="29">
        <f>'Raw Values'!N34</f>
        <v>1</v>
      </c>
    </row>
    <row r="29" ht="15.75" customHeight="1">
      <c r="A29" s="85" t="s">
        <v>178</v>
      </c>
      <c r="B29" s="23">
        <v>3.0</v>
      </c>
      <c r="C29" s="26">
        <f>'Raw Values'!J35</f>
        <v>3000</v>
      </c>
      <c r="D29" s="26">
        <f>'Raw Values'!G35</f>
        <v>300</v>
      </c>
      <c r="E29" s="29">
        <f>'Raw Values'!C35</f>
        <v>30</v>
      </c>
      <c r="F29" s="31">
        <f>SUM('Raw Values'!B35/2)</f>
        <v>1</v>
      </c>
      <c r="G29" s="34">
        <f>SUM(60/'Raw Values'!E35)</f>
        <v>666.6666667</v>
      </c>
      <c r="H29" s="36">
        <f>'Raw Values'!F35</f>
        <v>2</v>
      </c>
      <c r="I29" s="29">
        <f>'Raw Values'!I35</f>
        <v>30</v>
      </c>
      <c r="J29" s="29">
        <v>90.0</v>
      </c>
      <c r="K29" s="29">
        <f>'Raw Values'!H35</f>
        <v>210</v>
      </c>
      <c r="L29" s="36">
        <f>SUM(1-'Raw Values'!P35)</f>
        <v>0.6</v>
      </c>
      <c r="M29" s="40">
        <f>'Raw Values'!K35</f>
        <v>8192</v>
      </c>
      <c r="N29" s="29" t="s">
        <v>119</v>
      </c>
      <c r="O29" s="45">
        <f>'Raw Values'!AF35</f>
        <v>28</v>
      </c>
      <c r="P29" s="29">
        <f>'Raw Values'!AE35</f>
        <v>60</v>
      </c>
      <c r="Q29" s="47">
        <v>0.0</v>
      </c>
      <c r="R29" s="47">
        <v>0.0</v>
      </c>
      <c r="S29" s="47">
        <v>0.0</v>
      </c>
      <c r="T29" s="47">
        <v>0.0</v>
      </c>
      <c r="U29" s="47">
        <v>0.0</v>
      </c>
      <c r="V29" s="47">
        <v>0.0</v>
      </c>
      <c r="W29" s="47">
        <v>0.0</v>
      </c>
      <c r="X29" s="47">
        <v>0.0</v>
      </c>
      <c r="Y29" s="47">
        <v>0.0</v>
      </c>
      <c r="Z29" s="50">
        <v>5.0</v>
      </c>
      <c r="AA29" s="29">
        <f>'Raw Values'!N35</f>
        <v>1</v>
      </c>
    </row>
    <row r="30" ht="15.75" customHeight="1">
      <c r="A30" s="20" t="s">
        <v>182</v>
      </c>
      <c r="B30" s="23">
        <v>4.0</v>
      </c>
      <c r="C30" s="26">
        <f>'Raw Values'!J38</f>
        <v>5200</v>
      </c>
      <c r="D30" s="26">
        <f>'Raw Values'!G38</f>
        <v>300</v>
      </c>
      <c r="E30" s="29">
        <f>'Raw Values'!C38</f>
        <v>32</v>
      </c>
      <c r="F30" s="31">
        <f>SUM('Raw Values'!B38/2)</f>
        <v>0.8</v>
      </c>
      <c r="G30" s="34">
        <f>SUM(60/'Raw Values'!E38)</f>
        <v>750</v>
      </c>
      <c r="H30" s="36">
        <f>'Raw Values'!F38</f>
        <v>2</v>
      </c>
      <c r="I30" s="29">
        <f>'Raw Values'!I38</f>
        <v>100</v>
      </c>
      <c r="J30" s="29">
        <v>200.0</v>
      </c>
      <c r="K30" s="29">
        <f>'Raw Values'!H38</f>
        <v>195</v>
      </c>
      <c r="L30" s="36">
        <f>SUM(1-'Raw Values'!P38)</f>
        <v>0.6</v>
      </c>
      <c r="M30" s="40">
        <f>'Raw Values'!K38</f>
        <v>8192</v>
      </c>
      <c r="N30" s="29" t="s">
        <v>119</v>
      </c>
      <c r="O30" s="45">
        <f>'Raw Values'!AF38</f>
        <v>25</v>
      </c>
      <c r="P30" s="29">
        <f>'Raw Values'!AE38</f>
        <v>50</v>
      </c>
      <c r="Q30" s="47">
        <v>0.0</v>
      </c>
      <c r="R30" s="47">
        <v>0.0</v>
      </c>
      <c r="S30" s="47">
        <v>0.0</v>
      </c>
      <c r="T30" s="47">
        <v>0.0</v>
      </c>
      <c r="U30" s="47">
        <v>0.0</v>
      </c>
      <c r="V30" s="47">
        <v>0.0</v>
      </c>
      <c r="W30" s="47">
        <v>0.0</v>
      </c>
      <c r="X30" s="47">
        <v>0.0</v>
      </c>
      <c r="Y30" s="47">
        <v>0.0</v>
      </c>
      <c r="Z30" s="50">
        <v>5.0</v>
      </c>
      <c r="AA30" s="29">
        <f>'Raw Values'!N38</f>
        <v>1</v>
      </c>
    </row>
    <row r="31" ht="15.75" customHeight="1">
      <c r="A31" s="91" t="s">
        <v>183</v>
      </c>
      <c r="B31" s="23">
        <v>4.0</v>
      </c>
      <c r="C31" s="26">
        <f>'Raw Values'!J39</f>
        <v>1700</v>
      </c>
      <c r="D31" s="26">
        <f>'Raw Values'!G39</f>
        <v>300</v>
      </c>
      <c r="E31" s="29">
        <f>'Raw Values'!C39</f>
        <v>35</v>
      </c>
      <c r="F31" s="31">
        <f>SUM('Raw Values'!B39/2)</f>
        <v>0.71</v>
      </c>
      <c r="G31" s="34">
        <f>SUM(60/'Raw Values'!E39)</f>
        <v>800</v>
      </c>
      <c r="H31" s="36">
        <f>'Raw Values'!F39</f>
        <v>2</v>
      </c>
      <c r="I31" s="29">
        <f>'Raw Values'!I39</f>
        <v>150</v>
      </c>
      <c r="J31" s="29">
        <v>300.0</v>
      </c>
      <c r="K31" s="29">
        <f>'Raw Values'!H39</f>
        <v>150</v>
      </c>
      <c r="L31" s="36">
        <f>SUM(1-'Raw Values'!P39)</f>
        <v>0.6</v>
      </c>
      <c r="M31" s="40">
        <f>'Raw Values'!K39</f>
        <v>8192</v>
      </c>
      <c r="N31" s="29" t="s">
        <v>119</v>
      </c>
      <c r="O31" s="45">
        <f>'Raw Values'!AF39</f>
        <v>20</v>
      </c>
      <c r="P31" s="29">
        <f>'Raw Values'!AE39</f>
        <v>0</v>
      </c>
      <c r="Q31" s="47">
        <v>0.0</v>
      </c>
      <c r="R31" s="47">
        <v>0.0</v>
      </c>
      <c r="S31" s="47">
        <v>0.0</v>
      </c>
      <c r="T31" s="47">
        <v>0.0</v>
      </c>
      <c r="U31" s="47">
        <v>0.0</v>
      </c>
      <c r="V31" s="47">
        <v>0.0</v>
      </c>
      <c r="W31" s="47">
        <v>0.0</v>
      </c>
      <c r="X31" s="47">
        <v>0.0</v>
      </c>
      <c r="Y31" s="47">
        <v>0.0</v>
      </c>
      <c r="Z31" s="50">
        <v>5.0</v>
      </c>
      <c r="AA31" s="29">
        <f>'Raw Values'!N39</f>
        <v>1</v>
      </c>
    </row>
    <row r="32" ht="15.75" customHeight="1">
      <c r="A32" s="20" t="s">
        <v>185</v>
      </c>
      <c r="B32" s="23">
        <v>5.0</v>
      </c>
      <c r="C32" s="26">
        <f>'Raw Values'!J42</f>
        <v>4750</v>
      </c>
      <c r="D32" s="26">
        <f>'Raw Values'!G42</f>
        <v>100</v>
      </c>
      <c r="E32" s="29">
        <f>'Raw Values'!C42</f>
        <v>115</v>
      </c>
      <c r="F32" s="31">
        <f>SUM('Raw Values'!B42/2)</f>
        <v>0.975</v>
      </c>
      <c r="G32" s="34">
        <f>SUM(60/'Raw Values'!E42)</f>
        <v>41.2371134</v>
      </c>
      <c r="H32" s="36">
        <f>'Raw Values'!F42</f>
        <v>2.5</v>
      </c>
      <c r="I32" s="29">
        <f>'Raw Values'!I42</f>
        <v>10</v>
      </c>
      <c r="J32" s="29">
        <v>30.0</v>
      </c>
      <c r="K32" s="29">
        <f>'Raw Values'!H42</f>
        <v>200</v>
      </c>
      <c r="L32" s="36">
        <f>SUM(1-'Raw Values'!P42)</f>
        <v>0.65</v>
      </c>
      <c r="M32" s="40">
        <f>'Raw Values'!K42</f>
        <v>8192</v>
      </c>
      <c r="N32" s="29" t="s">
        <v>116</v>
      </c>
      <c r="O32" s="45">
        <f>'Raw Values'!AF42</f>
        <v>78</v>
      </c>
      <c r="P32" s="29">
        <f>'Raw Values'!AE42</f>
        <v>20</v>
      </c>
      <c r="Q32" s="47">
        <v>0.0</v>
      </c>
      <c r="R32" s="47">
        <v>0.0</v>
      </c>
      <c r="S32" s="47">
        <v>0.0</v>
      </c>
      <c r="T32" s="47">
        <v>0.0</v>
      </c>
      <c r="U32" s="47">
        <v>0.0</v>
      </c>
      <c r="V32" s="47">
        <v>0.0</v>
      </c>
      <c r="W32" s="47">
        <v>0.0</v>
      </c>
      <c r="X32" s="47">
        <v>0.0</v>
      </c>
      <c r="Y32" s="47">
        <v>0.0</v>
      </c>
      <c r="Z32" s="50">
        <v>5.0</v>
      </c>
      <c r="AA32" s="29">
        <f>'Raw Values'!N42</f>
        <v>1</v>
      </c>
    </row>
    <row r="33" ht="15.75" customHeight="1">
      <c r="A33" s="68" t="s">
        <v>189</v>
      </c>
      <c r="B33" s="23">
        <v>5.0</v>
      </c>
      <c r="C33" s="26">
        <f>'Raw Values'!J43</f>
        <v>5000</v>
      </c>
      <c r="D33" s="26">
        <f>'Raw Values'!G43</f>
        <v>300</v>
      </c>
      <c r="E33" s="29">
        <f>'Raw Values'!C43</f>
        <v>80</v>
      </c>
      <c r="F33" s="31">
        <f>SUM('Raw Values'!B43/2)</f>
        <v>0.825</v>
      </c>
      <c r="G33" s="34">
        <f>SUM(60/'Raw Values'!E43)</f>
        <v>240</v>
      </c>
      <c r="H33" s="36">
        <f>'Raw Values'!F43</f>
        <v>2.5</v>
      </c>
      <c r="I33" s="29">
        <f>'Raw Values'!I43</f>
        <v>20</v>
      </c>
      <c r="J33" s="29">
        <v>90.0</v>
      </c>
      <c r="K33" s="29">
        <f>'Raw Values'!H43</f>
        <v>215</v>
      </c>
      <c r="L33" s="36">
        <f>SUM(1-'Raw Values'!P43)</f>
        <v>0.5</v>
      </c>
      <c r="M33" s="40">
        <f>'Raw Values'!K43</f>
        <v>8192</v>
      </c>
      <c r="N33" s="29" t="s">
        <v>119</v>
      </c>
      <c r="O33" s="45">
        <f>'Raw Values'!AF43</f>
        <v>30</v>
      </c>
      <c r="P33" s="29">
        <f>'Raw Values'!AE43</f>
        <v>30</v>
      </c>
      <c r="Q33" s="47">
        <v>0.0</v>
      </c>
      <c r="R33" s="47">
        <v>0.0</v>
      </c>
      <c r="S33" s="47">
        <v>0.0</v>
      </c>
      <c r="T33" s="47">
        <v>0.0</v>
      </c>
      <c r="U33" s="47">
        <v>0.0</v>
      </c>
      <c r="V33" s="47">
        <v>0.0</v>
      </c>
      <c r="W33" s="47">
        <v>0.0</v>
      </c>
      <c r="X33" s="47">
        <v>0.0</v>
      </c>
      <c r="Y33" s="47">
        <v>0.0</v>
      </c>
      <c r="Z33" s="50">
        <v>5.0</v>
      </c>
      <c r="AA33" s="29">
        <f>'Raw Values'!N43</f>
        <v>1</v>
      </c>
    </row>
    <row r="34" ht="15.75" customHeight="1">
      <c r="A34" s="64" t="s">
        <v>191</v>
      </c>
      <c r="B34" s="23">
        <v>5.0</v>
      </c>
      <c r="C34" s="26">
        <f>'Raw Values'!J44</f>
        <v>5000</v>
      </c>
      <c r="D34" s="99">
        <f>'Raw Values'!G44</f>
        <v>300</v>
      </c>
      <c r="E34" s="29">
        <f>'Raw Values'!C44</f>
        <v>80</v>
      </c>
      <c r="F34" s="31">
        <f>SUM('Raw Values'!B44/2)</f>
        <v>0.825</v>
      </c>
      <c r="G34" s="34">
        <f>SUM(60/'Raw Values'!E44)</f>
        <v>240</v>
      </c>
      <c r="H34" s="36">
        <f>'Raw Values'!F44</f>
        <v>2.5</v>
      </c>
      <c r="I34" s="29">
        <f>'Raw Values'!I44</f>
        <v>20</v>
      </c>
      <c r="J34" s="29">
        <v>90.0</v>
      </c>
      <c r="K34" s="29">
        <f>'Raw Values'!H44</f>
        <v>215</v>
      </c>
      <c r="L34" s="36">
        <f>SUM(1-'Raw Values'!P44)</f>
        <v>0.65</v>
      </c>
      <c r="M34" s="40">
        <f>'Raw Values'!K44</f>
        <v>8192</v>
      </c>
      <c r="N34" s="29" t="s">
        <v>119</v>
      </c>
      <c r="O34" s="45">
        <f>'Raw Values'!AF44</f>
        <v>31</v>
      </c>
      <c r="P34" s="29">
        <f>'Raw Values'!AE44</f>
        <v>30</v>
      </c>
      <c r="Q34" s="47">
        <v>0.0</v>
      </c>
      <c r="R34" s="47">
        <v>0.0</v>
      </c>
      <c r="S34" s="47">
        <v>0.0</v>
      </c>
      <c r="T34" s="47">
        <v>0.0</v>
      </c>
      <c r="U34" s="47">
        <v>0.0</v>
      </c>
      <c r="V34" s="47">
        <v>0.0</v>
      </c>
      <c r="W34" s="47">
        <v>0.0</v>
      </c>
      <c r="X34" s="47">
        <v>0.0</v>
      </c>
      <c r="Y34" s="47">
        <v>0.0</v>
      </c>
      <c r="Z34" s="50">
        <v>5.0</v>
      </c>
      <c r="AA34" s="29">
        <f>'Raw Values'!N44</f>
        <v>1</v>
      </c>
    </row>
    <row r="35" ht="15.75" customHeight="1">
      <c r="A35" s="91" t="s">
        <v>193</v>
      </c>
      <c r="B35" s="23">
        <v>5.0</v>
      </c>
      <c r="C35" s="26">
        <f>'Raw Values'!J45</f>
        <v>1700</v>
      </c>
      <c r="D35" s="100">
        <v>300.0</v>
      </c>
      <c r="E35" s="29">
        <f>'Raw Values'!C45</f>
        <v>88</v>
      </c>
      <c r="F35" s="31">
        <f>SUM('Raw Values'!B45/2)</f>
        <v>0.85</v>
      </c>
      <c r="G35" s="34">
        <f>SUM(60/'Raw Values'!E45)</f>
        <v>48</v>
      </c>
      <c r="H35" s="36">
        <f>'Raw Values'!F45</f>
        <v>2.5</v>
      </c>
      <c r="I35" s="29">
        <f>'Raw Values'!I45</f>
        <v>10</v>
      </c>
      <c r="J35" s="29">
        <v>90.0</v>
      </c>
      <c r="K35" s="29">
        <f>'Raw Values'!H45</f>
        <v>230</v>
      </c>
      <c r="L35" s="36">
        <f>SUM(1-'Raw Values'!P45)</f>
        <v>0.65</v>
      </c>
      <c r="M35" s="40">
        <f>'Raw Values'!K45</f>
        <v>8192</v>
      </c>
      <c r="N35" s="29" t="s">
        <v>116</v>
      </c>
      <c r="O35" s="45">
        <f>'Raw Values'!AF45</f>
        <v>33</v>
      </c>
      <c r="P35" s="29">
        <f>'Raw Values'!AE45</f>
        <v>20</v>
      </c>
      <c r="Q35" s="47">
        <v>0.0</v>
      </c>
      <c r="R35" s="47">
        <v>0.0</v>
      </c>
      <c r="S35" s="47">
        <v>0.0</v>
      </c>
      <c r="T35" s="47">
        <v>0.0</v>
      </c>
      <c r="U35" s="47">
        <v>0.0</v>
      </c>
      <c r="V35" s="47">
        <v>0.0</v>
      </c>
      <c r="W35" s="47">
        <v>0.0</v>
      </c>
      <c r="X35" s="47">
        <v>0.0</v>
      </c>
      <c r="Y35" s="47">
        <v>0.0</v>
      </c>
      <c r="Z35" s="50">
        <v>5.0</v>
      </c>
      <c r="AA35" s="29">
        <f>'Raw Values'!N45</f>
        <v>1</v>
      </c>
    </row>
    <row r="36" ht="12.75" customHeight="1">
      <c r="A36" s="105" t="s">
        <v>194</v>
      </c>
      <c r="B36" s="23">
        <v>6.0</v>
      </c>
      <c r="C36" s="107">
        <v>300.0</v>
      </c>
      <c r="D36" s="107">
        <v>300.0</v>
      </c>
      <c r="E36" s="107">
        <v>98.0</v>
      </c>
      <c r="F36" s="109">
        <v>0.6</v>
      </c>
      <c r="G36" s="107">
        <v>1.0</v>
      </c>
      <c r="H36" s="111">
        <v>1.0</v>
      </c>
      <c r="I36" s="107">
        <v>1.0</v>
      </c>
      <c r="J36" s="107">
        <v>0.0</v>
      </c>
      <c r="K36" s="107">
        <v>245.0</v>
      </c>
      <c r="L36" s="36">
        <f>SUM(1-'Raw Values'!P40)</f>
        <v>1</v>
      </c>
      <c r="M36" s="107">
        <v>4328.0</v>
      </c>
      <c r="N36" s="29" t="s">
        <v>116</v>
      </c>
      <c r="O36" s="107">
        <v>0.0</v>
      </c>
      <c r="P36" s="107">
        <v>0.0</v>
      </c>
      <c r="Q36" s="112">
        <v>1.0</v>
      </c>
      <c r="R36" s="47">
        <v>0.0</v>
      </c>
      <c r="S36" s="47">
        <v>0.0</v>
      </c>
      <c r="T36" s="47">
        <v>0.0</v>
      </c>
      <c r="U36" s="47">
        <v>0.0</v>
      </c>
      <c r="V36" s="47">
        <v>0.0</v>
      </c>
      <c r="W36" s="47">
        <v>0.0</v>
      </c>
      <c r="X36" s="47">
        <v>0.0</v>
      </c>
      <c r="Y36" s="47">
        <v>0.0</v>
      </c>
      <c r="Z36" s="114">
        <v>1.0</v>
      </c>
      <c r="AA36" s="107">
        <v>1.0</v>
      </c>
    </row>
    <row r="37" ht="12.75" customHeight="1">
      <c r="A37" s="54" t="s">
        <v>195</v>
      </c>
      <c r="B37" s="23">
        <v>6.0</v>
      </c>
      <c r="C37" s="107">
        <v>50.0</v>
      </c>
      <c r="D37" s="107">
        <v>300.0</v>
      </c>
      <c r="E37" s="107">
        <v>2.0</v>
      </c>
      <c r="F37" s="109">
        <v>0.5</v>
      </c>
      <c r="G37" s="107">
        <v>1.0</v>
      </c>
      <c r="H37" s="111">
        <v>1.0</v>
      </c>
      <c r="I37" s="107">
        <v>1.0</v>
      </c>
      <c r="J37" s="107">
        <v>0.0</v>
      </c>
      <c r="K37" s="115">
        <v>245.0</v>
      </c>
      <c r="L37" s="116">
        <v>1.0</v>
      </c>
      <c r="M37" s="107">
        <v>4328.0</v>
      </c>
      <c r="N37" s="29" t="s">
        <v>116</v>
      </c>
      <c r="O37" s="107">
        <v>0.0</v>
      </c>
      <c r="P37" s="107">
        <v>0.0</v>
      </c>
      <c r="Q37" s="47">
        <v>0.0</v>
      </c>
      <c r="R37" s="47">
        <v>1.0</v>
      </c>
      <c r="S37" s="47">
        <v>0.0</v>
      </c>
      <c r="T37" s="47">
        <v>0.0</v>
      </c>
      <c r="U37" s="47">
        <v>0.0</v>
      </c>
      <c r="V37" s="47">
        <v>0.0</v>
      </c>
      <c r="W37" s="47">
        <v>0.0</v>
      </c>
      <c r="X37" s="47">
        <v>0.0</v>
      </c>
      <c r="Y37" s="47">
        <v>0.0</v>
      </c>
      <c r="Z37" s="114">
        <v>1.0</v>
      </c>
      <c r="AA37" s="107">
        <v>1.0</v>
      </c>
    </row>
    <row r="38" ht="12.75" customHeight="1">
      <c r="A38" s="68" t="s">
        <v>196</v>
      </c>
      <c r="B38" s="23">
        <v>6.0</v>
      </c>
      <c r="C38" s="107">
        <v>400.0</v>
      </c>
      <c r="D38" s="107">
        <v>300.0</v>
      </c>
      <c r="E38" s="107">
        <v>40.0</v>
      </c>
      <c r="F38" s="109">
        <v>1.0</v>
      </c>
      <c r="G38" s="107">
        <v>1.0</v>
      </c>
      <c r="H38" s="111">
        <v>1.0</v>
      </c>
      <c r="I38" s="107">
        <v>1.0</v>
      </c>
      <c r="J38" s="107">
        <v>0.0</v>
      </c>
      <c r="K38" s="115">
        <v>245.0</v>
      </c>
      <c r="L38" s="116">
        <v>1.0</v>
      </c>
      <c r="M38" s="107">
        <v>4328.0</v>
      </c>
      <c r="N38" s="29" t="s">
        <v>116</v>
      </c>
      <c r="O38" s="107">
        <v>0.0</v>
      </c>
      <c r="P38" s="107">
        <v>0.0</v>
      </c>
      <c r="Q38" s="47">
        <v>0.0</v>
      </c>
      <c r="R38" s="47">
        <v>0.0</v>
      </c>
      <c r="S38" s="47">
        <v>1.0</v>
      </c>
      <c r="T38" s="47">
        <v>0.0</v>
      </c>
      <c r="U38" s="47">
        <v>0.0</v>
      </c>
      <c r="V38" s="47">
        <v>0.0</v>
      </c>
      <c r="W38" s="47">
        <v>0.0</v>
      </c>
      <c r="X38" s="47">
        <v>0.0</v>
      </c>
      <c r="Y38" s="47">
        <v>0.0</v>
      </c>
      <c r="Z38" s="114">
        <v>1.0</v>
      </c>
      <c r="AA38" s="107">
        <v>1.0</v>
      </c>
    </row>
    <row r="39" ht="12.75" customHeight="1">
      <c r="A39" s="64" t="s">
        <v>197</v>
      </c>
      <c r="B39" s="23">
        <v>6.0</v>
      </c>
      <c r="C39" s="107">
        <v>600.0</v>
      </c>
      <c r="D39" s="107">
        <v>300.0</v>
      </c>
      <c r="E39" s="107">
        <v>40.0</v>
      </c>
      <c r="F39" s="109">
        <v>1.0</v>
      </c>
      <c r="G39" s="107">
        <v>1.0</v>
      </c>
      <c r="H39" s="111">
        <v>1.0</v>
      </c>
      <c r="I39" s="107">
        <v>1.0</v>
      </c>
      <c r="J39" s="107">
        <v>0.0</v>
      </c>
      <c r="K39" s="115">
        <v>245.0</v>
      </c>
      <c r="L39" s="116">
        <v>1.0</v>
      </c>
      <c r="M39" s="107">
        <v>4328.0</v>
      </c>
      <c r="N39" s="29" t="s">
        <v>116</v>
      </c>
      <c r="O39" s="107">
        <v>0.0</v>
      </c>
      <c r="P39" s="107">
        <v>0.0</v>
      </c>
      <c r="Q39" s="47">
        <v>0.0</v>
      </c>
      <c r="R39" s="47">
        <v>0.0</v>
      </c>
      <c r="S39" s="47">
        <v>1.0</v>
      </c>
      <c r="T39" s="47">
        <v>0.0</v>
      </c>
      <c r="U39" s="47">
        <v>0.0</v>
      </c>
      <c r="V39" s="47">
        <v>0.0</v>
      </c>
      <c r="W39" s="47">
        <v>0.0</v>
      </c>
      <c r="X39" s="47">
        <v>0.0</v>
      </c>
      <c r="Y39" s="47">
        <v>0.0</v>
      </c>
      <c r="Z39" s="114">
        <v>1.0</v>
      </c>
      <c r="AA39" s="107">
        <v>1.0</v>
      </c>
    </row>
    <row r="40" ht="12.75" customHeight="1">
      <c r="A40" s="54" t="s">
        <v>198</v>
      </c>
      <c r="B40" s="23">
        <v>6.0</v>
      </c>
      <c r="C40" s="107">
        <v>200.0</v>
      </c>
      <c r="D40" s="107">
        <v>300.0</v>
      </c>
      <c r="E40" s="107">
        <v>2.0</v>
      </c>
      <c r="F40" s="109">
        <v>0.5</v>
      </c>
      <c r="G40" s="107">
        <v>2.0</v>
      </c>
      <c r="H40" s="111">
        <v>1.0</v>
      </c>
      <c r="I40" s="107">
        <v>1.0</v>
      </c>
      <c r="J40" s="107">
        <v>0.0</v>
      </c>
      <c r="K40" s="115">
        <v>245.0</v>
      </c>
      <c r="L40" s="116">
        <v>1.0</v>
      </c>
      <c r="M40" s="107">
        <v>4328.0</v>
      </c>
      <c r="N40" s="29" t="s">
        <v>116</v>
      </c>
      <c r="O40" s="107">
        <v>0.0</v>
      </c>
      <c r="P40" s="107">
        <v>0.0</v>
      </c>
      <c r="Q40" s="47">
        <v>0.0</v>
      </c>
      <c r="R40" s="47">
        <v>0.0</v>
      </c>
      <c r="S40" s="47">
        <v>0.0</v>
      </c>
      <c r="T40" s="47">
        <v>1.0</v>
      </c>
      <c r="U40" s="47">
        <v>0.0</v>
      </c>
      <c r="V40" s="47">
        <v>0.0</v>
      </c>
      <c r="W40" s="47">
        <v>0.0</v>
      </c>
      <c r="X40" s="47">
        <v>0.0</v>
      </c>
      <c r="Y40" s="47">
        <v>0.0</v>
      </c>
      <c r="Z40" s="114">
        <v>2.0</v>
      </c>
      <c r="AA40" s="107">
        <v>1.0</v>
      </c>
    </row>
    <row r="41" ht="12.75" customHeight="1">
      <c r="A41" s="91" t="s">
        <v>199</v>
      </c>
      <c r="B41" s="23">
        <v>6.0</v>
      </c>
      <c r="C41" s="107">
        <v>300.0</v>
      </c>
      <c r="D41" s="120">
        <v>300.0</v>
      </c>
      <c r="E41" s="107">
        <v>2.0</v>
      </c>
      <c r="F41" s="109">
        <v>0.5</v>
      </c>
      <c r="G41" s="107">
        <v>1.0</v>
      </c>
      <c r="H41" s="111">
        <v>1.0</v>
      </c>
      <c r="I41" s="107">
        <v>1.0</v>
      </c>
      <c r="J41" s="107">
        <v>0.0</v>
      </c>
      <c r="K41" s="115">
        <v>245.0</v>
      </c>
      <c r="L41" s="116">
        <v>1.0</v>
      </c>
      <c r="M41" s="107">
        <v>4328.0</v>
      </c>
      <c r="N41" s="29" t="s">
        <v>116</v>
      </c>
      <c r="O41" s="107">
        <v>0.0</v>
      </c>
      <c r="P41" s="107">
        <v>0.0</v>
      </c>
      <c r="Q41" s="47">
        <v>0.0</v>
      </c>
      <c r="R41" s="47">
        <v>0.0</v>
      </c>
      <c r="S41" s="47">
        <v>0.0</v>
      </c>
      <c r="T41" s="47">
        <v>0.0</v>
      </c>
      <c r="U41" s="47">
        <v>1.0</v>
      </c>
      <c r="V41" s="47">
        <v>0.0</v>
      </c>
      <c r="W41" s="47">
        <v>0.0</v>
      </c>
      <c r="X41" s="47">
        <v>0.0</v>
      </c>
      <c r="Y41" s="47">
        <v>0.0</v>
      </c>
      <c r="Z41" s="114">
        <v>1.0</v>
      </c>
      <c r="AA41" s="107">
        <v>1.0</v>
      </c>
    </row>
    <row r="42" ht="12.75" customHeight="1">
      <c r="A42" s="105" t="s">
        <v>200</v>
      </c>
      <c r="B42" s="23">
        <v>7.0</v>
      </c>
      <c r="C42" s="107">
        <v>650.0</v>
      </c>
      <c r="D42" s="107">
        <v>0.0</v>
      </c>
      <c r="E42" s="107">
        <v>0.0</v>
      </c>
      <c r="F42" s="109">
        <v>0.0</v>
      </c>
      <c r="G42" s="107">
        <v>0.0</v>
      </c>
      <c r="H42" s="111">
        <v>0.0</v>
      </c>
      <c r="I42" s="107">
        <v>0.0</v>
      </c>
      <c r="J42" s="107">
        <v>0.0</v>
      </c>
      <c r="K42" s="107">
        <v>250.0</v>
      </c>
      <c r="L42" s="36">
        <f>SUM(1-'Raw Values'!P46)</f>
        <v>1</v>
      </c>
      <c r="M42" s="107">
        <v>0.0</v>
      </c>
      <c r="N42" s="122" t="s">
        <v>201</v>
      </c>
      <c r="O42" s="107">
        <v>0.0</v>
      </c>
      <c r="P42" s="107">
        <v>0.0</v>
      </c>
      <c r="Q42" s="47">
        <v>0.0</v>
      </c>
      <c r="R42" s="47">
        <v>0.0</v>
      </c>
      <c r="S42" s="47">
        <v>0.0</v>
      </c>
      <c r="T42" s="47">
        <v>0.0</v>
      </c>
      <c r="U42" s="47">
        <v>0.0</v>
      </c>
      <c r="V42" s="47">
        <v>1.0</v>
      </c>
      <c r="W42" s="47">
        <v>0.0</v>
      </c>
      <c r="X42" s="47">
        <v>0.0</v>
      </c>
      <c r="Y42" s="47">
        <v>0.0</v>
      </c>
      <c r="Z42" s="114">
        <v>1.0</v>
      </c>
      <c r="AA42" s="107">
        <v>0.0</v>
      </c>
    </row>
    <row r="43" ht="12.75" customHeight="1">
      <c r="A43" s="123" t="s">
        <v>202</v>
      </c>
      <c r="B43" s="23">
        <v>7.0</v>
      </c>
      <c r="C43" s="107">
        <v>1000.0</v>
      </c>
      <c r="D43" s="107">
        <v>0.0</v>
      </c>
      <c r="E43" s="107">
        <v>0.0</v>
      </c>
      <c r="F43" s="109">
        <v>0.0</v>
      </c>
      <c r="G43" s="107">
        <v>0.0</v>
      </c>
      <c r="H43" s="111">
        <v>0.0</v>
      </c>
      <c r="I43" s="107">
        <v>0.0</v>
      </c>
      <c r="J43" s="107">
        <v>0.0</v>
      </c>
      <c r="K43" s="107">
        <v>250.0</v>
      </c>
      <c r="L43" s="36">
        <f>SUM(1-'Raw Values'!P47)</f>
        <v>1</v>
      </c>
      <c r="M43" s="107">
        <v>0.0</v>
      </c>
      <c r="N43" s="122" t="s">
        <v>201</v>
      </c>
      <c r="O43" s="107">
        <v>0.0</v>
      </c>
      <c r="P43" s="107">
        <v>0.0</v>
      </c>
      <c r="Q43" s="47">
        <v>0.0</v>
      </c>
      <c r="R43" s="47">
        <v>0.0</v>
      </c>
      <c r="S43" s="47">
        <v>0.0</v>
      </c>
      <c r="T43" s="47">
        <v>0.0</v>
      </c>
      <c r="U43" s="47">
        <v>0.0</v>
      </c>
      <c r="V43" s="124">
        <v>1.0</v>
      </c>
      <c r="W43" s="47">
        <v>0.0</v>
      </c>
      <c r="X43" s="47">
        <v>0.0</v>
      </c>
      <c r="Y43" s="47">
        <v>0.0</v>
      </c>
      <c r="Z43" s="114">
        <v>1.0</v>
      </c>
      <c r="AA43" s="107">
        <v>0.0</v>
      </c>
    </row>
    <row r="44" ht="12.75" customHeight="1">
      <c r="A44" s="54" t="s">
        <v>203</v>
      </c>
      <c r="B44" s="23">
        <v>7.0</v>
      </c>
      <c r="C44" s="107">
        <v>200.0</v>
      </c>
      <c r="D44" s="107">
        <v>0.0</v>
      </c>
      <c r="E44" s="107">
        <v>500.0</v>
      </c>
      <c r="F44" s="109">
        <v>0.0</v>
      </c>
      <c r="G44" s="107">
        <v>1.0</v>
      </c>
      <c r="H44" s="111">
        <v>1.0</v>
      </c>
      <c r="I44" s="107">
        <v>1.0</v>
      </c>
      <c r="J44" s="107">
        <v>0.0</v>
      </c>
      <c r="K44" s="107">
        <v>220.0</v>
      </c>
      <c r="L44" s="36">
        <f>SUM(1-'Raw Values'!P48)</f>
        <v>1</v>
      </c>
      <c r="M44" s="107">
        <v>230.0</v>
      </c>
      <c r="N44" s="122" t="s">
        <v>116</v>
      </c>
      <c r="O44" s="107">
        <v>0.0</v>
      </c>
      <c r="P44" s="107">
        <v>0.0</v>
      </c>
      <c r="Q44" s="47">
        <v>0.0</v>
      </c>
      <c r="R44" s="47">
        <v>0.0</v>
      </c>
      <c r="S44" s="47">
        <v>0.0</v>
      </c>
      <c r="T44" s="47">
        <v>0.0</v>
      </c>
      <c r="U44" s="47">
        <v>0.0</v>
      </c>
      <c r="V44" s="47">
        <v>0.0</v>
      </c>
      <c r="W44" s="47">
        <v>1.0</v>
      </c>
      <c r="X44" s="47">
        <v>0.0</v>
      </c>
      <c r="Y44" s="47">
        <v>0.0</v>
      </c>
      <c r="Z44" s="114">
        <v>1.0</v>
      </c>
      <c r="AA44" s="107">
        <v>1.0</v>
      </c>
    </row>
    <row r="45" ht="12.75" customHeight="1">
      <c r="A45" s="126" t="s">
        <v>207</v>
      </c>
      <c r="B45" s="23">
        <v>7.0</v>
      </c>
      <c r="C45" s="107">
        <v>400.0</v>
      </c>
      <c r="D45" s="107">
        <v>0.0</v>
      </c>
      <c r="E45" s="107">
        <v>0.0</v>
      </c>
      <c r="F45" s="109">
        <v>0.0</v>
      </c>
      <c r="G45" s="107">
        <v>1.0</v>
      </c>
      <c r="H45" s="107">
        <v>0.0</v>
      </c>
      <c r="I45" s="107">
        <v>0.0</v>
      </c>
      <c r="J45" s="107">
        <v>0.0</v>
      </c>
      <c r="K45" s="107">
        <v>250.0</v>
      </c>
      <c r="L45" s="36">
        <f>SUM(1-'Raw Values'!P49)</f>
        <v>1</v>
      </c>
      <c r="M45" s="107">
        <v>0.0</v>
      </c>
      <c r="N45" s="122" t="s">
        <v>201</v>
      </c>
      <c r="O45" s="107">
        <v>0.0</v>
      </c>
      <c r="P45" s="107">
        <v>0.0</v>
      </c>
      <c r="Q45" s="47">
        <v>0.0</v>
      </c>
      <c r="R45" s="47">
        <v>0.0</v>
      </c>
      <c r="S45" s="47">
        <v>0.0</v>
      </c>
      <c r="T45" s="47">
        <v>0.0</v>
      </c>
      <c r="U45" s="47">
        <v>0.0</v>
      </c>
      <c r="V45" s="47">
        <v>0.0</v>
      </c>
      <c r="W45" s="47">
        <v>0.0</v>
      </c>
      <c r="X45" s="47">
        <v>1.0</v>
      </c>
      <c r="Y45" s="47">
        <v>0.0</v>
      </c>
      <c r="Z45" s="114">
        <v>1.0</v>
      </c>
      <c r="AA45" s="107">
        <v>0.0</v>
      </c>
    </row>
    <row r="46" ht="12.75" customHeight="1">
      <c r="A46" s="128" t="s">
        <v>208</v>
      </c>
      <c r="B46" s="23">
        <v>8.0</v>
      </c>
      <c r="C46" s="114">
        <v>0.0</v>
      </c>
      <c r="D46" s="114">
        <v>0.0</v>
      </c>
      <c r="E46" s="114">
        <v>0.0</v>
      </c>
      <c r="F46" s="114">
        <v>0.0</v>
      </c>
      <c r="G46" s="114">
        <v>0.0</v>
      </c>
      <c r="H46" s="114">
        <v>0.0</v>
      </c>
      <c r="I46" s="114">
        <v>0.0</v>
      </c>
      <c r="J46" s="114">
        <v>0.0</v>
      </c>
      <c r="K46" s="114">
        <v>0.0</v>
      </c>
      <c r="L46" s="114">
        <v>0.0</v>
      </c>
      <c r="M46" s="114">
        <v>0.0</v>
      </c>
      <c r="N46" s="122" t="s">
        <v>201</v>
      </c>
      <c r="O46" s="114">
        <v>0.0</v>
      </c>
      <c r="P46" s="114">
        <v>0.0</v>
      </c>
      <c r="Q46" s="47">
        <v>0.0</v>
      </c>
      <c r="R46" s="47">
        <v>0.0</v>
      </c>
      <c r="S46" s="47">
        <v>0.0</v>
      </c>
      <c r="T46" s="47">
        <v>0.0</v>
      </c>
      <c r="U46" s="47">
        <v>0.0</v>
      </c>
      <c r="V46" s="47">
        <v>0.0</v>
      </c>
      <c r="W46" s="47">
        <v>0.0</v>
      </c>
      <c r="X46" s="47">
        <v>0.0</v>
      </c>
      <c r="Y46" s="47">
        <v>1.0</v>
      </c>
      <c r="Z46" s="114">
        <v>1.0</v>
      </c>
      <c r="AA46" s="114">
        <v>0.0</v>
      </c>
    </row>
    <row r="47" ht="12.75" customHeight="1">
      <c r="B47" s="129"/>
      <c r="Z47" s="129"/>
    </row>
    <row r="48" ht="12.75" customHeight="1">
      <c r="B48" s="129"/>
      <c r="Z48" s="129"/>
    </row>
    <row r="49" ht="12.75" customHeight="1">
      <c r="B49" s="129"/>
      <c r="Z49" s="129"/>
    </row>
    <row r="50" ht="12.75" customHeight="1">
      <c r="B50" s="129"/>
      <c r="Z50" s="129"/>
    </row>
    <row r="51" ht="12.75" customHeight="1">
      <c r="B51" s="129"/>
      <c r="Z51" s="129"/>
    </row>
    <row r="52" ht="12.75" customHeight="1">
      <c r="B52" s="129"/>
      <c r="Z52" s="129"/>
    </row>
    <row r="53" ht="12.75" customHeight="1">
      <c r="B53" s="129"/>
      <c r="Z53" s="129"/>
    </row>
    <row r="54" ht="12.75" customHeight="1">
      <c r="B54" s="129"/>
      <c r="Z54" s="129"/>
    </row>
    <row r="55" ht="12.75" customHeight="1">
      <c r="B55" s="129"/>
      <c r="Z55" s="129"/>
    </row>
    <row r="56" ht="12.75" customHeight="1">
      <c r="B56" s="129"/>
      <c r="Z56" s="129"/>
    </row>
    <row r="57" ht="12.75" customHeight="1">
      <c r="B57" s="129"/>
      <c r="Z57" s="129"/>
    </row>
    <row r="58" ht="12.75" customHeight="1">
      <c r="B58" s="129"/>
      <c r="Z58" s="129"/>
    </row>
    <row r="59" ht="12.75" customHeight="1">
      <c r="B59" s="129"/>
      <c r="Z59" s="129"/>
    </row>
    <row r="60" ht="12.75" customHeight="1">
      <c r="B60" s="129"/>
      <c r="Z60" s="129"/>
    </row>
    <row r="61" ht="12.75" customHeight="1">
      <c r="B61" s="129"/>
      <c r="Z61" s="129"/>
    </row>
    <row r="62" ht="12.75" customHeight="1">
      <c r="B62" s="129"/>
      <c r="Z62" s="129"/>
    </row>
    <row r="63" ht="12.75" customHeight="1">
      <c r="B63" s="129"/>
      <c r="Z63" s="129"/>
    </row>
    <row r="64" ht="12.75" customHeight="1">
      <c r="B64" s="129"/>
      <c r="Z64" s="129"/>
    </row>
    <row r="65" ht="12.75" customHeight="1">
      <c r="B65" s="129"/>
      <c r="Z65" s="129"/>
    </row>
    <row r="66" ht="12.75" customHeight="1">
      <c r="B66" s="129"/>
      <c r="Z66" s="129"/>
    </row>
    <row r="67" ht="12.75" customHeight="1">
      <c r="B67" s="129"/>
      <c r="Z67" s="129"/>
    </row>
    <row r="68" ht="12.75" customHeight="1">
      <c r="B68" s="129"/>
      <c r="Z68" s="129"/>
    </row>
    <row r="69" ht="12.75" customHeight="1">
      <c r="B69" s="129"/>
      <c r="Z69" s="129"/>
    </row>
    <row r="70" ht="12.75" customHeight="1">
      <c r="B70" s="129"/>
      <c r="Z70" s="129"/>
    </row>
    <row r="71" ht="12.75" customHeight="1">
      <c r="B71" s="129"/>
      <c r="Z71" s="129"/>
    </row>
    <row r="72" ht="12.75" customHeight="1">
      <c r="B72" s="129"/>
      <c r="Z72" s="129"/>
    </row>
    <row r="73" ht="12.75" customHeight="1">
      <c r="B73" s="129"/>
      <c r="Z73" s="129"/>
    </row>
    <row r="74" ht="12.75" customHeight="1">
      <c r="B74" s="129"/>
      <c r="Z74" s="129"/>
    </row>
    <row r="75" ht="12.75" customHeight="1">
      <c r="B75" s="129"/>
      <c r="Z75" s="129"/>
    </row>
    <row r="76" ht="12.75" customHeight="1">
      <c r="B76" s="129"/>
      <c r="Z76" s="129"/>
    </row>
    <row r="77" ht="12.75" customHeight="1">
      <c r="B77" s="129"/>
      <c r="Z77" s="129"/>
    </row>
    <row r="78" ht="12.75" customHeight="1">
      <c r="B78" s="129"/>
      <c r="Z78" s="129"/>
    </row>
    <row r="79" ht="12.75" customHeight="1">
      <c r="B79" s="129"/>
      <c r="Z79" s="129"/>
    </row>
    <row r="80" ht="12.75" customHeight="1">
      <c r="B80" s="129"/>
      <c r="Z80" s="129"/>
    </row>
    <row r="81" ht="12.75" customHeight="1">
      <c r="B81" s="129"/>
      <c r="Z81" s="129"/>
    </row>
    <row r="82" ht="12.75" customHeight="1">
      <c r="B82" s="129"/>
      <c r="Z82" s="129"/>
    </row>
    <row r="83" ht="12.75" customHeight="1">
      <c r="B83" s="129"/>
      <c r="Z83" s="129"/>
    </row>
    <row r="84" ht="12.75" customHeight="1">
      <c r="B84" s="129"/>
      <c r="Z84" s="129"/>
    </row>
    <row r="85" ht="12.75" customHeight="1">
      <c r="B85" s="129"/>
      <c r="Z85" s="129"/>
    </row>
    <row r="86" ht="12.75" customHeight="1">
      <c r="B86" s="129"/>
      <c r="Z86" s="129"/>
    </row>
    <row r="87" ht="12.75" customHeight="1">
      <c r="B87" s="129"/>
      <c r="Z87" s="129"/>
    </row>
    <row r="88" ht="12.75" customHeight="1">
      <c r="B88" s="129"/>
      <c r="Z88" s="129"/>
    </row>
    <row r="89" ht="12.75" customHeight="1">
      <c r="B89" s="129"/>
      <c r="Z89" s="129"/>
    </row>
    <row r="90" ht="12.75" customHeight="1">
      <c r="B90" s="129"/>
      <c r="Z90" s="129"/>
    </row>
    <row r="91" ht="12.75" customHeight="1">
      <c r="B91" s="129"/>
      <c r="Z91" s="129"/>
    </row>
    <row r="92" ht="12.75" customHeight="1">
      <c r="B92" s="129"/>
      <c r="Z92" s="129"/>
    </row>
    <row r="93" ht="12.75" customHeight="1">
      <c r="B93" s="129"/>
      <c r="Z93" s="129"/>
    </row>
    <row r="94" ht="12.75" customHeight="1">
      <c r="B94" s="129"/>
      <c r="Z94" s="129"/>
    </row>
    <row r="95" ht="12.75" customHeight="1">
      <c r="B95" s="129"/>
      <c r="Z95" s="129"/>
    </row>
    <row r="96" ht="12.75" customHeight="1">
      <c r="B96" s="129"/>
      <c r="Z96" s="129"/>
    </row>
    <row r="97" ht="12.75" customHeight="1">
      <c r="B97" s="129"/>
      <c r="Z97" s="129"/>
    </row>
    <row r="98" ht="12.75" customHeight="1">
      <c r="B98" s="129"/>
      <c r="Z98" s="129"/>
    </row>
    <row r="99" ht="12.75" customHeight="1">
      <c r="B99" s="129"/>
      <c r="Z99" s="129"/>
    </row>
    <row r="100" ht="12.75" customHeight="1">
      <c r="B100" s="129"/>
      <c r="Z100" s="129"/>
    </row>
    <row r="101" ht="12.75" customHeight="1">
      <c r="B101" s="129"/>
      <c r="Z101" s="129"/>
    </row>
    <row r="102" ht="12.75" customHeight="1">
      <c r="B102" s="129"/>
      <c r="Z102" s="129"/>
    </row>
    <row r="103" ht="12.75" customHeight="1">
      <c r="B103" s="129"/>
      <c r="Z103" s="129"/>
    </row>
    <row r="104" ht="12.75" customHeight="1">
      <c r="B104" s="129"/>
      <c r="Z104" s="129"/>
    </row>
    <row r="105" ht="12.75" customHeight="1">
      <c r="B105" s="129"/>
      <c r="Z105" s="129"/>
    </row>
    <row r="106" ht="12.75" customHeight="1">
      <c r="B106" s="129"/>
      <c r="Z106" s="129"/>
    </row>
    <row r="107" ht="12.75" customHeight="1">
      <c r="B107" s="129"/>
      <c r="Z107" s="129"/>
    </row>
    <row r="108" ht="12.75" customHeight="1">
      <c r="B108" s="129"/>
      <c r="Z108" s="129"/>
    </row>
    <row r="109" ht="12.75" customHeight="1">
      <c r="B109" s="129"/>
      <c r="Z109" s="129"/>
    </row>
    <row r="110" ht="12.75" customHeight="1">
      <c r="B110" s="129"/>
      <c r="Z110" s="129"/>
    </row>
    <row r="111" ht="12.75" customHeight="1">
      <c r="B111" s="129"/>
      <c r="Z111" s="129"/>
    </row>
    <row r="112" ht="12.75" customHeight="1">
      <c r="B112" s="129"/>
      <c r="Z112" s="129"/>
    </row>
    <row r="113" ht="12.75" customHeight="1">
      <c r="B113" s="129"/>
      <c r="Z113" s="129"/>
    </row>
    <row r="114" ht="12.75" customHeight="1">
      <c r="B114" s="129"/>
      <c r="Z114" s="129"/>
    </row>
    <row r="115" ht="12.75" customHeight="1">
      <c r="B115" s="129"/>
      <c r="Z115" s="129"/>
    </row>
    <row r="116" ht="12.75" customHeight="1">
      <c r="B116" s="129"/>
      <c r="Z116" s="129"/>
    </row>
    <row r="117" ht="12.75" customHeight="1">
      <c r="B117" s="129"/>
      <c r="Z117" s="129"/>
    </row>
    <row r="118" ht="12.75" customHeight="1">
      <c r="B118" s="129"/>
      <c r="Z118" s="129"/>
    </row>
    <row r="119" ht="12.75" customHeight="1">
      <c r="B119" s="129"/>
      <c r="Z119" s="129"/>
    </row>
    <row r="120" ht="12.75" customHeight="1">
      <c r="B120" s="129"/>
      <c r="Z120" s="129"/>
    </row>
    <row r="121" ht="12.75" customHeight="1">
      <c r="B121" s="129"/>
      <c r="Z121" s="129"/>
    </row>
    <row r="122" ht="12.75" customHeight="1">
      <c r="B122" s="129"/>
      <c r="Z122" s="129"/>
    </row>
    <row r="123" ht="12.75" customHeight="1">
      <c r="B123" s="129"/>
      <c r="Z123" s="129"/>
    </row>
    <row r="124" ht="12.75" customHeight="1">
      <c r="B124" s="129"/>
      <c r="Z124" s="129"/>
    </row>
    <row r="125" ht="12.75" customHeight="1">
      <c r="B125" s="129"/>
      <c r="Z125" s="129"/>
    </row>
    <row r="126" ht="12.75" customHeight="1">
      <c r="B126" s="129"/>
      <c r="Z126" s="129"/>
    </row>
    <row r="127" ht="12.75" customHeight="1">
      <c r="B127" s="129"/>
      <c r="Z127" s="129"/>
    </row>
    <row r="128" ht="12.75" customHeight="1">
      <c r="B128" s="129"/>
      <c r="Z128" s="129"/>
    </row>
    <row r="129" ht="12.75" customHeight="1">
      <c r="B129" s="129"/>
      <c r="Z129" s="129"/>
    </row>
    <row r="130" ht="12.75" customHeight="1">
      <c r="B130" s="129"/>
      <c r="Z130" s="129"/>
    </row>
    <row r="131" ht="12.75" customHeight="1">
      <c r="B131" s="129"/>
      <c r="Z131" s="129"/>
    </row>
    <row r="132" ht="12.75" customHeight="1">
      <c r="B132" s="129"/>
      <c r="Z132" s="129"/>
    </row>
    <row r="133" ht="12.75" customHeight="1">
      <c r="B133" s="129"/>
      <c r="Z133" s="129"/>
    </row>
    <row r="134" ht="12.75" customHeight="1">
      <c r="B134" s="129"/>
      <c r="Z134" s="129"/>
    </row>
    <row r="135" ht="12.75" customHeight="1">
      <c r="B135" s="129"/>
      <c r="Z135" s="129"/>
    </row>
    <row r="136" ht="12.75" customHeight="1">
      <c r="B136" s="129"/>
      <c r="Z136" s="129"/>
    </row>
    <row r="137" ht="12.75" customHeight="1">
      <c r="B137" s="129"/>
      <c r="Z137" s="129"/>
    </row>
    <row r="138" ht="12.75" customHeight="1">
      <c r="B138" s="129"/>
      <c r="Z138" s="129"/>
    </row>
    <row r="139" ht="12.75" customHeight="1">
      <c r="B139" s="129"/>
      <c r="Z139" s="129"/>
    </row>
    <row r="140" ht="12.75" customHeight="1">
      <c r="B140" s="129"/>
      <c r="Z140" s="129"/>
    </row>
    <row r="141" ht="12.75" customHeight="1">
      <c r="B141" s="129"/>
      <c r="Z141" s="129"/>
    </row>
    <row r="142" ht="12.75" customHeight="1">
      <c r="B142" s="129"/>
      <c r="Z142" s="129"/>
    </row>
    <row r="143" ht="12.75" customHeight="1">
      <c r="B143" s="129"/>
      <c r="Z143" s="129"/>
    </row>
    <row r="144" ht="12.75" customHeight="1">
      <c r="B144" s="129"/>
      <c r="Z144" s="129"/>
    </row>
    <row r="145" ht="12.75" customHeight="1">
      <c r="B145" s="129"/>
      <c r="Z145" s="129"/>
    </row>
    <row r="146" ht="12.75" customHeight="1">
      <c r="B146" s="129"/>
      <c r="Z146" s="129"/>
    </row>
    <row r="147" ht="12.75" customHeight="1">
      <c r="B147" s="129"/>
      <c r="Z147" s="129"/>
    </row>
    <row r="148" ht="12.75" customHeight="1">
      <c r="B148" s="129"/>
      <c r="Z148" s="129"/>
    </row>
    <row r="149" ht="12.75" customHeight="1">
      <c r="B149" s="129"/>
      <c r="Z149" s="129"/>
    </row>
    <row r="150" ht="12.75" customHeight="1">
      <c r="B150" s="129"/>
      <c r="Z150" s="129"/>
    </row>
    <row r="151" ht="12.75" customHeight="1">
      <c r="B151" s="129"/>
      <c r="Z151" s="129"/>
    </row>
    <row r="152" ht="12.75" customHeight="1">
      <c r="B152" s="129"/>
      <c r="Z152" s="129"/>
    </row>
    <row r="153" ht="12.75" customHeight="1">
      <c r="B153" s="129"/>
      <c r="Z153" s="129"/>
    </row>
    <row r="154" ht="12.75" customHeight="1">
      <c r="B154" s="129"/>
      <c r="Z154" s="129"/>
    </row>
    <row r="155" ht="12.75" customHeight="1">
      <c r="B155" s="129"/>
      <c r="Z155" s="129"/>
    </row>
    <row r="156" ht="12.75" customHeight="1">
      <c r="B156" s="129"/>
      <c r="Z156" s="129"/>
    </row>
    <row r="157" ht="12.75" customHeight="1">
      <c r="B157" s="129"/>
      <c r="Z157" s="129"/>
    </row>
    <row r="158" ht="12.75" customHeight="1">
      <c r="B158" s="129"/>
      <c r="Z158" s="129"/>
    </row>
    <row r="159" ht="12.75" customHeight="1">
      <c r="B159" s="129"/>
      <c r="Z159" s="129"/>
    </row>
    <row r="160" ht="12.75" customHeight="1">
      <c r="B160" s="129"/>
      <c r="Z160" s="129"/>
    </row>
    <row r="161" ht="12.75" customHeight="1">
      <c r="B161" s="129"/>
      <c r="Z161" s="129"/>
    </row>
    <row r="162" ht="12.75" customHeight="1">
      <c r="B162" s="129"/>
      <c r="Z162" s="129"/>
    </row>
    <row r="163" ht="12.75" customHeight="1">
      <c r="B163" s="129"/>
      <c r="Z163" s="129"/>
    </row>
    <row r="164" ht="12.75" customHeight="1">
      <c r="B164" s="129"/>
      <c r="Z164" s="129"/>
    </row>
    <row r="165" ht="12.75" customHeight="1">
      <c r="B165" s="129"/>
      <c r="Z165" s="129"/>
    </row>
    <row r="166" ht="12.75" customHeight="1">
      <c r="B166" s="129"/>
      <c r="Z166" s="129"/>
    </row>
    <row r="167" ht="12.75" customHeight="1">
      <c r="B167" s="129"/>
      <c r="Z167" s="129"/>
    </row>
    <row r="168" ht="12.75" customHeight="1">
      <c r="B168" s="129"/>
      <c r="Z168" s="129"/>
    </row>
    <row r="169" ht="12.75" customHeight="1">
      <c r="B169" s="129"/>
      <c r="Z169" s="129"/>
    </row>
    <row r="170" ht="12.75" customHeight="1">
      <c r="B170" s="129"/>
      <c r="Z170" s="129"/>
    </row>
    <row r="171" ht="12.75" customHeight="1">
      <c r="B171" s="129"/>
      <c r="Z171" s="129"/>
    </row>
    <row r="172" ht="12.75" customHeight="1">
      <c r="B172" s="129"/>
      <c r="Z172" s="129"/>
    </row>
    <row r="173" ht="12.75" customHeight="1">
      <c r="B173" s="129"/>
      <c r="Z173" s="129"/>
    </row>
    <row r="174" ht="12.75" customHeight="1">
      <c r="B174" s="129"/>
      <c r="Z174" s="129"/>
    </row>
    <row r="175" ht="12.75" customHeight="1">
      <c r="B175" s="129"/>
      <c r="Z175" s="129"/>
    </row>
    <row r="176" ht="12.75" customHeight="1">
      <c r="B176" s="129"/>
      <c r="Z176" s="129"/>
    </row>
    <row r="177" ht="12.75" customHeight="1">
      <c r="B177" s="129"/>
      <c r="Z177" s="129"/>
    </row>
    <row r="178" ht="12.75" customHeight="1">
      <c r="B178" s="129"/>
      <c r="Z178" s="129"/>
    </row>
    <row r="179" ht="12.75" customHeight="1">
      <c r="B179" s="129"/>
      <c r="Z179" s="129"/>
    </row>
    <row r="180" ht="12.75" customHeight="1">
      <c r="B180" s="129"/>
      <c r="Z180" s="129"/>
    </row>
    <row r="181" ht="12.75" customHeight="1">
      <c r="B181" s="129"/>
      <c r="Z181" s="129"/>
    </row>
    <row r="182" ht="12.75" customHeight="1">
      <c r="B182" s="129"/>
      <c r="Z182" s="129"/>
    </row>
    <row r="183" ht="12.75" customHeight="1">
      <c r="B183" s="129"/>
      <c r="Z183" s="129"/>
    </row>
    <row r="184" ht="12.75" customHeight="1">
      <c r="B184" s="129"/>
      <c r="Z184" s="129"/>
    </row>
    <row r="185" ht="12.75" customHeight="1">
      <c r="B185" s="129"/>
      <c r="Z185" s="129"/>
    </row>
    <row r="186" ht="12.75" customHeight="1">
      <c r="B186" s="129"/>
      <c r="Z186" s="129"/>
    </row>
    <row r="187" ht="12.75" customHeight="1">
      <c r="B187" s="129"/>
      <c r="Z187" s="129"/>
    </row>
    <row r="188" ht="12.75" customHeight="1">
      <c r="B188" s="129"/>
      <c r="Z188" s="129"/>
    </row>
    <row r="189" ht="12.75" customHeight="1">
      <c r="B189" s="129"/>
      <c r="Z189" s="129"/>
    </row>
    <row r="190" ht="12.75" customHeight="1">
      <c r="B190" s="129"/>
      <c r="Z190" s="129"/>
    </row>
    <row r="191" ht="12.75" customHeight="1">
      <c r="B191" s="129"/>
      <c r="Z191" s="129"/>
    </row>
    <row r="192" ht="12.75" customHeight="1">
      <c r="B192" s="129"/>
      <c r="Z192" s="129"/>
    </row>
    <row r="193" ht="12.75" customHeight="1">
      <c r="B193" s="129"/>
      <c r="Z193" s="129"/>
    </row>
    <row r="194" ht="12.75" customHeight="1">
      <c r="B194" s="129"/>
      <c r="Z194" s="129"/>
    </row>
    <row r="195" ht="12.75" customHeight="1">
      <c r="B195" s="129"/>
      <c r="Z195" s="129"/>
    </row>
    <row r="196" ht="12.75" customHeight="1">
      <c r="B196" s="129"/>
      <c r="Z196" s="129"/>
    </row>
    <row r="197" ht="12.75" customHeight="1">
      <c r="B197" s="129"/>
      <c r="Z197" s="129"/>
    </row>
    <row r="198" ht="12.75" customHeight="1">
      <c r="B198" s="129"/>
      <c r="Z198" s="129"/>
    </row>
    <row r="199" ht="12.75" customHeight="1">
      <c r="B199" s="129"/>
      <c r="Z199" s="129"/>
    </row>
    <row r="200" ht="12.75" customHeight="1">
      <c r="B200" s="129"/>
      <c r="Z200" s="129"/>
    </row>
    <row r="201" ht="12.75" customHeight="1">
      <c r="B201" s="129"/>
      <c r="Z201" s="129"/>
    </row>
    <row r="202" ht="12.75" customHeight="1">
      <c r="B202" s="129"/>
      <c r="Z202" s="129"/>
    </row>
    <row r="203" ht="12.75" customHeight="1">
      <c r="B203" s="129"/>
      <c r="Z203" s="129"/>
    </row>
    <row r="204" ht="12.75" customHeight="1">
      <c r="B204" s="129"/>
      <c r="Z204" s="129"/>
    </row>
    <row r="205" ht="12.75" customHeight="1">
      <c r="B205" s="129"/>
      <c r="Z205" s="129"/>
    </row>
    <row r="206" ht="12.75" customHeight="1">
      <c r="B206" s="129"/>
      <c r="Z206" s="129"/>
    </row>
    <row r="207" ht="12.75" customHeight="1">
      <c r="B207" s="129"/>
      <c r="Z207" s="129"/>
    </row>
    <row r="208" ht="12.75" customHeight="1">
      <c r="B208" s="129"/>
      <c r="Z208" s="129"/>
    </row>
    <row r="209" ht="12.75" customHeight="1">
      <c r="B209" s="129"/>
      <c r="Z209" s="129"/>
    </row>
    <row r="210" ht="12.75" customHeight="1">
      <c r="B210" s="129"/>
      <c r="Z210" s="129"/>
    </row>
    <row r="211" ht="12.75" customHeight="1">
      <c r="B211" s="129"/>
      <c r="Z211" s="129"/>
    </row>
    <row r="212" ht="12.75" customHeight="1">
      <c r="B212" s="129"/>
      <c r="Z212" s="129"/>
    </row>
    <row r="213" ht="12.75" customHeight="1">
      <c r="B213" s="129"/>
      <c r="Z213" s="129"/>
    </row>
    <row r="214" ht="12.75" customHeight="1">
      <c r="B214" s="129"/>
      <c r="Z214" s="129"/>
    </row>
    <row r="215" ht="12.75" customHeight="1">
      <c r="B215" s="129"/>
      <c r="Z215" s="129"/>
    </row>
    <row r="216" ht="12.75" customHeight="1">
      <c r="B216" s="129"/>
      <c r="Z216" s="129"/>
    </row>
    <row r="217" ht="12.75" customHeight="1">
      <c r="B217" s="129"/>
      <c r="Z217" s="129"/>
    </row>
    <row r="218" ht="12.75" customHeight="1">
      <c r="B218" s="129"/>
      <c r="Z218" s="129"/>
    </row>
    <row r="219" ht="12.75" customHeight="1">
      <c r="B219" s="129"/>
      <c r="Z219" s="129"/>
    </row>
    <row r="220" ht="12.75" customHeight="1">
      <c r="B220" s="129"/>
      <c r="Z220" s="129"/>
    </row>
    <row r="221" ht="12.75" customHeight="1">
      <c r="B221" s="129"/>
      <c r="Z221" s="129"/>
    </row>
    <row r="222" ht="12.75" customHeight="1">
      <c r="B222" s="129"/>
      <c r="Z222" s="129"/>
    </row>
    <row r="223" ht="12.75" customHeight="1">
      <c r="B223" s="129"/>
      <c r="Z223" s="129"/>
    </row>
    <row r="224" ht="12.75" customHeight="1">
      <c r="B224" s="129"/>
      <c r="Z224" s="129"/>
    </row>
    <row r="225" ht="12.75" customHeight="1">
      <c r="B225" s="129"/>
      <c r="Z225" s="129"/>
    </row>
    <row r="226" ht="12.75" customHeight="1">
      <c r="B226" s="129"/>
      <c r="Z226" s="129"/>
    </row>
    <row r="227" ht="12.75" customHeight="1">
      <c r="B227" s="129"/>
      <c r="Z227" s="129"/>
    </row>
    <row r="228" ht="12.75" customHeight="1">
      <c r="B228" s="129"/>
      <c r="Z228" s="129"/>
    </row>
    <row r="229" ht="12.75" customHeight="1">
      <c r="B229" s="129"/>
      <c r="Z229" s="129"/>
    </row>
    <row r="230" ht="12.75" customHeight="1">
      <c r="B230" s="129"/>
      <c r="Z230" s="129"/>
    </row>
    <row r="231" ht="12.75" customHeight="1">
      <c r="B231" s="129"/>
      <c r="Z231" s="129"/>
    </row>
    <row r="232" ht="12.75" customHeight="1">
      <c r="B232" s="129"/>
      <c r="Z232" s="129"/>
    </row>
    <row r="233" ht="12.75" customHeight="1">
      <c r="B233" s="129"/>
      <c r="Z233" s="129"/>
    </row>
    <row r="234" ht="12.75" customHeight="1">
      <c r="B234" s="129"/>
      <c r="Z234" s="129"/>
    </row>
    <row r="235" ht="12.75" customHeight="1">
      <c r="B235" s="129"/>
      <c r="Z235" s="129"/>
    </row>
    <row r="236" ht="12.75" customHeight="1">
      <c r="B236" s="129"/>
      <c r="Z236" s="129"/>
    </row>
    <row r="237" ht="12.75" customHeight="1">
      <c r="B237" s="129"/>
      <c r="Z237" s="129"/>
    </row>
    <row r="238" ht="12.75" customHeight="1">
      <c r="B238" s="129"/>
      <c r="Z238" s="129"/>
    </row>
    <row r="239" ht="12.75" customHeight="1">
      <c r="B239" s="129"/>
      <c r="Z239" s="129"/>
    </row>
    <row r="240" ht="12.75" customHeight="1">
      <c r="B240" s="129"/>
      <c r="Z240" s="129"/>
    </row>
    <row r="241" ht="12.75" customHeight="1">
      <c r="B241" s="129"/>
      <c r="Z241" s="129"/>
    </row>
    <row r="242" ht="12.75" customHeight="1">
      <c r="B242" s="129"/>
      <c r="Z242" s="129"/>
    </row>
    <row r="243" ht="12.75" customHeight="1">
      <c r="B243" s="129"/>
      <c r="Z243" s="129"/>
    </row>
    <row r="244" ht="12.75" customHeight="1">
      <c r="B244" s="129"/>
      <c r="Z244" s="129"/>
    </row>
    <row r="245" ht="12.75" customHeight="1">
      <c r="B245" s="129"/>
      <c r="Z245" s="129"/>
    </row>
    <row r="246" ht="12.75" customHeight="1">
      <c r="B246" s="129"/>
      <c r="Z246" s="129"/>
    </row>
    <row r="247" ht="12.75" customHeight="1">
      <c r="B247" s="129"/>
      <c r="Z247" s="129"/>
    </row>
    <row r="248" ht="12.75" customHeight="1">
      <c r="B248" s="129"/>
      <c r="Z248" s="129"/>
    </row>
    <row r="249" ht="12.75" customHeight="1">
      <c r="B249" s="129"/>
      <c r="Z249" s="129"/>
    </row>
    <row r="250" ht="12.75" customHeight="1">
      <c r="B250" s="129"/>
      <c r="Z250" s="129"/>
    </row>
    <row r="251" ht="12.75" customHeight="1">
      <c r="B251" s="129"/>
      <c r="Z251" s="129"/>
    </row>
    <row r="252" ht="12.75" customHeight="1">
      <c r="B252" s="129"/>
      <c r="Z252" s="129"/>
    </row>
    <row r="253" ht="12.75" customHeight="1">
      <c r="B253" s="129"/>
      <c r="Z253" s="129"/>
    </row>
    <row r="254" ht="12.75" customHeight="1">
      <c r="B254" s="129"/>
      <c r="Z254" s="129"/>
    </row>
    <row r="255" ht="12.75" customHeight="1">
      <c r="B255" s="129"/>
      <c r="Z255" s="129"/>
    </row>
    <row r="256" ht="12.75" customHeight="1">
      <c r="B256" s="129"/>
      <c r="Z256" s="129"/>
    </row>
    <row r="257" ht="12.75" customHeight="1">
      <c r="B257" s="129"/>
      <c r="Z257" s="129"/>
    </row>
    <row r="258" ht="12.75" customHeight="1">
      <c r="B258" s="129"/>
      <c r="Z258" s="129"/>
    </row>
    <row r="259" ht="12.75" customHeight="1">
      <c r="B259" s="129"/>
      <c r="Z259" s="129"/>
    </row>
    <row r="260" ht="12.75" customHeight="1">
      <c r="B260" s="129"/>
      <c r="Z260" s="129"/>
    </row>
    <row r="261" ht="12.75" customHeight="1">
      <c r="B261" s="129"/>
      <c r="Z261" s="129"/>
    </row>
    <row r="262" ht="12.75" customHeight="1">
      <c r="B262" s="129"/>
      <c r="Z262" s="129"/>
    </row>
    <row r="263" ht="12.75" customHeight="1">
      <c r="B263" s="129"/>
      <c r="Z263" s="129"/>
    </row>
    <row r="264" ht="12.75" customHeight="1">
      <c r="B264" s="129"/>
      <c r="Z264" s="129"/>
    </row>
    <row r="265" ht="12.75" customHeight="1">
      <c r="B265" s="129"/>
      <c r="Z265" s="129"/>
    </row>
    <row r="266" ht="12.75" customHeight="1">
      <c r="B266" s="129"/>
      <c r="Z266" s="129"/>
    </row>
    <row r="267" ht="12.75" customHeight="1">
      <c r="B267" s="129"/>
      <c r="Z267" s="129"/>
    </row>
    <row r="268" ht="12.75" customHeight="1">
      <c r="B268" s="129"/>
      <c r="Z268" s="129"/>
    </row>
    <row r="269" ht="12.75" customHeight="1">
      <c r="B269" s="129"/>
      <c r="Z269" s="129"/>
    </row>
    <row r="270" ht="12.75" customHeight="1">
      <c r="B270" s="129"/>
      <c r="Z270" s="129"/>
    </row>
    <row r="271" ht="12.75" customHeight="1">
      <c r="B271" s="129"/>
      <c r="Z271" s="129"/>
    </row>
    <row r="272" ht="12.75" customHeight="1">
      <c r="B272" s="129"/>
      <c r="Z272" s="129"/>
    </row>
    <row r="273" ht="12.75" customHeight="1">
      <c r="B273" s="129"/>
      <c r="Z273" s="129"/>
    </row>
    <row r="274" ht="12.75" customHeight="1">
      <c r="B274" s="129"/>
      <c r="Z274" s="129"/>
    </row>
    <row r="275" ht="12.75" customHeight="1">
      <c r="B275" s="129"/>
      <c r="Z275" s="129"/>
    </row>
    <row r="276" ht="12.75" customHeight="1">
      <c r="B276" s="129"/>
      <c r="Z276" s="129"/>
    </row>
    <row r="277" ht="12.75" customHeight="1">
      <c r="B277" s="129"/>
      <c r="Z277" s="129"/>
    </row>
    <row r="278" ht="12.75" customHeight="1">
      <c r="B278" s="129"/>
      <c r="Z278" s="129"/>
    </row>
    <row r="279" ht="12.75" customHeight="1">
      <c r="B279" s="129"/>
      <c r="Z279" s="129"/>
    </row>
    <row r="280" ht="12.75" customHeight="1">
      <c r="B280" s="129"/>
      <c r="Z280" s="129"/>
    </row>
    <row r="281" ht="12.75" customHeight="1">
      <c r="B281" s="129"/>
      <c r="Z281" s="129"/>
    </row>
    <row r="282" ht="12.75" customHeight="1">
      <c r="B282" s="129"/>
      <c r="Z282" s="129"/>
    </row>
    <row r="283" ht="12.75" customHeight="1">
      <c r="B283" s="129"/>
      <c r="Z283" s="129"/>
    </row>
    <row r="284" ht="12.75" customHeight="1">
      <c r="B284" s="129"/>
      <c r="Z284" s="129"/>
    </row>
    <row r="285" ht="12.75" customHeight="1">
      <c r="B285" s="129"/>
      <c r="Z285" s="129"/>
    </row>
    <row r="286" ht="12.75" customHeight="1">
      <c r="B286" s="129"/>
      <c r="Z286" s="129"/>
    </row>
    <row r="287" ht="12.75" customHeight="1">
      <c r="B287" s="129"/>
      <c r="Z287" s="129"/>
    </row>
    <row r="288" ht="12.75" customHeight="1">
      <c r="B288" s="129"/>
      <c r="Z288" s="129"/>
    </row>
    <row r="289" ht="12.75" customHeight="1">
      <c r="B289" s="129"/>
      <c r="Z289" s="129"/>
    </row>
    <row r="290" ht="12.75" customHeight="1">
      <c r="B290" s="129"/>
      <c r="Z290" s="129"/>
    </row>
    <row r="291" ht="12.75" customHeight="1">
      <c r="B291" s="129"/>
      <c r="Z291" s="129"/>
    </row>
    <row r="292" ht="12.75" customHeight="1">
      <c r="B292" s="129"/>
      <c r="Z292" s="129"/>
    </row>
    <row r="293" ht="12.75" customHeight="1">
      <c r="B293" s="129"/>
      <c r="Z293" s="129"/>
    </row>
    <row r="294" ht="12.75" customHeight="1">
      <c r="B294" s="129"/>
      <c r="Z294" s="129"/>
    </row>
    <row r="295" ht="12.75" customHeight="1">
      <c r="B295" s="129"/>
      <c r="Z295" s="129"/>
    </row>
    <row r="296" ht="12.75" customHeight="1">
      <c r="B296" s="129"/>
      <c r="Z296" s="129"/>
    </row>
    <row r="297" ht="12.75" customHeight="1">
      <c r="B297" s="129"/>
      <c r="Z297" s="129"/>
    </row>
    <row r="298" ht="12.75" customHeight="1">
      <c r="B298" s="129"/>
      <c r="Z298" s="129"/>
    </row>
    <row r="299" ht="12.75" customHeight="1">
      <c r="B299" s="129"/>
      <c r="Z299" s="129"/>
    </row>
    <row r="300" ht="12.75" customHeight="1">
      <c r="B300" s="129"/>
      <c r="Z300" s="129"/>
    </row>
    <row r="301" ht="12.75" customHeight="1">
      <c r="B301" s="129"/>
      <c r="Z301" s="129"/>
    </row>
    <row r="302" ht="12.75" customHeight="1">
      <c r="B302" s="129"/>
      <c r="Z302" s="129"/>
    </row>
    <row r="303" ht="12.75" customHeight="1">
      <c r="B303" s="129"/>
      <c r="Z303" s="129"/>
    </row>
    <row r="304" ht="12.75" customHeight="1">
      <c r="B304" s="129"/>
      <c r="Z304" s="129"/>
    </row>
    <row r="305" ht="12.75" customHeight="1">
      <c r="B305" s="129"/>
      <c r="Z305" s="129"/>
    </row>
    <row r="306" ht="12.75" customHeight="1">
      <c r="B306" s="129"/>
      <c r="Z306" s="129"/>
    </row>
    <row r="307" ht="12.75" customHeight="1">
      <c r="B307" s="129"/>
      <c r="Z307" s="129"/>
    </row>
    <row r="308" ht="12.75" customHeight="1">
      <c r="B308" s="129"/>
      <c r="Z308" s="129"/>
    </row>
    <row r="309" ht="12.75" customHeight="1">
      <c r="B309" s="129"/>
      <c r="Z309" s="129"/>
    </row>
    <row r="310" ht="12.75" customHeight="1">
      <c r="B310" s="129"/>
      <c r="Z310" s="129"/>
    </row>
    <row r="311" ht="12.75" customHeight="1">
      <c r="B311" s="129"/>
      <c r="Z311" s="129"/>
    </row>
    <row r="312" ht="12.75" customHeight="1">
      <c r="B312" s="129"/>
      <c r="Z312" s="129"/>
    </row>
    <row r="313" ht="12.75" customHeight="1">
      <c r="B313" s="129"/>
      <c r="Z313" s="129"/>
    </row>
    <row r="314" ht="12.75" customHeight="1">
      <c r="B314" s="129"/>
      <c r="Z314" s="129"/>
    </row>
    <row r="315" ht="12.75" customHeight="1">
      <c r="B315" s="129"/>
      <c r="Z315" s="129"/>
    </row>
    <row r="316" ht="12.75" customHeight="1">
      <c r="B316" s="129"/>
      <c r="Z316" s="129"/>
    </row>
    <row r="317" ht="12.75" customHeight="1">
      <c r="B317" s="129"/>
      <c r="Z317" s="129"/>
    </row>
    <row r="318" ht="12.75" customHeight="1">
      <c r="B318" s="129"/>
      <c r="Z318" s="129"/>
    </row>
    <row r="319" ht="12.75" customHeight="1">
      <c r="B319" s="129"/>
      <c r="Z319" s="129"/>
    </row>
    <row r="320" ht="12.75" customHeight="1">
      <c r="B320" s="129"/>
      <c r="Z320" s="129"/>
    </row>
    <row r="321" ht="12.75" customHeight="1">
      <c r="B321" s="129"/>
      <c r="Z321" s="129"/>
    </row>
    <row r="322" ht="12.75" customHeight="1">
      <c r="B322" s="129"/>
      <c r="Z322" s="129"/>
    </row>
    <row r="323" ht="12.75" customHeight="1">
      <c r="B323" s="129"/>
      <c r="Z323" s="129"/>
    </row>
    <row r="324" ht="12.75" customHeight="1">
      <c r="B324" s="129"/>
      <c r="Z324" s="129"/>
    </row>
    <row r="325" ht="12.75" customHeight="1">
      <c r="B325" s="129"/>
      <c r="Z325" s="129"/>
    </row>
    <row r="326" ht="12.75" customHeight="1">
      <c r="B326" s="129"/>
      <c r="Z326" s="129"/>
    </row>
    <row r="327" ht="12.75" customHeight="1">
      <c r="B327" s="129"/>
      <c r="Z327" s="129"/>
    </row>
    <row r="328" ht="12.75" customHeight="1">
      <c r="B328" s="129"/>
      <c r="Z328" s="129"/>
    </row>
    <row r="329" ht="12.75" customHeight="1">
      <c r="B329" s="129"/>
      <c r="Z329" s="129"/>
    </row>
    <row r="330" ht="12.75" customHeight="1">
      <c r="B330" s="129"/>
      <c r="Z330" s="129"/>
    </row>
    <row r="331" ht="12.75" customHeight="1">
      <c r="B331" s="129"/>
      <c r="Z331" s="129"/>
    </row>
    <row r="332" ht="12.75" customHeight="1">
      <c r="B332" s="129"/>
      <c r="Z332" s="129"/>
    </row>
    <row r="333" ht="12.75" customHeight="1">
      <c r="B333" s="129"/>
      <c r="Z333" s="129"/>
    </row>
    <row r="334" ht="12.75" customHeight="1">
      <c r="B334" s="129"/>
      <c r="Z334" s="129"/>
    </row>
    <row r="335" ht="12.75" customHeight="1">
      <c r="B335" s="129"/>
      <c r="Z335" s="129"/>
    </row>
    <row r="336" ht="12.75" customHeight="1">
      <c r="B336" s="129"/>
      <c r="Z336" s="129"/>
    </row>
    <row r="337" ht="12.75" customHeight="1">
      <c r="B337" s="129"/>
      <c r="Z337" s="129"/>
    </row>
    <row r="338" ht="12.75" customHeight="1">
      <c r="B338" s="129"/>
      <c r="Z338" s="129"/>
    </row>
    <row r="339" ht="12.75" customHeight="1">
      <c r="B339" s="129"/>
      <c r="Z339" s="129"/>
    </row>
    <row r="340" ht="12.75" customHeight="1">
      <c r="B340" s="129"/>
      <c r="Z340" s="129"/>
    </row>
    <row r="341" ht="12.75" customHeight="1">
      <c r="B341" s="129"/>
      <c r="Z341" s="129"/>
    </row>
    <row r="342" ht="12.75" customHeight="1">
      <c r="B342" s="129"/>
      <c r="Z342" s="129"/>
    </row>
    <row r="343" ht="12.75" customHeight="1">
      <c r="B343" s="129"/>
      <c r="Z343" s="129"/>
    </row>
    <row r="344" ht="12.75" customHeight="1">
      <c r="B344" s="129"/>
      <c r="Z344" s="129"/>
    </row>
    <row r="345" ht="12.75" customHeight="1">
      <c r="B345" s="129"/>
      <c r="Z345" s="129"/>
    </row>
    <row r="346" ht="12.75" customHeight="1">
      <c r="B346" s="129"/>
      <c r="Z346" s="129"/>
    </row>
    <row r="347" ht="12.75" customHeight="1">
      <c r="B347" s="129"/>
      <c r="Z347" s="129"/>
    </row>
    <row r="348" ht="12.75" customHeight="1">
      <c r="B348" s="129"/>
      <c r="Z348" s="129"/>
    </row>
    <row r="349" ht="12.75" customHeight="1">
      <c r="B349" s="129"/>
      <c r="Z349" s="129"/>
    </row>
    <row r="350" ht="12.75" customHeight="1">
      <c r="B350" s="129"/>
      <c r="Z350" s="129"/>
    </row>
    <row r="351" ht="12.75" customHeight="1">
      <c r="B351" s="129"/>
      <c r="Z351" s="129"/>
    </row>
    <row r="352" ht="12.75" customHeight="1">
      <c r="B352" s="129"/>
      <c r="Z352" s="129"/>
    </row>
    <row r="353" ht="12.75" customHeight="1">
      <c r="B353" s="129"/>
      <c r="Z353" s="129"/>
    </row>
    <row r="354" ht="12.75" customHeight="1">
      <c r="B354" s="129"/>
      <c r="Z354" s="129"/>
    </row>
    <row r="355" ht="12.75" customHeight="1">
      <c r="B355" s="129"/>
      <c r="Z355" s="129"/>
    </row>
    <row r="356" ht="12.75" customHeight="1">
      <c r="B356" s="129"/>
      <c r="Z356" s="129"/>
    </row>
    <row r="357" ht="12.75" customHeight="1">
      <c r="B357" s="129"/>
      <c r="Z357" s="129"/>
    </row>
    <row r="358" ht="12.75" customHeight="1">
      <c r="B358" s="129"/>
      <c r="Z358" s="129"/>
    </row>
    <row r="359" ht="12.75" customHeight="1">
      <c r="B359" s="129"/>
      <c r="Z359" s="129"/>
    </row>
    <row r="360" ht="12.75" customHeight="1">
      <c r="B360" s="129"/>
      <c r="Z360" s="129"/>
    </row>
    <row r="361" ht="12.75" customHeight="1">
      <c r="B361" s="129"/>
      <c r="Z361" s="129"/>
    </row>
    <row r="362" ht="12.75" customHeight="1">
      <c r="B362" s="129"/>
      <c r="Z362" s="129"/>
    </row>
    <row r="363" ht="12.75" customHeight="1">
      <c r="B363" s="129"/>
      <c r="Z363" s="129"/>
    </row>
    <row r="364" ht="12.75" customHeight="1">
      <c r="B364" s="129"/>
      <c r="Z364" s="129"/>
    </row>
    <row r="365" ht="12.75" customHeight="1">
      <c r="B365" s="129"/>
      <c r="Z365" s="129"/>
    </row>
    <row r="366" ht="12.75" customHeight="1">
      <c r="B366" s="129"/>
      <c r="Z366" s="129"/>
    </row>
    <row r="367" ht="12.75" customHeight="1">
      <c r="B367" s="129"/>
      <c r="Z367" s="129"/>
    </row>
    <row r="368" ht="12.75" customHeight="1">
      <c r="B368" s="129"/>
      <c r="Z368" s="129"/>
    </row>
    <row r="369" ht="12.75" customHeight="1">
      <c r="B369" s="129"/>
      <c r="Z369" s="129"/>
    </row>
    <row r="370" ht="12.75" customHeight="1">
      <c r="B370" s="129"/>
      <c r="Z370" s="129"/>
    </row>
    <row r="371" ht="12.75" customHeight="1">
      <c r="B371" s="129"/>
      <c r="Z371" s="129"/>
    </row>
    <row r="372" ht="12.75" customHeight="1">
      <c r="B372" s="129"/>
      <c r="Z372" s="129"/>
    </row>
    <row r="373" ht="12.75" customHeight="1">
      <c r="B373" s="129"/>
      <c r="Z373" s="129"/>
    </row>
    <row r="374" ht="12.75" customHeight="1">
      <c r="B374" s="129"/>
      <c r="Z374" s="129"/>
    </row>
    <row r="375" ht="12.75" customHeight="1">
      <c r="B375" s="129"/>
      <c r="Z375" s="129"/>
    </row>
    <row r="376" ht="12.75" customHeight="1">
      <c r="B376" s="129"/>
      <c r="Z376" s="129"/>
    </row>
    <row r="377" ht="12.75" customHeight="1">
      <c r="B377" s="129"/>
      <c r="Z377" s="129"/>
    </row>
    <row r="378" ht="12.75" customHeight="1">
      <c r="B378" s="129"/>
      <c r="Z378" s="129"/>
    </row>
    <row r="379" ht="12.75" customHeight="1">
      <c r="B379" s="129"/>
      <c r="Z379" s="129"/>
    </row>
    <row r="380" ht="12.75" customHeight="1">
      <c r="B380" s="129"/>
      <c r="Z380" s="129"/>
    </row>
    <row r="381" ht="12.75" customHeight="1">
      <c r="B381" s="129"/>
      <c r="Z381" s="129"/>
    </row>
    <row r="382" ht="12.75" customHeight="1">
      <c r="B382" s="129"/>
      <c r="Z382" s="129"/>
    </row>
    <row r="383" ht="12.75" customHeight="1">
      <c r="B383" s="129"/>
      <c r="Z383" s="129"/>
    </row>
    <row r="384" ht="12.75" customHeight="1">
      <c r="B384" s="129"/>
      <c r="Z384" s="129"/>
    </row>
    <row r="385" ht="12.75" customHeight="1">
      <c r="B385" s="129"/>
      <c r="Z385" s="129"/>
    </row>
    <row r="386" ht="12.75" customHeight="1">
      <c r="B386" s="129"/>
      <c r="Z386" s="129"/>
    </row>
    <row r="387" ht="12.75" customHeight="1">
      <c r="B387" s="129"/>
      <c r="Z387" s="129"/>
    </row>
    <row r="388" ht="12.75" customHeight="1">
      <c r="B388" s="129"/>
      <c r="Z388" s="129"/>
    </row>
    <row r="389" ht="12.75" customHeight="1">
      <c r="B389" s="129"/>
      <c r="Z389" s="129"/>
    </row>
    <row r="390" ht="12.75" customHeight="1">
      <c r="B390" s="129"/>
      <c r="Z390" s="129"/>
    </row>
    <row r="391" ht="12.75" customHeight="1">
      <c r="B391" s="129"/>
      <c r="Z391" s="129"/>
    </row>
    <row r="392" ht="12.75" customHeight="1">
      <c r="B392" s="129"/>
      <c r="Z392" s="129"/>
    </row>
    <row r="393" ht="12.75" customHeight="1">
      <c r="B393" s="129"/>
      <c r="Z393" s="129"/>
    </row>
    <row r="394" ht="12.75" customHeight="1">
      <c r="B394" s="129"/>
      <c r="Z394" s="129"/>
    </row>
    <row r="395" ht="12.75" customHeight="1">
      <c r="B395" s="129"/>
      <c r="Z395" s="129"/>
    </row>
    <row r="396" ht="12.75" customHeight="1">
      <c r="B396" s="129"/>
      <c r="Z396" s="129"/>
    </row>
    <row r="397" ht="12.75" customHeight="1">
      <c r="B397" s="129"/>
      <c r="Z397" s="129"/>
    </row>
    <row r="398" ht="12.75" customHeight="1">
      <c r="B398" s="129"/>
      <c r="Z398" s="129"/>
    </row>
    <row r="399" ht="12.75" customHeight="1">
      <c r="B399" s="129"/>
      <c r="Z399" s="129"/>
    </row>
    <row r="400" ht="12.75" customHeight="1">
      <c r="B400" s="129"/>
      <c r="Z400" s="129"/>
    </row>
    <row r="401" ht="12.75" customHeight="1">
      <c r="B401" s="129"/>
      <c r="Z401" s="129"/>
    </row>
    <row r="402" ht="12.75" customHeight="1">
      <c r="B402" s="129"/>
      <c r="Z402" s="129"/>
    </row>
    <row r="403" ht="12.75" customHeight="1">
      <c r="B403" s="129"/>
      <c r="Z403" s="129"/>
    </row>
    <row r="404" ht="12.75" customHeight="1">
      <c r="B404" s="129"/>
      <c r="Z404" s="129"/>
    </row>
    <row r="405" ht="12.75" customHeight="1">
      <c r="B405" s="129"/>
      <c r="Z405" s="129"/>
    </row>
    <row r="406" ht="12.75" customHeight="1">
      <c r="B406" s="129"/>
      <c r="Z406" s="129"/>
    </row>
    <row r="407" ht="12.75" customHeight="1">
      <c r="B407" s="129"/>
      <c r="Z407" s="129"/>
    </row>
    <row r="408" ht="12.75" customHeight="1">
      <c r="B408" s="129"/>
      <c r="Z408" s="129"/>
    </row>
    <row r="409" ht="12.75" customHeight="1">
      <c r="B409" s="129"/>
      <c r="Z409" s="129"/>
    </row>
    <row r="410" ht="12.75" customHeight="1">
      <c r="B410" s="129"/>
      <c r="Z410" s="129"/>
    </row>
    <row r="411" ht="12.75" customHeight="1">
      <c r="B411" s="129"/>
      <c r="Z411" s="129"/>
    </row>
    <row r="412" ht="12.75" customHeight="1">
      <c r="B412" s="129"/>
      <c r="Z412" s="129"/>
    </row>
    <row r="413" ht="12.75" customHeight="1">
      <c r="B413" s="129"/>
      <c r="Z413" s="129"/>
    </row>
    <row r="414" ht="12.75" customHeight="1">
      <c r="B414" s="129"/>
      <c r="Z414" s="129"/>
    </row>
    <row r="415" ht="12.75" customHeight="1">
      <c r="B415" s="129"/>
      <c r="Z415" s="129"/>
    </row>
    <row r="416" ht="12.75" customHeight="1">
      <c r="B416" s="129"/>
      <c r="Z416" s="129"/>
    </row>
    <row r="417" ht="12.75" customHeight="1">
      <c r="B417" s="129"/>
      <c r="Z417" s="129"/>
    </row>
    <row r="418" ht="12.75" customHeight="1">
      <c r="B418" s="129"/>
      <c r="Z418" s="129"/>
    </row>
    <row r="419" ht="12.75" customHeight="1">
      <c r="B419" s="129"/>
      <c r="Z419" s="129"/>
    </row>
    <row r="420" ht="12.75" customHeight="1">
      <c r="B420" s="129"/>
      <c r="Z420" s="129"/>
    </row>
    <row r="421" ht="12.75" customHeight="1">
      <c r="B421" s="129"/>
      <c r="Z421" s="129"/>
    </row>
    <row r="422" ht="12.75" customHeight="1">
      <c r="B422" s="129"/>
      <c r="Z422" s="129"/>
    </row>
    <row r="423" ht="12.75" customHeight="1">
      <c r="B423" s="129"/>
      <c r="Z423" s="129"/>
    </row>
    <row r="424" ht="12.75" customHeight="1">
      <c r="B424" s="129"/>
      <c r="Z424" s="129"/>
    </row>
    <row r="425" ht="12.75" customHeight="1">
      <c r="B425" s="129"/>
      <c r="Z425" s="129"/>
    </row>
    <row r="426" ht="12.75" customHeight="1">
      <c r="B426" s="129"/>
      <c r="Z426" s="129"/>
    </row>
    <row r="427" ht="12.75" customHeight="1">
      <c r="B427" s="129"/>
      <c r="Z427" s="129"/>
    </row>
    <row r="428" ht="12.75" customHeight="1">
      <c r="B428" s="129"/>
      <c r="Z428" s="129"/>
    </row>
    <row r="429" ht="12.75" customHeight="1">
      <c r="B429" s="129"/>
      <c r="Z429" s="129"/>
    </row>
    <row r="430" ht="12.75" customHeight="1">
      <c r="B430" s="129"/>
      <c r="Z430" s="129"/>
    </row>
    <row r="431" ht="12.75" customHeight="1">
      <c r="B431" s="129"/>
      <c r="Z431" s="129"/>
    </row>
    <row r="432" ht="12.75" customHeight="1">
      <c r="B432" s="129"/>
      <c r="Z432" s="129"/>
    </row>
    <row r="433" ht="12.75" customHeight="1">
      <c r="B433" s="129"/>
      <c r="Z433" s="129"/>
    </row>
    <row r="434" ht="12.75" customHeight="1">
      <c r="B434" s="129"/>
      <c r="Z434" s="129"/>
    </row>
    <row r="435" ht="12.75" customHeight="1">
      <c r="B435" s="129"/>
      <c r="Z435" s="129"/>
    </row>
    <row r="436" ht="12.75" customHeight="1">
      <c r="B436" s="129"/>
      <c r="Z436" s="129"/>
    </row>
    <row r="437" ht="12.75" customHeight="1">
      <c r="B437" s="129"/>
      <c r="Z437" s="129"/>
    </row>
    <row r="438" ht="12.75" customHeight="1">
      <c r="B438" s="129"/>
      <c r="Z438" s="129"/>
    </row>
    <row r="439" ht="12.75" customHeight="1">
      <c r="B439" s="129"/>
      <c r="Z439" s="129"/>
    </row>
    <row r="440" ht="12.75" customHeight="1">
      <c r="B440" s="129"/>
      <c r="Z440" s="129"/>
    </row>
    <row r="441" ht="12.75" customHeight="1">
      <c r="B441" s="129"/>
      <c r="Z441" s="129"/>
    </row>
    <row r="442" ht="12.75" customHeight="1">
      <c r="B442" s="129"/>
      <c r="Z442" s="129"/>
    </row>
    <row r="443" ht="12.75" customHeight="1">
      <c r="B443" s="129"/>
      <c r="Z443" s="129"/>
    </row>
    <row r="444" ht="12.75" customHeight="1">
      <c r="B444" s="129"/>
      <c r="Z444" s="129"/>
    </row>
    <row r="445" ht="12.75" customHeight="1">
      <c r="B445" s="129"/>
      <c r="Z445" s="129"/>
    </row>
    <row r="446" ht="12.75" customHeight="1">
      <c r="B446" s="129"/>
      <c r="Z446" s="129"/>
    </row>
    <row r="447" ht="12.75" customHeight="1">
      <c r="B447" s="129"/>
      <c r="Z447" s="129"/>
    </row>
    <row r="448" ht="12.75" customHeight="1">
      <c r="B448" s="129"/>
      <c r="Z448" s="129"/>
    </row>
    <row r="449" ht="12.75" customHeight="1">
      <c r="B449" s="129"/>
      <c r="Z449" s="129"/>
    </row>
    <row r="450" ht="12.75" customHeight="1">
      <c r="B450" s="129"/>
      <c r="Z450" s="129"/>
    </row>
    <row r="451" ht="12.75" customHeight="1">
      <c r="B451" s="129"/>
      <c r="Z451" s="129"/>
    </row>
    <row r="452" ht="12.75" customHeight="1">
      <c r="B452" s="129"/>
      <c r="Z452" s="129"/>
    </row>
    <row r="453" ht="12.75" customHeight="1">
      <c r="B453" s="129"/>
      <c r="Z453" s="129"/>
    </row>
    <row r="454" ht="12.75" customHeight="1">
      <c r="B454" s="129"/>
      <c r="Z454" s="129"/>
    </row>
    <row r="455" ht="12.75" customHeight="1">
      <c r="B455" s="129"/>
      <c r="Z455" s="129"/>
    </row>
    <row r="456" ht="12.75" customHeight="1">
      <c r="B456" s="129"/>
      <c r="Z456" s="129"/>
    </row>
    <row r="457" ht="12.75" customHeight="1">
      <c r="B457" s="129"/>
      <c r="Z457" s="129"/>
    </row>
    <row r="458" ht="12.75" customHeight="1">
      <c r="B458" s="129"/>
      <c r="Z458" s="129"/>
    </row>
    <row r="459" ht="12.75" customHeight="1">
      <c r="B459" s="129"/>
      <c r="Z459" s="129"/>
    </row>
    <row r="460" ht="12.75" customHeight="1">
      <c r="B460" s="129"/>
      <c r="Z460" s="129"/>
    </row>
    <row r="461" ht="12.75" customHeight="1">
      <c r="B461" s="129"/>
      <c r="Z461" s="129"/>
    </row>
    <row r="462" ht="12.75" customHeight="1">
      <c r="B462" s="129"/>
      <c r="Z462" s="129"/>
    </row>
    <row r="463" ht="12.75" customHeight="1">
      <c r="B463" s="129"/>
      <c r="Z463" s="129"/>
    </row>
    <row r="464" ht="12.75" customHeight="1">
      <c r="B464" s="129"/>
      <c r="Z464" s="129"/>
    </row>
    <row r="465" ht="12.75" customHeight="1">
      <c r="B465" s="129"/>
      <c r="Z465" s="129"/>
    </row>
    <row r="466" ht="12.75" customHeight="1">
      <c r="B466" s="129"/>
      <c r="Z466" s="129"/>
    </row>
    <row r="467" ht="12.75" customHeight="1">
      <c r="B467" s="129"/>
      <c r="Z467" s="129"/>
    </row>
    <row r="468" ht="12.75" customHeight="1">
      <c r="B468" s="129"/>
      <c r="Z468" s="129"/>
    </row>
    <row r="469" ht="12.75" customHeight="1">
      <c r="B469" s="129"/>
      <c r="Z469" s="129"/>
    </row>
    <row r="470" ht="12.75" customHeight="1">
      <c r="B470" s="129"/>
      <c r="Z470" s="129"/>
    </row>
    <row r="471" ht="12.75" customHeight="1">
      <c r="B471" s="129"/>
      <c r="Z471" s="129"/>
    </row>
    <row r="472" ht="12.75" customHeight="1">
      <c r="B472" s="129"/>
      <c r="Z472" s="129"/>
    </row>
    <row r="473" ht="12.75" customHeight="1">
      <c r="B473" s="129"/>
      <c r="Z473" s="129"/>
    </row>
    <row r="474" ht="12.75" customHeight="1">
      <c r="B474" s="129"/>
      <c r="Z474" s="129"/>
    </row>
    <row r="475" ht="12.75" customHeight="1">
      <c r="B475" s="129"/>
      <c r="Z475" s="129"/>
    </row>
    <row r="476" ht="12.75" customHeight="1">
      <c r="B476" s="129"/>
      <c r="Z476" s="129"/>
    </row>
    <row r="477" ht="12.75" customHeight="1">
      <c r="B477" s="129"/>
      <c r="Z477" s="129"/>
    </row>
    <row r="478" ht="12.75" customHeight="1">
      <c r="B478" s="129"/>
      <c r="Z478" s="129"/>
    </row>
    <row r="479" ht="12.75" customHeight="1">
      <c r="B479" s="129"/>
      <c r="Z479" s="129"/>
    </row>
    <row r="480" ht="12.75" customHeight="1">
      <c r="B480" s="129"/>
      <c r="Z480" s="129"/>
    </row>
    <row r="481" ht="12.75" customHeight="1">
      <c r="B481" s="129"/>
      <c r="Z481" s="129"/>
    </row>
    <row r="482" ht="12.75" customHeight="1">
      <c r="B482" s="129"/>
      <c r="Z482" s="129"/>
    </row>
    <row r="483" ht="12.75" customHeight="1">
      <c r="B483" s="129"/>
      <c r="Z483" s="129"/>
    </row>
    <row r="484" ht="12.75" customHeight="1">
      <c r="B484" s="129"/>
      <c r="Z484" s="129"/>
    </row>
    <row r="485" ht="12.75" customHeight="1">
      <c r="B485" s="129"/>
      <c r="Z485" s="129"/>
    </row>
    <row r="486" ht="12.75" customHeight="1">
      <c r="B486" s="129"/>
      <c r="Z486" s="129"/>
    </row>
    <row r="487" ht="12.75" customHeight="1">
      <c r="B487" s="129"/>
      <c r="Z487" s="129"/>
    </row>
    <row r="488" ht="12.75" customHeight="1">
      <c r="B488" s="129"/>
      <c r="Z488" s="129"/>
    </row>
    <row r="489" ht="12.75" customHeight="1">
      <c r="B489" s="129"/>
      <c r="Z489" s="129"/>
    </row>
    <row r="490" ht="12.75" customHeight="1">
      <c r="B490" s="129"/>
      <c r="Z490" s="129"/>
    </row>
    <row r="491" ht="12.75" customHeight="1">
      <c r="B491" s="129"/>
      <c r="Z491" s="129"/>
    </row>
    <row r="492" ht="12.75" customHeight="1">
      <c r="B492" s="129"/>
      <c r="Z492" s="129"/>
    </row>
    <row r="493" ht="12.75" customHeight="1">
      <c r="B493" s="129"/>
      <c r="Z493" s="129"/>
    </row>
    <row r="494" ht="12.75" customHeight="1">
      <c r="B494" s="129"/>
      <c r="Z494" s="129"/>
    </row>
    <row r="495" ht="12.75" customHeight="1">
      <c r="B495" s="129"/>
      <c r="Z495" s="129"/>
    </row>
    <row r="496" ht="12.75" customHeight="1">
      <c r="B496" s="129"/>
      <c r="Z496" s="129"/>
    </row>
    <row r="497" ht="12.75" customHeight="1">
      <c r="B497" s="129"/>
      <c r="Z497" s="129"/>
    </row>
    <row r="498" ht="12.75" customHeight="1">
      <c r="B498" s="129"/>
      <c r="Z498" s="129"/>
    </row>
    <row r="499" ht="12.75" customHeight="1">
      <c r="B499" s="129"/>
      <c r="Z499" s="129"/>
    </row>
    <row r="500" ht="12.75" customHeight="1">
      <c r="B500" s="129"/>
      <c r="Z500" s="129"/>
    </row>
    <row r="501" ht="12.75" customHeight="1">
      <c r="B501" s="129"/>
      <c r="Z501" s="129"/>
    </row>
    <row r="502" ht="12.75" customHeight="1">
      <c r="B502" s="129"/>
      <c r="Z502" s="129"/>
    </row>
    <row r="503" ht="12.75" customHeight="1">
      <c r="B503" s="129"/>
      <c r="Z503" s="129"/>
    </row>
    <row r="504" ht="12.75" customHeight="1">
      <c r="B504" s="129"/>
      <c r="Z504" s="129"/>
    </row>
    <row r="505" ht="12.75" customHeight="1">
      <c r="B505" s="129"/>
      <c r="Z505" s="129"/>
    </row>
    <row r="506" ht="12.75" customHeight="1">
      <c r="B506" s="129"/>
      <c r="Z506" s="129"/>
    </row>
    <row r="507" ht="12.75" customHeight="1">
      <c r="B507" s="129"/>
      <c r="Z507" s="129"/>
    </row>
    <row r="508" ht="12.75" customHeight="1">
      <c r="B508" s="129"/>
      <c r="Z508" s="129"/>
    </row>
    <row r="509" ht="12.75" customHeight="1">
      <c r="B509" s="129"/>
      <c r="Z509" s="129"/>
    </row>
    <row r="510" ht="12.75" customHeight="1">
      <c r="B510" s="129"/>
      <c r="Z510" s="129"/>
    </row>
    <row r="511" ht="12.75" customHeight="1">
      <c r="B511" s="129"/>
      <c r="Z511" s="129"/>
    </row>
    <row r="512" ht="12.75" customHeight="1">
      <c r="B512" s="129"/>
      <c r="Z512" s="129"/>
    </row>
    <row r="513" ht="12.75" customHeight="1">
      <c r="B513" s="129"/>
      <c r="Z513" s="129"/>
    </row>
    <row r="514" ht="12.75" customHeight="1">
      <c r="B514" s="129"/>
      <c r="Z514" s="129"/>
    </row>
    <row r="515" ht="12.75" customHeight="1">
      <c r="B515" s="129"/>
      <c r="Z515" s="129"/>
    </row>
    <row r="516" ht="12.75" customHeight="1">
      <c r="B516" s="129"/>
      <c r="Z516" s="129"/>
    </row>
    <row r="517" ht="12.75" customHeight="1">
      <c r="B517" s="129"/>
      <c r="Z517" s="129"/>
    </row>
    <row r="518" ht="12.75" customHeight="1">
      <c r="B518" s="129"/>
      <c r="Z518" s="129"/>
    </row>
    <row r="519" ht="12.75" customHeight="1">
      <c r="B519" s="129"/>
      <c r="Z519" s="129"/>
    </row>
    <row r="520" ht="12.75" customHeight="1">
      <c r="B520" s="129"/>
      <c r="Z520" s="129"/>
    </row>
    <row r="521" ht="12.75" customHeight="1">
      <c r="B521" s="129"/>
      <c r="Z521" s="129"/>
    </row>
    <row r="522" ht="12.75" customHeight="1">
      <c r="B522" s="129"/>
      <c r="Z522" s="129"/>
    </row>
    <row r="523" ht="12.75" customHeight="1">
      <c r="B523" s="129"/>
      <c r="Z523" s="129"/>
    </row>
    <row r="524" ht="12.75" customHeight="1">
      <c r="B524" s="129"/>
      <c r="Z524" s="129"/>
    </row>
    <row r="525" ht="12.75" customHeight="1">
      <c r="B525" s="129"/>
      <c r="Z525" s="129"/>
    </row>
    <row r="526" ht="12.75" customHeight="1">
      <c r="B526" s="129"/>
      <c r="Z526" s="129"/>
    </row>
    <row r="527" ht="12.75" customHeight="1">
      <c r="B527" s="129"/>
      <c r="Z527" s="129"/>
    </row>
    <row r="528" ht="12.75" customHeight="1">
      <c r="B528" s="129"/>
      <c r="Z528" s="129"/>
    </row>
    <row r="529" ht="12.75" customHeight="1">
      <c r="B529" s="129"/>
      <c r="Z529" s="129"/>
    </row>
    <row r="530" ht="12.75" customHeight="1">
      <c r="B530" s="129"/>
      <c r="Z530" s="129"/>
    </row>
    <row r="531" ht="12.75" customHeight="1">
      <c r="B531" s="129"/>
      <c r="Z531" s="129"/>
    </row>
    <row r="532" ht="12.75" customHeight="1">
      <c r="B532" s="129"/>
      <c r="Z532" s="129"/>
    </row>
    <row r="533" ht="12.75" customHeight="1">
      <c r="B533" s="129"/>
      <c r="Z533" s="129"/>
    </row>
    <row r="534" ht="12.75" customHeight="1">
      <c r="B534" s="129"/>
      <c r="Z534" s="129"/>
    </row>
    <row r="535" ht="12.75" customHeight="1">
      <c r="B535" s="129"/>
      <c r="Z535" s="129"/>
    </row>
    <row r="536" ht="12.75" customHeight="1">
      <c r="B536" s="129"/>
      <c r="Z536" s="129"/>
    </row>
    <row r="537" ht="12.75" customHeight="1">
      <c r="B537" s="129"/>
      <c r="Z537" s="129"/>
    </row>
    <row r="538" ht="12.75" customHeight="1">
      <c r="B538" s="129"/>
      <c r="Z538" s="129"/>
    </row>
    <row r="539" ht="12.75" customHeight="1">
      <c r="B539" s="129"/>
      <c r="Z539" s="129"/>
    </row>
    <row r="540" ht="12.75" customHeight="1">
      <c r="B540" s="129"/>
      <c r="Z540" s="129"/>
    </row>
    <row r="541" ht="12.75" customHeight="1">
      <c r="B541" s="129"/>
      <c r="Z541" s="129"/>
    </row>
    <row r="542" ht="12.75" customHeight="1">
      <c r="B542" s="129"/>
      <c r="Z542" s="129"/>
    </row>
    <row r="543" ht="12.75" customHeight="1">
      <c r="B543" s="129"/>
      <c r="Z543" s="129"/>
    </row>
    <row r="544" ht="12.75" customHeight="1">
      <c r="B544" s="129"/>
      <c r="Z544" s="129"/>
    </row>
    <row r="545" ht="12.75" customHeight="1">
      <c r="B545" s="129"/>
      <c r="Z545" s="129"/>
    </row>
    <row r="546" ht="12.75" customHeight="1">
      <c r="B546" s="129"/>
      <c r="Z546" s="129"/>
    </row>
    <row r="547" ht="12.75" customHeight="1">
      <c r="B547" s="129"/>
      <c r="Z547" s="129"/>
    </row>
    <row r="548" ht="12.75" customHeight="1">
      <c r="B548" s="129"/>
      <c r="Z548" s="129"/>
    </row>
    <row r="549" ht="12.75" customHeight="1">
      <c r="B549" s="129"/>
      <c r="Z549" s="129"/>
    </row>
    <row r="550" ht="12.75" customHeight="1">
      <c r="B550" s="129"/>
      <c r="Z550" s="129"/>
    </row>
    <row r="551" ht="12.75" customHeight="1">
      <c r="B551" s="129"/>
      <c r="Z551" s="129"/>
    </row>
    <row r="552" ht="12.75" customHeight="1">
      <c r="B552" s="129"/>
      <c r="Z552" s="129"/>
    </row>
    <row r="553" ht="12.75" customHeight="1">
      <c r="B553" s="129"/>
      <c r="Z553" s="129"/>
    </row>
    <row r="554" ht="12.75" customHeight="1">
      <c r="B554" s="129"/>
      <c r="Z554" s="129"/>
    </row>
    <row r="555" ht="12.75" customHeight="1">
      <c r="B555" s="129"/>
      <c r="Z555" s="129"/>
    </row>
    <row r="556" ht="12.75" customHeight="1">
      <c r="B556" s="129"/>
      <c r="Z556" s="129"/>
    </row>
    <row r="557" ht="12.75" customHeight="1">
      <c r="B557" s="129"/>
      <c r="Z557" s="129"/>
    </row>
    <row r="558" ht="12.75" customHeight="1">
      <c r="B558" s="129"/>
      <c r="Z558" s="129"/>
    </row>
    <row r="559" ht="12.75" customHeight="1">
      <c r="B559" s="129"/>
      <c r="Z559" s="129"/>
    </row>
    <row r="560" ht="12.75" customHeight="1">
      <c r="B560" s="129"/>
      <c r="Z560" s="129"/>
    </row>
    <row r="561" ht="12.75" customHeight="1">
      <c r="B561" s="129"/>
      <c r="Z561" s="129"/>
    </row>
    <row r="562" ht="12.75" customHeight="1">
      <c r="B562" s="129"/>
      <c r="Z562" s="129"/>
    </row>
    <row r="563" ht="12.75" customHeight="1">
      <c r="B563" s="129"/>
      <c r="Z563" s="129"/>
    </row>
    <row r="564" ht="12.75" customHeight="1">
      <c r="B564" s="129"/>
      <c r="Z564" s="129"/>
    </row>
    <row r="565" ht="12.75" customHeight="1">
      <c r="B565" s="129"/>
      <c r="Z565" s="129"/>
    </row>
    <row r="566" ht="12.75" customHeight="1">
      <c r="B566" s="129"/>
      <c r="Z566" s="129"/>
    </row>
    <row r="567" ht="12.75" customHeight="1">
      <c r="B567" s="129"/>
      <c r="Z567" s="129"/>
    </row>
    <row r="568" ht="12.75" customHeight="1">
      <c r="B568" s="129"/>
      <c r="Z568" s="129"/>
    </row>
    <row r="569" ht="12.75" customHeight="1">
      <c r="B569" s="129"/>
      <c r="Z569" s="129"/>
    </row>
    <row r="570" ht="12.75" customHeight="1">
      <c r="B570" s="129"/>
      <c r="Z570" s="129"/>
    </row>
    <row r="571" ht="12.75" customHeight="1">
      <c r="B571" s="129"/>
      <c r="Z571" s="129"/>
    </row>
    <row r="572" ht="12.75" customHeight="1">
      <c r="B572" s="129"/>
      <c r="Z572" s="129"/>
    </row>
    <row r="573" ht="12.75" customHeight="1">
      <c r="B573" s="129"/>
      <c r="Z573" s="129"/>
    </row>
    <row r="574" ht="12.75" customHeight="1">
      <c r="B574" s="129"/>
      <c r="Z574" s="129"/>
    </row>
    <row r="575" ht="12.75" customHeight="1">
      <c r="B575" s="129"/>
      <c r="Z575" s="129"/>
    </row>
    <row r="576" ht="12.75" customHeight="1">
      <c r="B576" s="129"/>
      <c r="Z576" s="129"/>
    </row>
    <row r="577" ht="12.75" customHeight="1">
      <c r="B577" s="129"/>
      <c r="Z577" s="129"/>
    </row>
    <row r="578" ht="12.75" customHeight="1">
      <c r="B578" s="129"/>
      <c r="Z578" s="129"/>
    </row>
    <row r="579" ht="12.75" customHeight="1">
      <c r="B579" s="129"/>
      <c r="Z579" s="129"/>
    </row>
    <row r="580" ht="12.75" customHeight="1">
      <c r="B580" s="129"/>
      <c r="Z580" s="129"/>
    </row>
    <row r="581" ht="12.75" customHeight="1">
      <c r="B581" s="129"/>
      <c r="Z581" s="129"/>
    </row>
    <row r="582" ht="12.75" customHeight="1">
      <c r="B582" s="129"/>
      <c r="Z582" s="129"/>
    </row>
    <row r="583" ht="12.75" customHeight="1">
      <c r="B583" s="129"/>
      <c r="Z583" s="129"/>
    </row>
    <row r="584" ht="12.75" customHeight="1">
      <c r="B584" s="129"/>
      <c r="Z584" s="129"/>
    </row>
    <row r="585" ht="12.75" customHeight="1">
      <c r="B585" s="129"/>
      <c r="Z585" s="129"/>
    </row>
    <row r="586" ht="12.75" customHeight="1">
      <c r="B586" s="129"/>
      <c r="Z586" s="129"/>
    </row>
    <row r="587" ht="12.75" customHeight="1">
      <c r="B587" s="129"/>
      <c r="Z587" s="129"/>
    </row>
    <row r="588" ht="12.75" customHeight="1">
      <c r="B588" s="129"/>
      <c r="Z588" s="129"/>
    </row>
    <row r="589" ht="12.75" customHeight="1">
      <c r="B589" s="129"/>
      <c r="Z589" s="129"/>
    </row>
    <row r="590" ht="12.75" customHeight="1">
      <c r="B590" s="129"/>
      <c r="Z590" s="129"/>
    </row>
    <row r="591" ht="12.75" customHeight="1">
      <c r="B591" s="129"/>
      <c r="Z591" s="129"/>
    </row>
    <row r="592" ht="12.75" customHeight="1">
      <c r="B592" s="129"/>
      <c r="Z592" s="129"/>
    </row>
    <row r="593" ht="12.75" customHeight="1">
      <c r="B593" s="129"/>
      <c r="Z593" s="129"/>
    </row>
    <row r="594" ht="12.75" customHeight="1">
      <c r="B594" s="129"/>
      <c r="Z594" s="129"/>
    </row>
    <row r="595" ht="12.75" customHeight="1">
      <c r="B595" s="129"/>
      <c r="Z595" s="129"/>
    </row>
    <row r="596" ht="12.75" customHeight="1">
      <c r="B596" s="129"/>
      <c r="Z596" s="129"/>
    </row>
    <row r="597" ht="12.75" customHeight="1">
      <c r="B597" s="129"/>
      <c r="Z597" s="129"/>
    </row>
    <row r="598" ht="12.75" customHeight="1">
      <c r="B598" s="129"/>
      <c r="Z598" s="129"/>
    </row>
    <row r="599" ht="12.75" customHeight="1">
      <c r="B599" s="129"/>
      <c r="Z599" s="129"/>
    </row>
    <row r="600" ht="12.75" customHeight="1">
      <c r="B600" s="129"/>
      <c r="Z600" s="129"/>
    </row>
    <row r="601" ht="12.75" customHeight="1">
      <c r="B601" s="129"/>
      <c r="Z601" s="129"/>
    </row>
    <row r="602" ht="12.75" customHeight="1">
      <c r="B602" s="129"/>
      <c r="Z602" s="129"/>
    </row>
    <row r="603" ht="12.75" customHeight="1">
      <c r="B603" s="129"/>
      <c r="Z603" s="129"/>
    </row>
    <row r="604" ht="12.75" customHeight="1">
      <c r="B604" s="129"/>
      <c r="Z604" s="129"/>
    </row>
    <row r="605" ht="12.75" customHeight="1">
      <c r="B605" s="129"/>
      <c r="Z605" s="129"/>
    </row>
    <row r="606" ht="12.75" customHeight="1">
      <c r="B606" s="129"/>
      <c r="Z606" s="129"/>
    </row>
    <row r="607" ht="12.75" customHeight="1">
      <c r="B607" s="129"/>
      <c r="Z607" s="129"/>
    </row>
    <row r="608" ht="12.75" customHeight="1">
      <c r="B608" s="129"/>
      <c r="Z608" s="129"/>
    </row>
    <row r="609" ht="12.75" customHeight="1">
      <c r="B609" s="129"/>
      <c r="Z609" s="129"/>
    </row>
    <row r="610" ht="12.75" customHeight="1">
      <c r="B610" s="129"/>
      <c r="Z610" s="129"/>
    </row>
    <row r="611" ht="12.75" customHeight="1">
      <c r="B611" s="129"/>
      <c r="Z611" s="129"/>
    </row>
    <row r="612" ht="12.75" customHeight="1">
      <c r="B612" s="129"/>
      <c r="Z612" s="129"/>
    </row>
    <row r="613" ht="12.75" customHeight="1">
      <c r="B613" s="129"/>
      <c r="Z613" s="129"/>
    </row>
    <row r="614" ht="12.75" customHeight="1">
      <c r="B614" s="129"/>
      <c r="Z614" s="129"/>
    </row>
    <row r="615" ht="12.75" customHeight="1">
      <c r="B615" s="129"/>
      <c r="Z615" s="129"/>
    </row>
    <row r="616" ht="12.75" customHeight="1">
      <c r="B616" s="129"/>
      <c r="Z616" s="129"/>
    </row>
    <row r="617" ht="12.75" customHeight="1">
      <c r="B617" s="129"/>
      <c r="Z617" s="129"/>
    </row>
    <row r="618" ht="12.75" customHeight="1">
      <c r="B618" s="129"/>
      <c r="Z618" s="129"/>
    </row>
    <row r="619" ht="12.75" customHeight="1">
      <c r="B619" s="129"/>
      <c r="Z619" s="129"/>
    </row>
    <row r="620" ht="12.75" customHeight="1">
      <c r="B620" s="129"/>
      <c r="Z620" s="129"/>
    </row>
    <row r="621" ht="12.75" customHeight="1">
      <c r="B621" s="129"/>
      <c r="Z621" s="129"/>
    </row>
    <row r="622" ht="12.75" customHeight="1">
      <c r="B622" s="129"/>
      <c r="Z622" s="129"/>
    </row>
    <row r="623" ht="12.75" customHeight="1">
      <c r="B623" s="129"/>
      <c r="Z623" s="129"/>
    </row>
    <row r="624" ht="12.75" customHeight="1">
      <c r="B624" s="129"/>
      <c r="Z624" s="129"/>
    </row>
    <row r="625" ht="12.75" customHeight="1">
      <c r="B625" s="129"/>
      <c r="Z625" s="129"/>
    </row>
    <row r="626" ht="12.75" customHeight="1">
      <c r="B626" s="129"/>
      <c r="Z626" s="129"/>
    </row>
    <row r="627" ht="12.75" customHeight="1">
      <c r="B627" s="129"/>
      <c r="Z627" s="129"/>
    </row>
    <row r="628" ht="12.75" customHeight="1">
      <c r="B628" s="129"/>
      <c r="Z628" s="129"/>
    </row>
    <row r="629" ht="12.75" customHeight="1">
      <c r="B629" s="129"/>
      <c r="Z629" s="129"/>
    </row>
    <row r="630" ht="12.75" customHeight="1">
      <c r="B630" s="129"/>
      <c r="Z630" s="129"/>
    </row>
    <row r="631" ht="12.75" customHeight="1">
      <c r="B631" s="129"/>
      <c r="Z631" s="129"/>
    </row>
    <row r="632" ht="12.75" customHeight="1">
      <c r="B632" s="129"/>
      <c r="Z632" s="129"/>
    </row>
    <row r="633" ht="12.75" customHeight="1">
      <c r="B633" s="129"/>
      <c r="Z633" s="129"/>
    </row>
    <row r="634" ht="12.75" customHeight="1">
      <c r="B634" s="129"/>
      <c r="Z634" s="129"/>
    </row>
    <row r="635" ht="12.75" customHeight="1">
      <c r="B635" s="129"/>
      <c r="Z635" s="129"/>
    </row>
    <row r="636" ht="12.75" customHeight="1">
      <c r="B636" s="129"/>
      <c r="Z636" s="129"/>
    </row>
    <row r="637" ht="12.75" customHeight="1">
      <c r="B637" s="129"/>
      <c r="Z637" s="129"/>
    </row>
    <row r="638" ht="12.75" customHeight="1">
      <c r="B638" s="129"/>
      <c r="Z638" s="129"/>
    </row>
    <row r="639" ht="12.75" customHeight="1">
      <c r="B639" s="129"/>
      <c r="Z639" s="129"/>
    </row>
    <row r="640" ht="12.75" customHeight="1">
      <c r="B640" s="129"/>
      <c r="Z640" s="129"/>
    </row>
    <row r="641" ht="12.75" customHeight="1">
      <c r="B641" s="129"/>
      <c r="Z641" s="129"/>
    </row>
    <row r="642" ht="12.75" customHeight="1">
      <c r="B642" s="129"/>
      <c r="Z642" s="129"/>
    </row>
    <row r="643" ht="12.75" customHeight="1">
      <c r="B643" s="129"/>
      <c r="Z643" s="129"/>
    </row>
    <row r="644" ht="12.75" customHeight="1">
      <c r="B644" s="129"/>
      <c r="Z644" s="129"/>
    </row>
    <row r="645" ht="12.75" customHeight="1">
      <c r="B645" s="129"/>
      <c r="Z645" s="129"/>
    </row>
    <row r="646" ht="12.75" customHeight="1">
      <c r="B646" s="129"/>
      <c r="Z646" s="129"/>
    </row>
    <row r="647" ht="12.75" customHeight="1">
      <c r="B647" s="129"/>
      <c r="Z647" s="129"/>
    </row>
    <row r="648" ht="12.75" customHeight="1">
      <c r="B648" s="129"/>
      <c r="Z648" s="129"/>
    </row>
    <row r="649" ht="12.75" customHeight="1">
      <c r="B649" s="129"/>
      <c r="Z649" s="129"/>
    </row>
    <row r="650" ht="12.75" customHeight="1">
      <c r="B650" s="129"/>
      <c r="Z650" s="129"/>
    </row>
    <row r="651" ht="12.75" customHeight="1">
      <c r="B651" s="129"/>
      <c r="Z651" s="129"/>
    </row>
    <row r="652" ht="12.75" customHeight="1">
      <c r="B652" s="129"/>
      <c r="Z652" s="129"/>
    </row>
    <row r="653" ht="12.75" customHeight="1">
      <c r="B653" s="129"/>
      <c r="Z653" s="129"/>
    </row>
    <row r="654" ht="12.75" customHeight="1">
      <c r="B654" s="129"/>
      <c r="Z654" s="129"/>
    </row>
    <row r="655" ht="12.75" customHeight="1">
      <c r="B655" s="129"/>
      <c r="Z655" s="129"/>
    </row>
    <row r="656" ht="12.75" customHeight="1">
      <c r="B656" s="129"/>
      <c r="Z656" s="129"/>
    </row>
    <row r="657" ht="12.75" customHeight="1">
      <c r="B657" s="129"/>
      <c r="Z657" s="129"/>
    </row>
    <row r="658" ht="12.75" customHeight="1">
      <c r="B658" s="129"/>
      <c r="Z658" s="129"/>
    </row>
    <row r="659" ht="12.75" customHeight="1">
      <c r="B659" s="129"/>
      <c r="Z659" s="129"/>
    </row>
    <row r="660" ht="12.75" customHeight="1">
      <c r="B660" s="129"/>
      <c r="Z660" s="129"/>
    </row>
    <row r="661" ht="12.75" customHeight="1">
      <c r="B661" s="129"/>
      <c r="Z661" s="129"/>
    </row>
    <row r="662" ht="12.75" customHeight="1">
      <c r="B662" s="129"/>
      <c r="Z662" s="129"/>
    </row>
    <row r="663" ht="12.75" customHeight="1">
      <c r="B663" s="129"/>
      <c r="Z663" s="129"/>
    </row>
    <row r="664" ht="12.75" customHeight="1">
      <c r="B664" s="129"/>
      <c r="Z664" s="129"/>
    </row>
    <row r="665" ht="12.75" customHeight="1">
      <c r="B665" s="129"/>
      <c r="Z665" s="129"/>
    </row>
    <row r="666" ht="12.75" customHeight="1">
      <c r="B666" s="129"/>
      <c r="Z666" s="129"/>
    </row>
    <row r="667" ht="12.75" customHeight="1">
      <c r="B667" s="129"/>
      <c r="Z667" s="129"/>
    </row>
    <row r="668" ht="12.75" customHeight="1">
      <c r="B668" s="129"/>
      <c r="Z668" s="129"/>
    </row>
    <row r="669" ht="12.75" customHeight="1">
      <c r="B669" s="129"/>
      <c r="Z669" s="129"/>
    </row>
    <row r="670" ht="12.75" customHeight="1">
      <c r="B670" s="129"/>
      <c r="Z670" s="129"/>
    </row>
    <row r="671" ht="12.75" customHeight="1">
      <c r="B671" s="129"/>
      <c r="Z671" s="129"/>
    </row>
    <row r="672" ht="12.75" customHeight="1">
      <c r="B672" s="129"/>
      <c r="Z672" s="129"/>
    </row>
    <row r="673" ht="12.75" customHeight="1">
      <c r="B673" s="129"/>
      <c r="Z673" s="129"/>
    </row>
    <row r="674" ht="12.75" customHeight="1">
      <c r="B674" s="129"/>
      <c r="Z674" s="129"/>
    </row>
    <row r="675" ht="12.75" customHeight="1">
      <c r="B675" s="129"/>
      <c r="Z675" s="129"/>
    </row>
    <row r="676" ht="12.75" customHeight="1">
      <c r="B676" s="129"/>
      <c r="Z676" s="129"/>
    </row>
    <row r="677" ht="12.75" customHeight="1">
      <c r="B677" s="129"/>
      <c r="Z677" s="129"/>
    </row>
    <row r="678" ht="12.75" customHeight="1">
      <c r="B678" s="129"/>
      <c r="Z678" s="129"/>
    </row>
    <row r="679" ht="12.75" customHeight="1">
      <c r="B679" s="129"/>
      <c r="Z679" s="129"/>
    </row>
    <row r="680" ht="12.75" customHeight="1">
      <c r="B680" s="129"/>
      <c r="Z680" s="129"/>
    </row>
    <row r="681" ht="12.75" customHeight="1">
      <c r="B681" s="129"/>
      <c r="Z681" s="129"/>
    </row>
    <row r="682" ht="12.75" customHeight="1">
      <c r="B682" s="129"/>
      <c r="Z682" s="129"/>
    </row>
    <row r="683" ht="12.75" customHeight="1">
      <c r="B683" s="129"/>
      <c r="Z683" s="129"/>
    </row>
    <row r="684" ht="12.75" customHeight="1">
      <c r="B684" s="129"/>
      <c r="Z684" s="129"/>
    </row>
    <row r="685" ht="12.75" customHeight="1">
      <c r="B685" s="129"/>
      <c r="Z685" s="129"/>
    </row>
    <row r="686" ht="12.75" customHeight="1">
      <c r="B686" s="129"/>
      <c r="Z686" s="129"/>
    </row>
    <row r="687" ht="12.75" customHeight="1">
      <c r="B687" s="129"/>
      <c r="Z687" s="129"/>
    </row>
    <row r="688" ht="12.75" customHeight="1">
      <c r="B688" s="129"/>
      <c r="Z688" s="129"/>
    </row>
    <row r="689" ht="12.75" customHeight="1">
      <c r="B689" s="129"/>
      <c r="Z689" s="129"/>
    </row>
    <row r="690" ht="12.75" customHeight="1">
      <c r="B690" s="129"/>
      <c r="Z690" s="129"/>
    </row>
    <row r="691" ht="12.75" customHeight="1">
      <c r="B691" s="129"/>
      <c r="Z691" s="129"/>
    </row>
    <row r="692" ht="12.75" customHeight="1">
      <c r="B692" s="129"/>
      <c r="Z692" s="129"/>
    </row>
    <row r="693" ht="12.75" customHeight="1">
      <c r="B693" s="129"/>
      <c r="Z693" s="129"/>
    </row>
    <row r="694" ht="12.75" customHeight="1">
      <c r="B694" s="129"/>
      <c r="Z694" s="129"/>
    </row>
    <row r="695" ht="12.75" customHeight="1">
      <c r="B695" s="129"/>
      <c r="Z695" s="129"/>
    </row>
    <row r="696" ht="12.75" customHeight="1">
      <c r="B696" s="129"/>
      <c r="Z696" s="129"/>
    </row>
    <row r="697" ht="12.75" customHeight="1">
      <c r="B697" s="129"/>
      <c r="Z697" s="129"/>
    </row>
    <row r="698" ht="12.75" customHeight="1">
      <c r="B698" s="129"/>
      <c r="Z698" s="129"/>
    </row>
    <row r="699" ht="12.75" customHeight="1">
      <c r="B699" s="129"/>
      <c r="Z699" s="129"/>
    </row>
    <row r="700" ht="12.75" customHeight="1">
      <c r="B700" s="129"/>
      <c r="Z700" s="129"/>
    </row>
    <row r="701" ht="12.75" customHeight="1">
      <c r="B701" s="129"/>
      <c r="Z701" s="129"/>
    </row>
    <row r="702" ht="12.75" customHeight="1">
      <c r="B702" s="129"/>
      <c r="Z702" s="129"/>
    </row>
    <row r="703" ht="12.75" customHeight="1">
      <c r="B703" s="129"/>
      <c r="Z703" s="129"/>
    </row>
    <row r="704" ht="12.75" customHeight="1">
      <c r="B704" s="129"/>
      <c r="Z704" s="129"/>
    </row>
    <row r="705" ht="12.75" customHeight="1">
      <c r="B705" s="129"/>
      <c r="Z705" s="129"/>
    </row>
    <row r="706" ht="12.75" customHeight="1">
      <c r="B706" s="129"/>
      <c r="Z706" s="129"/>
    </row>
    <row r="707" ht="12.75" customHeight="1">
      <c r="B707" s="129"/>
      <c r="Z707" s="129"/>
    </row>
    <row r="708" ht="12.75" customHeight="1">
      <c r="B708" s="129"/>
      <c r="Z708" s="129"/>
    </row>
    <row r="709" ht="12.75" customHeight="1">
      <c r="B709" s="129"/>
      <c r="Z709" s="129"/>
    </row>
    <row r="710" ht="12.75" customHeight="1">
      <c r="B710" s="129"/>
      <c r="Z710" s="129"/>
    </row>
    <row r="711" ht="12.75" customHeight="1">
      <c r="B711" s="129"/>
      <c r="Z711" s="129"/>
    </row>
    <row r="712" ht="12.75" customHeight="1">
      <c r="B712" s="129"/>
      <c r="Z712" s="129"/>
    </row>
    <row r="713" ht="12.75" customHeight="1">
      <c r="B713" s="129"/>
      <c r="Z713" s="129"/>
    </row>
    <row r="714" ht="12.75" customHeight="1">
      <c r="B714" s="129"/>
      <c r="Z714" s="129"/>
    </row>
    <row r="715" ht="12.75" customHeight="1">
      <c r="B715" s="129"/>
      <c r="Z715" s="129"/>
    </row>
    <row r="716" ht="12.75" customHeight="1">
      <c r="B716" s="129"/>
      <c r="Z716" s="129"/>
    </row>
    <row r="717" ht="12.75" customHeight="1">
      <c r="B717" s="129"/>
      <c r="Z717" s="129"/>
    </row>
    <row r="718" ht="12.75" customHeight="1">
      <c r="B718" s="129"/>
      <c r="Z718" s="129"/>
    </row>
    <row r="719" ht="12.75" customHeight="1">
      <c r="B719" s="129"/>
      <c r="Z719" s="129"/>
    </row>
    <row r="720" ht="12.75" customHeight="1">
      <c r="B720" s="129"/>
      <c r="Z720" s="129"/>
    </row>
    <row r="721" ht="12.75" customHeight="1">
      <c r="B721" s="129"/>
      <c r="Z721" s="129"/>
    </row>
    <row r="722" ht="12.75" customHeight="1">
      <c r="B722" s="129"/>
      <c r="Z722" s="129"/>
    </row>
    <row r="723" ht="12.75" customHeight="1">
      <c r="B723" s="129"/>
      <c r="Z723" s="129"/>
    </row>
    <row r="724" ht="12.75" customHeight="1">
      <c r="B724" s="129"/>
      <c r="Z724" s="129"/>
    </row>
    <row r="725" ht="12.75" customHeight="1">
      <c r="B725" s="129"/>
      <c r="Z725" s="129"/>
    </row>
    <row r="726" ht="12.75" customHeight="1">
      <c r="B726" s="129"/>
      <c r="Z726" s="129"/>
    </row>
    <row r="727" ht="12.75" customHeight="1">
      <c r="B727" s="129"/>
      <c r="Z727" s="129"/>
    </row>
    <row r="728" ht="12.75" customHeight="1">
      <c r="B728" s="129"/>
      <c r="Z728" s="129"/>
    </row>
    <row r="729" ht="12.75" customHeight="1">
      <c r="B729" s="129"/>
      <c r="Z729" s="129"/>
    </row>
    <row r="730" ht="12.75" customHeight="1">
      <c r="B730" s="129"/>
      <c r="Z730" s="129"/>
    </row>
    <row r="731" ht="12.75" customHeight="1">
      <c r="B731" s="129"/>
      <c r="Z731" s="129"/>
    </row>
    <row r="732" ht="12.75" customHeight="1">
      <c r="B732" s="129"/>
      <c r="Z732" s="129"/>
    </row>
    <row r="733" ht="12.75" customHeight="1">
      <c r="B733" s="129"/>
      <c r="Z733" s="129"/>
    </row>
    <row r="734" ht="12.75" customHeight="1">
      <c r="B734" s="129"/>
      <c r="Z734" s="129"/>
    </row>
    <row r="735" ht="12.75" customHeight="1">
      <c r="B735" s="129"/>
      <c r="Z735" s="129"/>
    </row>
    <row r="736" ht="12.75" customHeight="1">
      <c r="B736" s="129"/>
      <c r="Z736" s="129"/>
    </row>
    <row r="737" ht="12.75" customHeight="1">
      <c r="B737" s="129"/>
      <c r="Z737" s="129"/>
    </row>
    <row r="738" ht="12.75" customHeight="1">
      <c r="B738" s="129"/>
      <c r="Z738" s="129"/>
    </row>
    <row r="739" ht="12.75" customHeight="1">
      <c r="B739" s="129"/>
      <c r="Z739" s="129"/>
    </row>
    <row r="740" ht="12.75" customHeight="1">
      <c r="B740" s="129"/>
      <c r="Z740" s="129"/>
    </row>
    <row r="741" ht="12.75" customHeight="1">
      <c r="B741" s="129"/>
      <c r="Z741" s="129"/>
    </row>
    <row r="742" ht="12.75" customHeight="1">
      <c r="B742" s="129"/>
      <c r="Z742" s="129"/>
    </row>
    <row r="743" ht="12.75" customHeight="1">
      <c r="B743" s="129"/>
      <c r="Z743" s="129"/>
    </row>
    <row r="744" ht="12.75" customHeight="1">
      <c r="B744" s="129"/>
      <c r="Z744" s="129"/>
    </row>
    <row r="745" ht="12.75" customHeight="1">
      <c r="B745" s="129"/>
      <c r="Z745" s="129"/>
    </row>
    <row r="746" ht="12.75" customHeight="1">
      <c r="B746" s="129"/>
      <c r="Z746" s="129"/>
    </row>
    <row r="747" ht="12.75" customHeight="1">
      <c r="B747" s="129"/>
      <c r="Z747" s="129"/>
    </row>
    <row r="748" ht="12.75" customHeight="1">
      <c r="B748" s="129"/>
      <c r="Z748" s="129"/>
    </row>
    <row r="749" ht="12.75" customHeight="1">
      <c r="B749" s="129"/>
      <c r="Z749" s="129"/>
    </row>
    <row r="750" ht="12.75" customHeight="1">
      <c r="B750" s="129"/>
      <c r="Z750" s="129"/>
    </row>
    <row r="751" ht="12.75" customHeight="1">
      <c r="B751" s="129"/>
      <c r="Z751" s="129"/>
    </row>
    <row r="752" ht="12.75" customHeight="1">
      <c r="B752" s="129"/>
      <c r="Z752" s="129"/>
    </row>
    <row r="753" ht="12.75" customHeight="1">
      <c r="B753" s="129"/>
      <c r="Z753" s="129"/>
    </row>
    <row r="754" ht="12.75" customHeight="1">
      <c r="B754" s="129"/>
      <c r="Z754" s="129"/>
    </row>
    <row r="755" ht="12.75" customHeight="1">
      <c r="B755" s="129"/>
      <c r="Z755" s="129"/>
    </row>
    <row r="756" ht="12.75" customHeight="1">
      <c r="B756" s="129"/>
      <c r="Z756" s="129"/>
    </row>
    <row r="757" ht="12.75" customHeight="1">
      <c r="B757" s="129"/>
      <c r="Z757" s="129"/>
    </row>
    <row r="758" ht="12.75" customHeight="1">
      <c r="B758" s="129"/>
      <c r="Z758" s="129"/>
    </row>
    <row r="759" ht="12.75" customHeight="1">
      <c r="B759" s="129"/>
      <c r="Z759" s="129"/>
    </row>
    <row r="760" ht="12.75" customHeight="1">
      <c r="B760" s="129"/>
      <c r="Z760" s="129"/>
    </row>
    <row r="761" ht="12.75" customHeight="1">
      <c r="B761" s="129"/>
      <c r="Z761" s="129"/>
    </row>
    <row r="762" ht="12.75" customHeight="1">
      <c r="B762" s="129"/>
      <c r="Z762" s="129"/>
    </row>
    <row r="763" ht="12.75" customHeight="1">
      <c r="B763" s="129"/>
      <c r="Z763" s="129"/>
    </row>
    <row r="764" ht="12.75" customHeight="1">
      <c r="B764" s="129"/>
      <c r="Z764" s="129"/>
    </row>
    <row r="765" ht="12.75" customHeight="1">
      <c r="B765" s="129"/>
      <c r="Z765" s="129"/>
    </row>
    <row r="766" ht="12.75" customHeight="1">
      <c r="B766" s="129"/>
      <c r="Z766" s="129"/>
    </row>
    <row r="767" ht="12.75" customHeight="1">
      <c r="B767" s="129"/>
      <c r="Z767" s="129"/>
    </row>
    <row r="768" ht="12.75" customHeight="1">
      <c r="B768" s="129"/>
      <c r="Z768" s="129"/>
    </row>
    <row r="769" ht="12.75" customHeight="1">
      <c r="B769" s="129"/>
      <c r="Z769" s="129"/>
    </row>
    <row r="770" ht="12.75" customHeight="1">
      <c r="B770" s="129"/>
      <c r="Z770" s="129"/>
    </row>
    <row r="771" ht="12.75" customHeight="1">
      <c r="B771" s="129"/>
      <c r="Z771" s="129"/>
    </row>
    <row r="772" ht="12.75" customHeight="1">
      <c r="B772" s="129"/>
      <c r="Z772" s="129"/>
    </row>
    <row r="773" ht="12.75" customHeight="1">
      <c r="B773" s="129"/>
      <c r="Z773" s="129"/>
    </row>
    <row r="774" ht="12.75" customHeight="1">
      <c r="B774" s="129"/>
      <c r="Z774" s="129"/>
    </row>
    <row r="775" ht="12.75" customHeight="1">
      <c r="B775" s="129"/>
      <c r="Z775" s="129"/>
    </row>
    <row r="776" ht="12.75" customHeight="1">
      <c r="B776" s="129"/>
      <c r="Z776" s="129"/>
    </row>
    <row r="777" ht="12.75" customHeight="1">
      <c r="B777" s="129"/>
      <c r="Z777" s="129"/>
    </row>
    <row r="778" ht="12.75" customHeight="1">
      <c r="B778" s="129"/>
      <c r="Z778" s="129"/>
    </row>
    <row r="779" ht="12.75" customHeight="1">
      <c r="B779" s="129"/>
      <c r="Z779" s="129"/>
    </row>
    <row r="780" ht="12.75" customHeight="1">
      <c r="B780" s="129"/>
      <c r="Z780" s="129"/>
    </row>
    <row r="781" ht="12.75" customHeight="1">
      <c r="B781" s="129"/>
      <c r="Z781" s="129"/>
    </row>
    <row r="782" ht="12.75" customHeight="1">
      <c r="B782" s="129"/>
      <c r="Z782" s="129"/>
    </row>
    <row r="783" ht="12.75" customHeight="1">
      <c r="B783" s="129"/>
      <c r="Z783" s="129"/>
    </row>
    <row r="784" ht="12.75" customHeight="1">
      <c r="B784" s="129"/>
      <c r="Z784" s="129"/>
    </row>
    <row r="785" ht="12.75" customHeight="1">
      <c r="B785" s="129"/>
      <c r="Z785" s="129"/>
    </row>
    <row r="786" ht="12.75" customHeight="1">
      <c r="B786" s="129"/>
      <c r="Z786" s="129"/>
    </row>
    <row r="787" ht="12.75" customHeight="1">
      <c r="B787" s="129"/>
      <c r="Z787" s="129"/>
    </row>
    <row r="788" ht="12.75" customHeight="1">
      <c r="B788" s="129"/>
      <c r="Z788" s="129"/>
    </row>
    <row r="789" ht="12.75" customHeight="1">
      <c r="B789" s="129"/>
      <c r="Z789" s="129"/>
    </row>
    <row r="790" ht="12.75" customHeight="1">
      <c r="B790" s="129"/>
      <c r="Z790" s="129"/>
    </row>
    <row r="791" ht="12.75" customHeight="1">
      <c r="B791" s="129"/>
      <c r="Z791" s="129"/>
    </row>
    <row r="792" ht="12.75" customHeight="1">
      <c r="B792" s="129"/>
      <c r="Z792" s="129"/>
    </row>
    <row r="793" ht="12.75" customHeight="1">
      <c r="B793" s="129"/>
      <c r="Z793" s="129"/>
    </row>
    <row r="794" ht="12.75" customHeight="1">
      <c r="B794" s="129"/>
      <c r="Z794" s="129"/>
    </row>
    <row r="795" ht="12.75" customHeight="1">
      <c r="B795" s="129"/>
      <c r="Z795" s="129"/>
    </row>
    <row r="796" ht="12.75" customHeight="1">
      <c r="B796" s="129"/>
      <c r="Z796" s="129"/>
    </row>
    <row r="797" ht="12.75" customHeight="1">
      <c r="B797" s="129"/>
      <c r="Z797" s="129"/>
    </row>
    <row r="798" ht="12.75" customHeight="1">
      <c r="B798" s="129"/>
      <c r="Z798" s="129"/>
    </row>
    <row r="799" ht="12.75" customHeight="1">
      <c r="B799" s="129"/>
      <c r="Z799" s="129"/>
    </row>
    <row r="800" ht="12.75" customHeight="1">
      <c r="B800" s="129"/>
      <c r="Z800" s="129"/>
    </row>
    <row r="801" ht="12.75" customHeight="1">
      <c r="B801" s="129"/>
      <c r="Z801" s="129"/>
    </row>
    <row r="802" ht="12.75" customHeight="1">
      <c r="B802" s="129"/>
      <c r="Z802" s="129"/>
    </row>
    <row r="803" ht="12.75" customHeight="1">
      <c r="B803" s="129"/>
      <c r="Z803" s="129"/>
    </row>
    <row r="804" ht="12.75" customHeight="1">
      <c r="B804" s="129"/>
      <c r="Z804" s="129"/>
    </row>
    <row r="805" ht="12.75" customHeight="1">
      <c r="B805" s="129"/>
      <c r="Z805" s="129"/>
    </row>
    <row r="806" ht="12.75" customHeight="1">
      <c r="B806" s="129"/>
      <c r="Z806" s="129"/>
    </row>
    <row r="807" ht="12.75" customHeight="1">
      <c r="B807" s="129"/>
      <c r="Z807" s="129"/>
    </row>
    <row r="808" ht="12.75" customHeight="1">
      <c r="B808" s="129"/>
      <c r="Z808" s="129"/>
    </row>
    <row r="809" ht="12.75" customHeight="1">
      <c r="B809" s="129"/>
      <c r="Z809" s="129"/>
    </row>
    <row r="810" ht="12.75" customHeight="1">
      <c r="B810" s="129"/>
      <c r="Z810" s="129"/>
    </row>
    <row r="811" ht="12.75" customHeight="1">
      <c r="B811" s="129"/>
      <c r="Z811" s="129"/>
    </row>
    <row r="812" ht="12.75" customHeight="1">
      <c r="B812" s="129"/>
      <c r="Z812" s="129"/>
    </row>
    <row r="813" ht="12.75" customHeight="1">
      <c r="B813" s="129"/>
      <c r="Z813" s="129"/>
    </row>
    <row r="814" ht="12.75" customHeight="1">
      <c r="B814" s="129"/>
      <c r="Z814" s="129"/>
    </row>
    <row r="815" ht="12.75" customHeight="1">
      <c r="B815" s="129"/>
      <c r="Z815" s="129"/>
    </row>
    <row r="816" ht="12.75" customHeight="1">
      <c r="B816" s="129"/>
      <c r="Z816" s="129"/>
    </row>
    <row r="817" ht="12.75" customHeight="1">
      <c r="B817" s="129"/>
      <c r="Z817" s="129"/>
    </row>
    <row r="818" ht="12.75" customHeight="1">
      <c r="B818" s="129"/>
      <c r="Z818" s="129"/>
    </row>
    <row r="819" ht="12.75" customHeight="1">
      <c r="B819" s="129"/>
      <c r="Z819" s="129"/>
    </row>
    <row r="820" ht="12.75" customHeight="1">
      <c r="B820" s="129"/>
      <c r="Z820" s="129"/>
    </row>
    <row r="821" ht="12.75" customHeight="1">
      <c r="B821" s="129"/>
      <c r="Z821" s="129"/>
    </row>
    <row r="822" ht="12.75" customHeight="1">
      <c r="B822" s="129"/>
      <c r="Z822" s="129"/>
    </row>
    <row r="823" ht="12.75" customHeight="1">
      <c r="B823" s="129"/>
      <c r="Z823" s="129"/>
    </row>
    <row r="824" ht="12.75" customHeight="1">
      <c r="B824" s="129"/>
      <c r="Z824" s="129"/>
    </row>
    <row r="825" ht="12.75" customHeight="1">
      <c r="B825" s="129"/>
      <c r="Z825" s="129"/>
    </row>
    <row r="826" ht="12.75" customHeight="1">
      <c r="B826" s="129"/>
      <c r="Z826" s="129"/>
    </row>
    <row r="827" ht="12.75" customHeight="1">
      <c r="B827" s="129"/>
      <c r="Z827" s="129"/>
    </row>
    <row r="828" ht="12.75" customHeight="1">
      <c r="B828" s="129"/>
      <c r="Z828" s="129"/>
    </row>
    <row r="829" ht="12.75" customHeight="1">
      <c r="B829" s="129"/>
      <c r="Z829" s="129"/>
    </row>
    <row r="830" ht="12.75" customHeight="1">
      <c r="B830" s="129"/>
      <c r="Z830" s="129"/>
    </row>
    <row r="831" ht="12.75" customHeight="1">
      <c r="B831" s="129"/>
      <c r="Z831" s="129"/>
    </row>
    <row r="832" ht="12.75" customHeight="1">
      <c r="B832" s="129"/>
      <c r="Z832" s="129"/>
    </row>
    <row r="833" ht="12.75" customHeight="1">
      <c r="B833" s="129"/>
      <c r="Z833" s="129"/>
    </row>
    <row r="834" ht="12.75" customHeight="1">
      <c r="B834" s="129"/>
      <c r="Z834" s="129"/>
    </row>
    <row r="835" ht="12.75" customHeight="1">
      <c r="B835" s="129"/>
      <c r="Z835" s="129"/>
    </row>
    <row r="836" ht="12.75" customHeight="1">
      <c r="B836" s="129"/>
      <c r="Z836" s="129"/>
    </row>
    <row r="837" ht="12.75" customHeight="1">
      <c r="B837" s="129"/>
      <c r="Z837" s="129"/>
    </row>
    <row r="838" ht="12.75" customHeight="1">
      <c r="B838" s="129"/>
      <c r="Z838" s="129"/>
    </row>
    <row r="839" ht="12.75" customHeight="1">
      <c r="B839" s="129"/>
      <c r="Z839" s="129"/>
    </row>
    <row r="840" ht="12.75" customHeight="1">
      <c r="B840" s="129"/>
      <c r="Z840" s="129"/>
    </row>
    <row r="841" ht="12.75" customHeight="1">
      <c r="B841" s="129"/>
      <c r="Z841" s="129"/>
    </row>
    <row r="842" ht="12.75" customHeight="1">
      <c r="B842" s="129"/>
      <c r="Z842" s="129"/>
    </row>
    <row r="843" ht="12.75" customHeight="1">
      <c r="B843" s="129"/>
      <c r="Z843" s="129"/>
    </row>
    <row r="844" ht="12.75" customHeight="1">
      <c r="B844" s="129"/>
      <c r="Z844" s="129"/>
    </row>
    <row r="845" ht="12.75" customHeight="1">
      <c r="B845" s="129"/>
      <c r="Z845" s="129"/>
    </row>
    <row r="846" ht="12.75" customHeight="1">
      <c r="B846" s="129"/>
      <c r="Z846" s="129"/>
    </row>
    <row r="847" ht="12.75" customHeight="1">
      <c r="B847" s="129"/>
      <c r="Z847" s="129"/>
    </row>
    <row r="848" ht="12.75" customHeight="1">
      <c r="B848" s="129"/>
      <c r="Z848" s="129"/>
    </row>
    <row r="849" ht="12.75" customHeight="1">
      <c r="B849" s="129"/>
      <c r="Z849" s="129"/>
    </row>
    <row r="850" ht="12.75" customHeight="1">
      <c r="B850" s="129"/>
      <c r="Z850" s="129"/>
    </row>
    <row r="851" ht="12.75" customHeight="1">
      <c r="B851" s="129"/>
      <c r="Z851" s="129"/>
    </row>
    <row r="852" ht="12.75" customHeight="1">
      <c r="B852" s="129"/>
      <c r="Z852" s="129"/>
    </row>
    <row r="853" ht="12.75" customHeight="1">
      <c r="B853" s="129"/>
      <c r="Z853" s="129"/>
    </row>
    <row r="854" ht="12.75" customHeight="1">
      <c r="B854" s="129"/>
      <c r="Z854" s="129"/>
    </row>
    <row r="855" ht="12.75" customHeight="1">
      <c r="B855" s="129"/>
      <c r="Z855" s="129"/>
    </row>
    <row r="856" ht="12.75" customHeight="1">
      <c r="B856" s="129"/>
      <c r="Z856" s="129"/>
    </row>
    <row r="857" ht="12.75" customHeight="1">
      <c r="B857" s="129"/>
      <c r="Z857" s="129"/>
    </row>
    <row r="858" ht="12.75" customHeight="1">
      <c r="B858" s="129"/>
      <c r="Z858" s="129"/>
    </row>
    <row r="859" ht="12.75" customHeight="1">
      <c r="B859" s="129"/>
      <c r="Z859" s="129"/>
    </row>
    <row r="860" ht="12.75" customHeight="1">
      <c r="B860" s="129"/>
      <c r="Z860" s="129"/>
    </row>
    <row r="861" ht="12.75" customHeight="1">
      <c r="B861" s="129"/>
      <c r="Z861" s="129"/>
    </row>
    <row r="862" ht="12.75" customHeight="1">
      <c r="B862" s="129"/>
      <c r="Z862" s="129"/>
    </row>
    <row r="863" ht="12.75" customHeight="1">
      <c r="B863" s="129"/>
      <c r="Z863" s="129"/>
    </row>
    <row r="864" ht="12.75" customHeight="1">
      <c r="B864" s="129"/>
      <c r="Z864" s="129"/>
    </row>
    <row r="865" ht="12.75" customHeight="1">
      <c r="B865" s="129"/>
      <c r="Z865" s="129"/>
    </row>
    <row r="866" ht="12.75" customHeight="1">
      <c r="B866" s="129"/>
      <c r="Z866" s="129"/>
    </row>
    <row r="867" ht="12.75" customHeight="1">
      <c r="B867" s="129"/>
      <c r="Z867" s="129"/>
    </row>
    <row r="868" ht="12.75" customHeight="1">
      <c r="B868" s="129"/>
      <c r="Z868" s="129"/>
    </row>
    <row r="869" ht="12.75" customHeight="1">
      <c r="B869" s="129"/>
      <c r="Z869" s="129"/>
    </row>
    <row r="870" ht="12.75" customHeight="1">
      <c r="B870" s="129"/>
      <c r="Z870" s="129"/>
    </row>
    <row r="871" ht="12.75" customHeight="1">
      <c r="B871" s="129"/>
      <c r="Z871" s="129"/>
    </row>
    <row r="872" ht="12.75" customHeight="1">
      <c r="B872" s="129"/>
      <c r="Z872" s="129"/>
    </row>
    <row r="873" ht="12.75" customHeight="1">
      <c r="B873" s="129"/>
      <c r="Z873" s="129"/>
    </row>
    <row r="874" ht="12.75" customHeight="1">
      <c r="B874" s="129"/>
      <c r="Z874" s="129"/>
    </row>
    <row r="875" ht="12.75" customHeight="1">
      <c r="B875" s="129"/>
      <c r="Z875" s="129"/>
    </row>
    <row r="876" ht="12.75" customHeight="1">
      <c r="B876" s="129"/>
      <c r="Z876" s="129"/>
    </row>
    <row r="877" ht="12.75" customHeight="1">
      <c r="B877" s="129"/>
      <c r="Z877" s="129"/>
    </row>
    <row r="878" ht="12.75" customHeight="1">
      <c r="B878" s="129"/>
      <c r="Z878" s="129"/>
    </row>
    <row r="879" ht="12.75" customHeight="1">
      <c r="B879" s="129"/>
      <c r="Z879" s="129"/>
    </row>
    <row r="880" ht="12.75" customHeight="1">
      <c r="B880" s="129"/>
      <c r="Z880" s="129"/>
    </row>
    <row r="881" ht="12.75" customHeight="1">
      <c r="B881" s="129"/>
      <c r="Z881" s="129"/>
    </row>
    <row r="882" ht="12.75" customHeight="1">
      <c r="B882" s="129"/>
      <c r="Z882" s="129"/>
    </row>
    <row r="883" ht="12.75" customHeight="1">
      <c r="B883" s="129"/>
      <c r="Z883" s="129"/>
    </row>
    <row r="884" ht="12.75" customHeight="1">
      <c r="B884" s="129"/>
      <c r="Z884" s="129"/>
    </row>
    <row r="885" ht="12.75" customHeight="1">
      <c r="B885" s="129"/>
      <c r="Z885" s="129"/>
    </row>
    <row r="886" ht="12.75" customHeight="1">
      <c r="B886" s="129"/>
      <c r="Z886" s="129"/>
    </row>
    <row r="887" ht="12.75" customHeight="1">
      <c r="B887" s="129"/>
      <c r="Z887" s="129"/>
    </row>
    <row r="888" ht="12.75" customHeight="1">
      <c r="B888" s="129"/>
      <c r="Z888" s="129"/>
    </row>
    <row r="889" ht="12.75" customHeight="1">
      <c r="B889" s="129"/>
      <c r="Z889" s="129"/>
    </row>
    <row r="890" ht="12.75" customHeight="1">
      <c r="B890" s="129"/>
      <c r="Z890" s="129"/>
    </row>
    <row r="891" ht="12.75" customHeight="1">
      <c r="B891" s="129"/>
      <c r="Z891" s="129"/>
    </row>
    <row r="892" ht="12.75" customHeight="1">
      <c r="B892" s="129"/>
      <c r="Z892" s="129"/>
    </row>
    <row r="893" ht="12.75" customHeight="1">
      <c r="B893" s="129"/>
      <c r="Z893" s="129"/>
    </row>
    <row r="894" ht="12.75" customHeight="1">
      <c r="B894" s="129"/>
      <c r="Z894" s="129"/>
    </row>
    <row r="895" ht="12.75" customHeight="1">
      <c r="B895" s="129"/>
      <c r="Z895" s="129"/>
    </row>
    <row r="896" ht="12.75" customHeight="1">
      <c r="B896" s="129"/>
      <c r="Z896" s="129"/>
    </row>
    <row r="897" ht="12.75" customHeight="1">
      <c r="B897" s="129"/>
      <c r="Z897" s="129"/>
    </row>
    <row r="898" ht="12.75" customHeight="1">
      <c r="B898" s="129"/>
      <c r="Z898" s="129"/>
    </row>
    <row r="899" ht="12.75" customHeight="1">
      <c r="B899" s="129"/>
      <c r="Z899" s="129"/>
    </row>
    <row r="900" ht="12.75" customHeight="1">
      <c r="B900" s="129"/>
      <c r="Z900" s="129"/>
    </row>
    <row r="901" ht="12.75" customHeight="1">
      <c r="B901" s="129"/>
      <c r="Z901" s="129"/>
    </row>
    <row r="902" ht="12.75" customHeight="1">
      <c r="B902" s="129"/>
      <c r="Z902" s="129"/>
    </row>
    <row r="903" ht="12.75" customHeight="1">
      <c r="B903" s="129"/>
      <c r="Z903" s="129"/>
    </row>
    <row r="904" ht="12.75" customHeight="1">
      <c r="B904" s="129"/>
      <c r="Z904" s="129"/>
    </row>
    <row r="905" ht="12.75" customHeight="1">
      <c r="B905" s="129"/>
      <c r="Z905" s="129"/>
    </row>
    <row r="906" ht="12.75" customHeight="1">
      <c r="B906" s="129"/>
      <c r="Z906" s="129"/>
    </row>
    <row r="907" ht="12.75" customHeight="1">
      <c r="B907" s="129"/>
      <c r="Z907" s="129"/>
    </row>
    <row r="908" ht="12.75" customHeight="1">
      <c r="B908" s="129"/>
      <c r="Z908" s="129"/>
    </row>
    <row r="909" ht="12.75" customHeight="1">
      <c r="B909" s="129"/>
      <c r="Z909" s="129"/>
    </row>
    <row r="910" ht="12.75" customHeight="1">
      <c r="B910" s="129"/>
      <c r="Z910" s="129"/>
    </row>
    <row r="911" ht="12.75" customHeight="1">
      <c r="B911" s="129"/>
      <c r="Z911" s="129"/>
    </row>
    <row r="912" ht="12.75" customHeight="1">
      <c r="B912" s="129"/>
      <c r="Z912" s="129"/>
    </row>
    <row r="913" ht="12.75" customHeight="1">
      <c r="B913" s="129"/>
      <c r="Z913" s="129"/>
    </row>
    <row r="914" ht="12.75" customHeight="1">
      <c r="B914" s="129"/>
      <c r="Z914" s="129"/>
    </row>
    <row r="915" ht="12.75" customHeight="1">
      <c r="B915" s="129"/>
      <c r="Z915" s="129"/>
    </row>
    <row r="916" ht="12.75" customHeight="1">
      <c r="B916" s="129"/>
      <c r="Z916" s="129"/>
    </row>
    <row r="917" ht="12.75" customHeight="1">
      <c r="B917" s="129"/>
      <c r="Z917" s="129"/>
    </row>
    <row r="918" ht="12.75" customHeight="1">
      <c r="B918" s="129"/>
      <c r="Z918" s="129"/>
    </row>
    <row r="919" ht="12.75" customHeight="1">
      <c r="B919" s="129"/>
      <c r="Z919" s="129"/>
    </row>
    <row r="920" ht="12.75" customHeight="1">
      <c r="B920" s="129"/>
      <c r="Z920" s="129"/>
    </row>
    <row r="921" ht="12.75" customHeight="1">
      <c r="B921" s="129"/>
      <c r="Z921" s="129"/>
    </row>
    <row r="922" ht="12.75" customHeight="1">
      <c r="B922" s="129"/>
      <c r="Z922" s="129"/>
    </row>
    <row r="923" ht="12.75" customHeight="1">
      <c r="B923" s="129"/>
      <c r="Z923" s="129"/>
    </row>
    <row r="924" ht="12.75" customHeight="1">
      <c r="B924" s="129"/>
      <c r="Z924" s="129"/>
    </row>
    <row r="925" ht="12.75" customHeight="1">
      <c r="B925" s="129"/>
      <c r="Z925" s="129"/>
    </row>
    <row r="926" ht="12.75" customHeight="1">
      <c r="B926" s="129"/>
      <c r="Z926" s="129"/>
    </row>
    <row r="927" ht="12.75" customHeight="1">
      <c r="B927" s="129"/>
      <c r="Z927" s="129"/>
    </row>
    <row r="928" ht="12.75" customHeight="1">
      <c r="B928" s="129"/>
      <c r="Z928" s="129"/>
    </row>
    <row r="929" ht="12.75" customHeight="1">
      <c r="B929" s="129"/>
      <c r="Z929" s="129"/>
    </row>
    <row r="930" ht="12.75" customHeight="1">
      <c r="B930" s="129"/>
      <c r="Z930" s="129"/>
    </row>
    <row r="931" ht="12.75" customHeight="1">
      <c r="B931" s="129"/>
      <c r="Z931" s="129"/>
    </row>
    <row r="932" ht="12.75" customHeight="1">
      <c r="B932" s="129"/>
      <c r="Z932" s="129"/>
    </row>
    <row r="933" ht="12.75" customHeight="1">
      <c r="B933" s="129"/>
      <c r="Z933" s="129"/>
    </row>
    <row r="934" ht="12.75" customHeight="1">
      <c r="B934" s="129"/>
      <c r="Z934" s="129"/>
    </row>
    <row r="935" ht="12.75" customHeight="1">
      <c r="B935" s="129"/>
      <c r="Z935" s="129"/>
    </row>
    <row r="936" ht="12.75" customHeight="1">
      <c r="B936" s="129"/>
      <c r="Z936" s="129"/>
    </row>
    <row r="937" ht="12.75" customHeight="1">
      <c r="B937" s="129"/>
      <c r="Z937" s="129"/>
    </row>
    <row r="938" ht="12.75" customHeight="1">
      <c r="B938" s="129"/>
      <c r="Z938" s="129"/>
    </row>
    <row r="939" ht="12.75" customHeight="1">
      <c r="B939" s="129"/>
      <c r="Z939" s="129"/>
    </row>
    <row r="940" ht="12.75" customHeight="1">
      <c r="B940" s="129"/>
      <c r="Z940" s="129"/>
    </row>
    <row r="941" ht="12.75" customHeight="1">
      <c r="B941" s="129"/>
      <c r="Z941" s="129"/>
    </row>
    <row r="942" ht="12.75" customHeight="1">
      <c r="B942" s="129"/>
      <c r="Z942" s="129"/>
    </row>
    <row r="943" ht="12.75" customHeight="1">
      <c r="B943" s="129"/>
      <c r="Z943" s="129"/>
    </row>
    <row r="944" ht="12.75" customHeight="1">
      <c r="B944" s="129"/>
      <c r="Z944" s="129"/>
    </row>
    <row r="945" ht="12.75" customHeight="1">
      <c r="B945" s="129"/>
      <c r="Z945" s="129"/>
    </row>
    <row r="946" ht="12.75" customHeight="1">
      <c r="B946" s="129"/>
      <c r="Z946" s="129"/>
    </row>
    <row r="947" ht="12.75" customHeight="1">
      <c r="B947" s="129"/>
      <c r="Z947" s="129"/>
    </row>
    <row r="948" ht="12.75" customHeight="1">
      <c r="B948" s="129"/>
      <c r="Z948" s="129"/>
    </row>
    <row r="949" ht="12.75" customHeight="1">
      <c r="B949" s="129"/>
      <c r="Z949" s="129"/>
    </row>
    <row r="950" ht="12.75" customHeight="1">
      <c r="B950" s="129"/>
      <c r="Z950" s="129"/>
    </row>
    <row r="951" ht="12.75" customHeight="1">
      <c r="B951" s="129"/>
      <c r="Z951" s="129"/>
    </row>
    <row r="952" ht="12.75" customHeight="1">
      <c r="B952" s="129"/>
      <c r="Z952" s="129"/>
    </row>
    <row r="953" ht="12.75" customHeight="1">
      <c r="B953" s="129"/>
      <c r="Z953" s="129"/>
    </row>
    <row r="954" ht="12.75" customHeight="1">
      <c r="B954" s="129"/>
      <c r="Z954" s="129"/>
    </row>
    <row r="955" ht="12.75" customHeight="1">
      <c r="B955" s="129"/>
      <c r="Z955" s="129"/>
    </row>
    <row r="956" ht="12.75" customHeight="1">
      <c r="B956" s="129"/>
      <c r="Z956" s="129"/>
    </row>
    <row r="957" ht="12.75" customHeight="1">
      <c r="B957" s="129"/>
      <c r="Z957" s="129"/>
    </row>
    <row r="958" ht="12.75" customHeight="1">
      <c r="B958" s="129"/>
      <c r="Z958" s="129"/>
    </row>
    <row r="959" ht="12.75" customHeight="1">
      <c r="B959" s="129"/>
      <c r="Z959" s="129"/>
    </row>
    <row r="960" ht="12.75" customHeight="1">
      <c r="B960" s="129"/>
      <c r="Z960" s="129"/>
    </row>
    <row r="961" ht="12.75" customHeight="1">
      <c r="B961" s="129"/>
      <c r="Z961" s="129"/>
    </row>
    <row r="962" ht="12.75" customHeight="1">
      <c r="B962" s="129"/>
      <c r="Z962" s="129"/>
    </row>
    <row r="963" ht="12.75" customHeight="1">
      <c r="B963" s="129"/>
      <c r="Z963" s="129"/>
    </row>
    <row r="964" ht="12.75" customHeight="1">
      <c r="B964" s="129"/>
      <c r="Z964" s="129"/>
    </row>
    <row r="965" ht="12.75" customHeight="1">
      <c r="B965" s="129"/>
      <c r="Z965" s="129"/>
    </row>
    <row r="966" ht="12.75" customHeight="1">
      <c r="B966" s="129"/>
      <c r="Z966" s="129"/>
    </row>
    <row r="967" ht="12.75" customHeight="1">
      <c r="B967" s="129"/>
      <c r="Z967" s="129"/>
    </row>
    <row r="968" ht="12.75" customHeight="1">
      <c r="B968" s="129"/>
      <c r="Z968" s="129"/>
    </row>
    <row r="969" ht="12.75" customHeight="1">
      <c r="B969" s="129"/>
      <c r="Z969" s="129"/>
    </row>
    <row r="970" ht="12.75" customHeight="1">
      <c r="B970" s="129"/>
      <c r="Z970" s="129"/>
    </row>
    <row r="971" ht="12.75" customHeight="1">
      <c r="B971" s="129"/>
      <c r="Z971" s="129"/>
    </row>
    <row r="972" ht="12.75" customHeight="1">
      <c r="B972" s="129"/>
      <c r="Z972" s="129"/>
    </row>
    <row r="973" ht="12.75" customHeight="1">
      <c r="B973" s="129"/>
      <c r="Z973" s="129"/>
    </row>
    <row r="974" ht="12.75" customHeight="1">
      <c r="B974" s="129"/>
      <c r="Z974" s="129"/>
    </row>
    <row r="975" ht="12.75" customHeight="1">
      <c r="B975" s="129"/>
      <c r="Z975" s="129"/>
    </row>
    <row r="976" ht="12.75" customHeight="1">
      <c r="B976" s="129"/>
      <c r="Z976" s="129"/>
    </row>
    <row r="977" ht="12.75" customHeight="1">
      <c r="B977" s="129"/>
      <c r="Z977" s="129"/>
    </row>
    <row r="978" ht="12.75" customHeight="1">
      <c r="B978" s="129"/>
      <c r="Z978" s="129"/>
    </row>
  </sheetData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0"/>
  <cols>
    <col customWidth="1" min="1" max="1" width="14.57"/>
    <col customWidth="1" min="2" max="3" width="11.71"/>
    <col customWidth="1" min="4" max="4" width="4.57"/>
    <col customWidth="1" min="5" max="19" width="11.71"/>
    <col customWidth="1" min="20" max="20" width="4.57"/>
    <col customWidth="1" min="21" max="23" width="11.71"/>
    <col customWidth="1" min="24" max="24" width="4.57"/>
    <col customWidth="1" min="25" max="29" width="11.71"/>
  </cols>
  <sheetData>
    <row r="1" ht="15.75" customHeight="1">
      <c r="A1" s="5" t="s">
        <v>1</v>
      </c>
      <c r="B1" s="7" t="s">
        <v>15</v>
      </c>
      <c r="C1" s="9" t="s">
        <v>18</v>
      </c>
      <c r="D1" s="158"/>
      <c r="E1" s="7" t="s">
        <v>223</v>
      </c>
      <c r="F1" s="7" t="s">
        <v>224</v>
      </c>
      <c r="G1" s="7" t="s">
        <v>225</v>
      </c>
      <c r="H1" s="7" t="s">
        <v>226</v>
      </c>
      <c r="I1" s="7" t="s">
        <v>227</v>
      </c>
      <c r="J1" s="7" t="s">
        <v>228</v>
      </c>
      <c r="K1" s="7" t="s">
        <v>229</v>
      </c>
      <c r="L1" s="7" t="s">
        <v>230</v>
      </c>
      <c r="M1" s="7" t="s">
        <v>231</v>
      </c>
      <c r="N1" s="7" t="s">
        <v>232</v>
      </c>
      <c r="O1" s="7" t="s">
        <v>233</v>
      </c>
      <c r="P1" s="7" t="s">
        <v>234</v>
      </c>
      <c r="Q1" s="7" t="s">
        <v>235</v>
      </c>
      <c r="R1" s="7" t="s">
        <v>236</v>
      </c>
      <c r="S1" s="7" t="s">
        <v>237</v>
      </c>
      <c r="T1" s="125"/>
      <c r="U1" s="159" t="s">
        <v>238</v>
      </c>
      <c r="V1" s="159" t="s">
        <v>239</v>
      </c>
      <c r="W1" s="159" t="s">
        <v>240</v>
      </c>
      <c r="X1" s="125"/>
      <c r="Y1" s="7" t="s">
        <v>241</v>
      </c>
      <c r="Z1" s="9" t="s">
        <v>242</v>
      </c>
      <c r="AA1" s="9" t="s">
        <v>243</v>
      </c>
      <c r="AB1" s="9" t="s">
        <v>244</v>
      </c>
      <c r="AC1" s="9" t="s">
        <v>245</v>
      </c>
    </row>
    <row r="2" ht="15.75" customHeight="1">
      <c r="A2" s="28" t="s">
        <v>104</v>
      </c>
      <c r="B2" s="29">
        <f>'Raw Values'!C2</f>
        <v>63</v>
      </c>
      <c r="C2" s="34">
        <f>'Raw Values'!D2</f>
        <v>0.81</v>
      </c>
      <c r="D2" s="130"/>
      <c r="E2" s="34">
        <f>SUM('Raw Values'!$C2 * ('Raw Values'!$D2 ^ (100/500)))</f>
        <v>60.40008548</v>
      </c>
      <c r="F2" s="34">
        <f>SUM('Raw Values'!$C2 * ('Raw Values'!$D2 ^ (200/500)))</f>
        <v>57.90746549</v>
      </c>
      <c r="G2" s="34">
        <f>SUM('Raw Values'!$C2 * ('Raw Values'!$D2 ^ (300/500)))</f>
        <v>55.51771215</v>
      </c>
      <c r="H2" s="34">
        <f>SUM('Raw Values'!$C2 * ('Raw Values'!$D2 ^ (400/500)))</f>
        <v>53.2265803</v>
      </c>
      <c r="I2" s="34">
        <f>SUM('Raw Values'!$C2 * ('Raw Values'!$D2 ^ (500/500)))</f>
        <v>51.03</v>
      </c>
      <c r="J2" s="34">
        <f>SUM('Raw Values'!$C2 * ('Raw Values'!$D2 ^ (600/500)))</f>
        <v>48.92406924</v>
      </c>
      <c r="K2" s="34">
        <f>SUM('Raw Values'!$C2 * ('Raw Values'!$D2 ^ (700/500)))</f>
        <v>46.90504704</v>
      </c>
      <c r="L2" s="34">
        <f>SUM('Raw Values'!$C2 * ('Raw Values'!$D2 ^ (800/500)))</f>
        <v>44.96934684</v>
      </c>
      <c r="M2" s="34">
        <f>SUM('Raw Values'!$C2 * ('Raw Values'!$D2 ^ (900/500)))</f>
        <v>43.11353005</v>
      </c>
      <c r="N2" s="34">
        <f>SUM('Raw Values'!$C2 * ('Raw Values'!$D2 ^ (1000/500)))</f>
        <v>41.3343</v>
      </c>
      <c r="O2" s="34">
        <f>SUM('Raw Values'!$C2 * ('Raw Values'!$D2 ^ (1100/500)))</f>
        <v>39.62849608</v>
      </c>
      <c r="P2" s="34">
        <f>SUM('Raw Values'!$C2 * ('Raw Values'!$D2 ^ (1200/500)))</f>
        <v>37.99308811</v>
      </c>
      <c r="Q2" s="34">
        <f>SUM('Raw Values'!$C2 * ('Raw Values'!$D2 ^ (1300/500)))</f>
        <v>36.42517094</v>
      </c>
      <c r="R2" s="34">
        <f>SUM('Raw Values'!$C2 * ('Raw Values'!$D2 ^ (1400/500)))</f>
        <v>34.92195934</v>
      </c>
      <c r="S2" s="34">
        <f>SUM('Raw Values'!$C2 * ('Raw Values'!$D2 ^ (1500/500)))</f>
        <v>33.480783</v>
      </c>
      <c r="T2" s="130"/>
      <c r="U2" s="34">
        <f>SUM('Raw Values'!$C2 * ('Raw Values'!$D2 ^ (2000/500)))</f>
        <v>27.11943423</v>
      </c>
      <c r="V2" s="34">
        <f>SUM('Raw Values'!$C2 * ('Raw Values'!$D2 ^ (2500/500)))</f>
        <v>21.96674173</v>
      </c>
      <c r="W2" s="34">
        <f>SUM('Raw Values'!$C2 * ('Raw Values'!$D2 ^ (3000/500)))</f>
        <v>17.7930608</v>
      </c>
      <c r="X2" s="130"/>
      <c r="Y2" s="160">
        <f>SUM(500*(log(100/(B2*4)))/log('Raw Values'!$D2))</f>
        <v>2193.086508</v>
      </c>
      <c r="Z2" s="34">
        <f>SUM(E2 * 1/'Raw Values'!$E2)</f>
        <v>268.4448243</v>
      </c>
      <c r="AA2" s="34">
        <f>SUM(G2 * 1/'Raw Values'!$E2)</f>
        <v>246.7453873</v>
      </c>
      <c r="AB2" s="34">
        <f>SUM(J2 * 1/'Raw Values'!$E2)</f>
        <v>217.4403077</v>
      </c>
      <c r="AC2" s="34">
        <f>SUM(P2 * 1/'Raw Values'!$E2)</f>
        <v>168.8581694</v>
      </c>
    </row>
    <row r="3" ht="15.75" customHeight="1">
      <c r="A3" s="28" t="s">
        <v>118</v>
      </c>
      <c r="B3" s="29">
        <f>'Raw Values'!C3</f>
        <v>86</v>
      </c>
      <c r="C3" s="34">
        <f>'Raw Values'!D3</f>
        <v>0.94</v>
      </c>
      <c r="D3" s="130"/>
      <c r="E3" s="34">
        <f>SUM('Raw Values'!$C3 * ('Raw Values'!$D3 ^ (100/500)))</f>
        <v>84.94230111</v>
      </c>
      <c r="F3" s="34">
        <f>SUM('Raw Values'!$C3 * ('Raw Values'!$D3 ^ (200/500)))</f>
        <v>83.89761067</v>
      </c>
      <c r="G3" s="34">
        <f>SUM('Raw Values'!$C3 * ('Raw Values'!$D3 ^ (300/500)))</f>
        <v>82.8657687</v>
      </c>
      <c r="H3" s="34">
        <f>SUM('Raw Values'!$C3 * ('Raw Values'!$D3 ^ (400/500)))</f>
        <v>81.84661717</v>
      </c>
      <c r="I3" s="34">
        <f>SUM('Raw Values'!$C3 * ('Raw Values'!$D3 ^ (500/500)))</f>
        <v>80.84</v>
      </c>
      <c r="J3" s="34">
        <f>SUM('Raw Values'!$C3 * ('Raw Values'!$D3 ^ (600/500)))</f>
        <v>79.84576304</v>
      </c>
      <c r="K3" s="34">
        <f>SUM('Raw Values'!$C3 * ('Raw Values'!$D3 ^ (700/500)))</f>
        <v>78.86375403</v>
      </c>
      <c r="L3" s="34">
        <f>SUM('Raw Values'!$C3 * ('Raw Values'!$D3 ^ (800/500)))</f>
        <v>77.89382257</v>
      </c>
      <c r="M3" s="34">
        <f>SUM('Raw Values'!$C3 * ('Raw Values'!$D3 ^ (900/500)))</f>
        <v>76.93582014</v>
      </c>
      <c r="N3" s="34">
        <f>SUM('Raw Values'!$C3 * ('Raw Values'!$D3 ^ (1000/500)))</f>
        <v>75.9896</v>
      </c>
      <c r="O3" s="34">
        <f>SUM('Raw Values'!$C3 * ('Raw Values'!$D3 ^ (1100/500)))</f>
        <v>75.05501726</v>
      </c>
      <c r="P3" s="34">
        <f>SUM('Raw Values'!$C3 * ('Raw Values'!$D3 ^ (1200/500)))</f>
        <v>74.13192879</v>
      </c>
      <c r="Q3" s="34">
        <f>SUM('Raw Values'!$C3 * ('Raw Values'!$D3 ^ (1300/500)))</f>
        <v>73.22019322</v>
      </c>
      <c r="R3" s="34">
        <f>SUM('Raw Values'!$C3 * ('Raw Values'!$D3 ^ (1400/500)))</f>
        <v>72.31967093</v>
      </c>
      <c r="S3" s="34">
        <f>SUM('Raw Values'!$C3 * ('Raw Values'!$D3 ^ (1500/500)))</f>
        <v>71.430224</v>
      </c>
      <c r="T3" s="130"/>
      <c r="U3" s="34">
        <f>SUM('Raw Values'!$C3 * ('Raw Values'!$D3 ^ (2000/500)))</f>
        <v>67.14441056</v>
      </c>
      <c r="V3" s="34">
        <f>SUM('Raw Values'!$C3 * ('Raw Values'!$D3 ^ (2500/500)))</f>
        <v>63.11574593</v>
      </c>
      <c r="W3" s="34">
        <f>SUM('Raw Values'!$C3 * ('Raw Values'!$D3 ^ (3000/500)))</f>
        <v>59.32880117</v>
      </c>
      <c r="X3" s="130"/>
      <c r="Y3" s="160">
        <f>SUM(500*(log(100/(B3*4)))/log('Raw Values'!$D3))</f>
        <v>9983.54271</v>
      </c>
      <c r="Z3" s="34">
        <f>SUM(E3 * 1/'Raw Values'!$E3)</f>
        <v>169.8846022</v>
      </c>
      <c r="AA3" s="34">
        <f>SUM(G3 * 1/'Raw Values'!$E3)</f>
        <v>165.7315374</v>
      </c>
      <c r="AB3" s="34">
        <f>SUM(J3 * 1/'Raw Values'!$E3)</f>
        <v>159.6915261</v>
      </c>
      <c r="AC3" s="34">
        <f>SUM(P3 * 1/'Raw Values'!$E3)</f>
        <v>148.2638576</v>
      </c>
    </row>
    <row r="4" ht="15.75" customHeight="1">
      <c r="A4" s="28" t="s">
        <v>120</v>
      </c>
      <c r="B4" s="29">
        <f>'Raw Values'!C4</f>
        <v>38</v>
      </c>
      <c r="C4" s="34">
        <f>'Raw Values'!D4</f>
        <v>0.79</v>
      </c>
      <c r="D4" s="130"/>
      <c r="E4" s="34">
        <f>SUM('Raw Values'!$C4 * ('Raw Values'!$D4 ^ (100/500)))</f>
        <v>36.2500838</v>
      </c>
      <c r="F4" s="34">
        <f>SUM('Raw Values'!$C4 * ('Raw Values'!$D4 ^ (200/500)))</f>
        <v>34.58075199</v>
      </c>
      <c r="G4" s="34">
        <f>SUM('Raw Values'!$C4 * ('Raw Values'!$D4 ^ (300/500)))</f>
        <v>32.98829362</v>
      </c>
      <c r="H4" s="34">
        <f>SUM('Raw Values'!$C4 * ('Raw Values'!$D4 ^ (400/500)))</f>
        <v>31.46916863</v>
      </c>
      <c r="I4" s="34">
        <f>SUM('Raw Values'!$C4 * ('Raw Values'!$D4 ^ (500/500)))</f>
        <v>30.02</v>
      </c>
      <c r="J4" s="34">
        <f>SUM('Raw Values'!$C4 * ('Raw Values'!$D4 ^ (600/500)))</f>
        <v>28.6375662</v>
      </c>
      <c r="K4" s="34">
        <f>SUM('Raw Values'!$C4 * ('Raw Values'!$D4 ^ (700/500)))</f>
        <v>27.31879407</v>
      </c>
      <c r="L4" s="34">
        <f>SUM('Raw Values'!$C4 * ('Raw Values'!$D4 ^ (800/500)))</f>
        <v>26.06075196</v>
      </c>
      <c r="M4" s="34">
        <f>SUM('Raw Values'!$C4 * ('Raw Values'!$D4 ^ (900/500)))</f>
        <v>24.86064322</v>
      </c>
      <c r="N4" s="34">
        <f>SUM('Raw Values'!$C4 * ('Raw Values'!$D4 ^ (1000/500)))</f>
        <v>23.7158</v>
      </c>
      <c r="O4" s="34">
        <f>SUM('Raw Values'!$C4 * ('Raw Values'!$D4 ^ (1100/500)))</f>
        <v>22.6236773</v>
      </c>
      <c r="P4" s="34">
        <f>SUM('Raw Values'!$C4 * ('Raw Values'!$D4 ^ (1200/500)))</f>
        <v>21.58184732</v>
      </c>
      <c r="Q4" s="34">
        <f>SUM('Raw Values'!$C4 * ('Raw Values'!$D4 ^ (1300/500)))</f>
        <v>20.58799405</v>
      </c>
      <c r="R4" s="34">
        <f>SUM('Raw Values'!$C4 * ('Raw Values'!$D4 ^ (1400/500)))</f>
        <v>19.63990814</v>
      </c>
      <c r="S4" s="34">
        <f>SUM('Raw Values'!$C4 * ('Raw Values'!$D4 ^ (1500/500)))</f>
        <v>18.735482</v>
      </c>
      <c r="T4" s="130"/>
      <c r="U4" s="34">
        <f>SUM('Raw Values'!$C4 * ('Raw Values'!$D4 ^ (2000/500)))</f>
        <v>14.80103078</v>
      </c>
      <c r="V4" s="34">
        <f>SUM('Raw Values'!$C4 * ('Raw Values'!$D4 ^ (2500/500)))</f>
        <v>11.69281432</v>
      </c>
      <c r="W4" s="34">
        <f>SUM('Raw Values'!$C4 * ('Raw Values'!$D4 ^ (3000/500)))</f>
        <v>9.23732331</v>
      </c>
      <c r="X4" s="130"/>
      <c r="Y4" s="160">
        <f>SUM(500*(log(100/(B4*4)))/log('Raw Values'!$D4))</f>
        <v>888.1431144</v>
      </c>
      <c r="Z4" s="34">
        <f>SUM(E4 * 1/'Raw Values'!$E4)</f>
        <v>302.0840317</v>
      </c>
      <c r="AA4" s="34">
        <f>SUM(G4 * 1/'Raw Values'!$E4)</f>
        <v>274.9024468</v>
      </c>
      <c r="AB4" s="34">
        <f>SUM(J4 * 1/'Raw Values'!$E4)</f>
        <v>238.646385</v>
      </c>
      <c r="AC4" s="34">
        <f>SUM(P4 * 1/'Raw Values'!$E4)</f>
        <v>179.8487276</v>
      </c>
    </row>
    <row r="5" ht="15.75" customHeight="1">
      <c r="A5" s="61" t="s">
        <v>122</v>
      </c>
      <c r="B5" s="29">
        <f>'Raw Values'!C5</f>
        <v>32</v>
      </c>
      <c r="C5" s="34">
        <f>'Raw Values'!D5</f>
        <v>0.81</v>
      </c>
      <c r="D5" s="130"/>
      <c r="E5" s="34">
        <f>SUM('Raw Values'!$C5 * ('Raw Values'!$D5 ^ (100/500)))</f>
        <v>30.6794085</v>
      </c>
      <c r="F5" s="34">
        <f>SUM('Raw Values'!$C5 * ('Raw Values'!$D5 ^ (200/500)))</f>
        <v>29.4133158</v>
      </c>
      <c r="G5" s="34">
        <f>SUM('Raw Values'!$C5 * ('Raw Values'!$D5 ^ (300/500)))</f>
        <v>28.19947284</v>
      </c>
      <c r="H5" s="34">
        <f>SUM('Raw Values'!$C5 * ('Raw Values'!$D5 ^ (400/500)))</f>
        <v>27.03572333</v>
      </c>
      <c r="I5" s="34">
        <f>SUM('Raw Values'!$C5 * ('Raw Values'!$D5 ^ (500/500)))</f>
        <v>25.92</v>
      </c>
      <c r="J5" s="34">
        <f>SUM('Raw Values'!$C5 * ('Raw Values'!$D5 ^ (600/500)))</f>
        <v>24.85032088</v>
      </c>
      <c r="K5" s="34">
        <f>SUM('Raw Values'!$C5 * ('Raw Values'!$D5 ^ (700/500)))</f>
        <v>23.8247858</v>
      </c>
      <c r="L5" s="34">
        <f>SUM('Raw Values'!$C5 * ('Raw Values'!$D5 ^ (800/500)))</f>
        <v>22.841573</v>
      </c>
      <c r="M5" s="34">
        <f>SUM('Raw Values'!$C5 * ('Raw Values'!$D5 ^ (900/500)))</f>
        <v>21.8989359</v>
      </c>
      <c r="N5" s="34">
        <f>SUM('Raw Values'!$C5 * ('Raw Values'!$D5 ^ (1000/500)))</f>
        <v>20.9952</v>
      </c>
      <c r="O5" s="34">
        <f>SUM('Raw Values'!$C5 * ('Raw Values'!$D5 ^ (1100/500)))</f>
        <v>20.12875991</v>
      </c>
      <c r="P5" s="34">
        <f>SUM('Raw Values'!$C5 * ('Raw Values'!$D5 ^ (1200/500)))</f>
        <v>19.2980765</v>
      </c>
      <c r="Q5" s="34">
        <f>SUM('Raw Values'!$C5 * ('Raw Values'!$D5 ^ (1300/500)))</f>
        <v>18.50167413</v>
      </c>
      <c r="R5" s="34">
        <f>SUM('Raw Values'!$C5 * ('Raw Values'!$D5 ^ (1400/500)))</f>
        <v>17.73813808</v>
      </c>
      <c r="S5" s="34">
        <f>SUM('Raw Values'!$C5 * ('Raw Values'!$D5 ^ (1500/500)))</f>
        <v>17.006112</v>
      </c>
      <c r="T5" s="130"/>
      <c r="U5" s="34">
        <f>SUM('Raw Values'!$C5 * ('Raw Values'!$D5 ^ (2000/500)))</f>
        <v>13.77495072</v>
      </c>
      <c r="V5" s="34">
        <f>SUM('Raw Values'!$C5 * ('Raw Values'!$D5 ^ (2500/500)))</f>
        <v>11.15771008</v>
      </c>
      <c r="W5" s="34">
        <f>SUM('Raw Values'!$C5 * ('Raw Values'!$D5 ^ (3000/500)))</f>
        <v>9.037745167</v>
      </c>
      <c r="X5" s="130"/>
      <c r="Y5" s="160">
        <f>SUM(500*(log(100/(B5*4)))/log('Raw Values'!$D5))</f>
        <v>585.7509248</v>
      </c>
      <c r="Z5" s="34">
        <f>SUM(E5 * 1/'Raw Values'!$E5)</f>
        <v>204.52939</v>
      </c>
      <c r="AA5" s="34">
        <f>SUM(G5 * 1/'Raw Values'!$E5)</f>
        <v>187.9964856</v>
      </c>
      <c r="AB5" s="34">
        <f>SUM(J5 * 1/'Raw Values'!$E5)</f>
        <v>165.6688059</v>
      </c>
      <c r="AC5" s="34">
        <f>SUM(P5 * 1/'Raw Values'!$E5)</f>
        <v>128.6538433</v>
      </c>
    </row>
    <row r="6" ht="15.75" customHeight="1">
      <c r="A6" s="66" t="s">
        <v>124</v>
      </c>
      <c r="B6" s="29">
        <f>'Raw Values'!C6</f>
        <v>30</v>
      </c>
      <c r="C6" s="34">
        <f>'Raw Values'!D6</f>
        <v>0.85</v>
      </c>
      <c r="D6" s="130"/>
      <c r="E6" s="34">
        <f>SUM('Raw Values'!$C6 * ('Raw Values'!$D6 ^ (100/500)))</f>
        <v>29.04056355</v>
      </c>
      <c r="F6" s="34">
        <f>SUM('Raw Values'!$C6 * ('Raw Values'!$D6 ^ (200/500)))</f>
        <v>28.11181104</v>
      </c>
      <c r="G6" s="34">
        <f>SUM('Raw Values'!$C6 * ('Raw Values'!$D6 ^ (300/500)))</f>
        <v>27.21276117</v>
      </c>
      <c r="H6" s="34">
        <f>SUM('Raw Values'!$C6 * ('Raw Values'!$D6 ^ (400/500)))</f>
        <v>26.342464</v>
      </c>
      <c r="I6" s="34">
        <f>SUM('Raw Values'!$C6 * ('Raw Values'!$D6 ^ (500/500)))</f>
        <v>25.5</v>
      </c>
      <c r="J6" s="34">
        <f>SUM('Raw Values'!$C6 * ('Raw Values'!$D6 ^ (600/500)))</f>
        <v>24.68447902</v>
      </c>
      <c r="K6" s="34">
        <f>SUM('Raw Values'!$C6 * ('Raw Values'!$D6 ^ (700/500)))</f>
        <v>23.89503939</v>
      </c>
      <c r="L6" s="34">
        <f>SUM('Raw Values'!$C6 * ('Raw Values'!$D6 ^ (800/500)))</f>
        <v>23.13084699</v>
      </c>
      <c r="M6" s="34">
        <f>SUM('Raw Values'!$C6 * ('Raw Values'!$D6 ^ (900/500)))</f>
        <v>22.3910944</v>
      </c>
      <c r="N6" s="34">
        <f>SUM('Raw Values'!$C6 * ('Raw Values'!$D6 ^ (1000/500)))</f>
        <v>21.675</v>
      </c>
      <c r="O6" s="34">
        <f>SUM('Raw Values'!$C6 * ('Raw Values'!$D6 ^ (1100/500)))</f>
        <v>20.98180716</v>
      </c>
      <c r="P6" s="34">
        <f>SUM('Raw Values'!$C6 * ('Raw Values'!$D6 ^ (1200/500)))</f>
        <v>20.31078348</v>
      </c>
      <c r="Q6" s="34">
        <f>SUM('Raw Values'!$C6 * ('Raw Values'!$D6 ^ (1300/500)))</f>
        <v>19.66121995</v>
      </c>
      <c r="R6" s="34">
        <f>SUM('Raw Values'!$C6 * ('Raw Values'!$D6 ^ (1400/500)))</f>
        <v>19.03243024</v>
      </c>
      <c r="S6" s="34">
        <f>SUM('Raw Values'!$C6 * ('Raw Values'!$D6 ^ (1500/500)))</f>
        <v>18.42375</v>
      </c>
      <c r="T6" s="130"/>
      <c r="U6" s="34">
        <f>SUM('Raw Values'!$C6 * ('Raw Values'!$D6 ^ (2000/500)))</f>
        <v>15.6601875</v>
      </c>
      <c r="V6" s="34">
        <f>SUM('Raw Values'!$C6 * ('Raw Values'!$D6 ^ (2500/500)))</f>
        <v>13.31115938</v>
      </c>
      <c r="W6" s="34">
        <f>SUM('Raw Values'!$C6 * ('Raw Values'!$D6 ^ (3000/500)))</f>
        <v>11.31448547</v>
      </c>
      <c r="X6" s="130"/>
      <c r="Y6" s="160">
        <f>SUM(500*(log(100/(B6*4)))/log('Raw Values'!$D6))</f>
        <v>560.9240639</v>
      </c>
      <c r="Z6" s="34">
        <f>SUM(E6 * 1/'Raw Values'!$E6)</f>
        <v>193.603757</v>
      </c>
      <c r="AA6" s="34">
        <f>SUM(G6 * 1/'Raw Values'!$E6)</f>
        <v>181.4184078</v>
      </c>
      <c r="AB6" s="34">
        <f>SUM(J6 * 1/'Raw Values'!$E6)</f>
        <v>164.5631935</v>
      </c>
      <c r="AC6" s="34">
        <f>SUM(P6 * 1/'Raw Values'!$E6)</f>
        <v>135.4052232</v>
      </c>
    </row>
    <row r="7" ht="15.75" customHeight="1">
      <c r="A7" s="61" t="s">
        <v>125</v>
      </c>
      <c r="B7" s="29">
        <f>'Raw Values'!C7</f>
        <v>35</v>
      </c>
      <c r="C7" s="34">
        <f>'Raw Values'!D7</f>
        <v>0.91</v>
      </c>
      <c r="D7" s="130"/>
      <c r="E7" s="34">
        <f>SUM('Raw Values'!$C7 * ('Raw Values'!$D7 ^ (100/500)))</f>
        <v>34.34601243</v>
      </c>
      <c r="F7" s="34">
        <f>SUM('Raw Values'!$C7 * ('Raw Values'!$D7 ^ (200/500)))</f>
        <v>33.70424486</v>
      </c>
      <c r="G7" s="34">
        <f>SUM('Raw Values'!$C7 * ('Raw Values'!$D7 ^ (300/500)))</f>
        <v>33.07446895</v>
      </c>
      <c r="H7" s="34">
        <f>SUM('Raw Values'!$C7 * ('Raw Values'!$D7 ^ (400/500)))</f>
        <v>32.45646062</v>
      </c>
      <c r="I7" s="34">
        <f>SUM('Raw Values'!$C7 * ('Raw Values'!$D7 ^ (500/500)))</f>
        <v>31.85</v>
      </c>
      <c r="J7" s="34">
        <f>SUM('Raw Values'!$C7 * ('Raw Values'!$D7 ^ (600/500)))</f>
        <v>31.25487132</v>
      </c>
      <c r="K7" s="34">
        <f>SUM('Raw Values'!$C7 * ('Raw Values'!$D7 ^ (700/500)))</f>
        <v>30.67086282</v>
      </c>
      <c r="L7" s="34">
        <f>SUM('Raw Values'!$C7 * ('Raw Values'!$D7 ^ (800/500)))</f>
        <v>30.09776674</v>
      </c>
      <c r="M7" s="34">
        <f>SUM('Raw Values'!$C7 * ('Raw Values'!$D7 ^ (900/500)))</f>
        <v>29.53537916</v>
      </c>
      <c r="N7" s="34">
        <f>SUM('Raw Values'!$C7 * ('Raw Values'!$D7 ^ (1000/500)))</f>
        <v>28.9835</v>
      </c>
      <c r="O7" s="34">
        <f>SUM('Raw Values'!$C7 * ('Raw Values'!$D7 ^ (1100/500)))</f>
        <v>28.4419329</v>
      </c>
      <c r="P7" s="34">
        <f>SUM('Raw Values'!$C7 * ('Raw Values'!$D7 ^ (1200/500)))</f>
        <v>27.91048517</v>
      </c>
      <c r="Q7" s="34">
        <f>SUM('Raw Values'!$C7 * ('Raw Values'!$D7 ^ (1300/500)))</f>
        <v>27.38896773</v>
      </c>
      <c r="R7" s="34">
        <f>SUM('Raw Values'!$C7 * ('Raw Values'!$D7 ^ (1400/500)))</f>
        <v>26.87719504</v>
      </c>
      <c r="S7" s="34">
        <f>SUM('Raw Values'!$C7 * ('Raw Values'!$D7 ^ (1500/500)))</f>
        <v>26.374985</v>
      </c>
      <c r="T7" s="130"/>
      <c r="U7" s="34">
        <f>SUM('Raw Values'!$C7 * ('Raw Values'!$D7 ^ (2000/500)))</f>
        <v>24.00123635</v>
      </c>
      <c r="V7" s="34">
        <f>SUM('Raw Values'!$C7 * ('Raw Values'!$D7 ^ (2500/500)))</f>
        <v>21.84112508</v>
      </c>
      <c r="W7" s="34">
        <f>SUM('Raw Values'!$C7 * ('Raw Values'!$D7 ^ (3000/500)))</f>
        <v>19.87542382</v>
      </c>
      <c r="X7" s="130"/>
      <c r="Y7" s="160">
        <f>SUM(500*(log(100/(B7*4)))/log('Raw Values'!$D7))</f>
        <v>1783.850135</v>
      </c>
      <c r="Z7" s="34">
        <f>SUM(E7 * 1/'Raw Values'!$E7)</f>
        <v>202.0353673</v>
      </c>
      <c r="AA7" s="34">
        <f>SUM(G7 * 1/'Raw Values'!$E7)</f>
        <v>194.5556997</v>
      </c>
      <c r="AB7" s="34">
        <f>SUM(J7 * 1/'Raw Values'!$E7)</f>
        <v>183.8521842</v>
      </c>
      <c r="AC7" s="34">
        <f>SUM(P7 * 1/'Raw Values'!$E7)</f>
        <v>164.1793245</v>
      </c>
    </row>
    <row r="8" ht="15.75" customHeight="1">
      <c r="A8" s="61" t="s">
        <v>127</v>
      </c>
      <c r="B8" s="29">
        <f>'Raw Values'!C8</f>
        <v>35</v>
      </c>
      <c r="C8" s="34">
        <f>'Raw Values'!D8</f>
        <v>0.91</v>
      </c>
      <c r="D8" s="130"/>
      <c r="E8" s="34">
        <f>SUM('Raw Values'!$C8 * ('Raw Values'!$D8 ^ (100/500)))</f>
        <v>34.34601243</v>
      </c>
      <c r="F8" s="34">
        <f>SUM('Raw Values'!$C8 * ('Raw Values'!$D8 ^ (200/500)))</f>
        <v>33.70424486</v>
      </c>
      <c r="G8" s="34">
        <f>SUM('Raw Values'!$C8 * ('Raw Values'!$D8 ^ (300/500)))</f>
        <v>33.07446895</v>
      </c>
      <c r="H8" s="34">
        <f>SUM('Raw Values'!$C8 * ('Raw Values'!$D8 ^ (400/500)))</f>
        <v>32.45646062</v>
      </c>
      <c r="I8" s="34">
        <f>SUM('Raw Values'!$C8 * ('Raw Values'!$D8 ^ (500/500)))</f>
        <v>31.85</v>
      </c>
      <c r="J8" s="34">
        <f>SUM('Raw Values'!$C8 * ('Raw Values'!$D8 ^ (600/500)))</f>
        <v>31.25487132</v>
      </c>
      <c r="K8" s="34">
        <f>SUM('Raw Values'!$C8 * ('Raw Values'!$D8 ^ (700/500)))</f>
        <v>30.67086282</v>
      </c>
      <c r="L8" s="34">
        <f>SUM('Raw Values'!$C8 * ('Raw Values'!$D8 ^ (800/500)))</f>
        <v>30.09776674</v>
      </c>
      <c r="M8" s="34">
        <f>SUM('Raw Values'!$C8 * ('Raw Values'!$D8 ^ (900/500)))</f>
        <v>29.53537916</v>
      </c>
      <c r="N8" s="34">
        <f>SUM('Raw Values'!$C8 * ('Raw Values'!$D8 ^ (1000/500)))</f>
        <v>28.9835</v>
      </c>
      <c r="O8" s="34">
        <f>SUM('Raw Values'!$C8 * ('Raw Values'!$D8 ^ (1100/500)))</f>
        <v>28.4419329</v>
      </c>
      <c r="P8" s="34">
        <f>SUM('Raw Values'!$C8 * ('Raw Values'!$D8 ^ (1200/500)))</f>
        <v>27.91048517</v>
      </c>
      <c r="Q8" s="34">
        <f>SUM('Raw Values'!$C8 * ('Raw Values'!$D8 ^ (1300/500)))</f>
        <v>27.38896773</v>
      </c>
      <c r="R8" s="34">
        <f>SUM('Raw Values'!$C8 * ('Raw Values'!$D8 ^ (1400/500)))</f>
        <v>26.87719504</v>
      </c>
      <c r="S8" s="34">
        <f>SUM('Raw Values'!$C8 * ('Raw Values'!$D8 ^ (1500/500)))</f>
        <v>26.374985</v>
      </c>
      <c r="T8" s="130"/>
      <c r="U8" s="34">
        <f>SUM('Raw Values'!$C8 * ('Raw Values'!$D8 ^ (2000/500)))</f>
        <v>24.00123635</v>
      </c>
      <c r="V8" s="34">
        <f>SUM('Raw Values'!$C8 * ('Raw Values'!$D8 ^ (2500/500)))</f>
        <v>21.84112508</v>
      </c>
      <c r="W8" s="34">
        <f>SUM('Raw Values'!$C8 * ('Raw Values'!$D8 ^ (3000/500)))</f>
        <v>19.87542382</v>
      </c>
      <c r="X8" s="130"/>
      <c r="Y8" s="160">
        <f>SUM(500*(log(100/(B8*4)))/log('Raw Values'!$D8))</f>
        <v>1783.850135</v>
      </c>
      <c r="Z8" s="34">
        <f>SUM(E8 * 1/'Raw Values'!$E8)</f>
        <v>202.0353673</v>
      </c>
      <c r="AA8" s="34">
        <f>SUM(G8 * 1/'Raw Values'!$E8)</f>
        <v>194.5556997</v>
      </c>
      <c r="AB8" s="34">
        <f>SUM(J8 * 1/'Raw Values'!$E8)</f>
        <v>183.8521842</v>
      </c>
      <c r="AC8" s="34">
        <f>SUM(P8 * 1/'Raw Values'!$E8)</f>
        <v>164.1793245</v>
      </c>
    </row>
    <row r="9" ht="15.75" customHeight="1">
      <c r="A9" s="28" t="s">
        <v>129</v>
      </c>
      <c r="B9" s="29">
        <f>'Raw Values'!C9</f>
        <v>38</v>
      </c>
      <c r="C9" s="34">
        <f>'Raw Values'!D9</f>
        <v>0.9</v>
      </c>
      <c r="D9" s="130"/>
      <c r="E9" s="34">
        <f>SUM('Raw Values'!$C9 * ('Raw Values'!$D9 ^ (100/500)))</f>
        <v>37.20763777</v>
      </c>
      <c r="F9" s="34">
        <f>SUM('Raw Values'!$C9 * ('Raw Values'!$D9 ^ (200/500)))</f>
        <v>36.43179759</v>
      </c>
      <c r="G9" s="34">
        <f>SUM('Raw Values'!$C9 * ('Raw Values'!$D9 ^ (300/500)))</f>
        <v>35.67213495</v>
      </c>
      <c r="H9" s="34">
        <f>SUM('Raw Values'!$C9 * ('Raw Values'!$D9 ^ (400/500)))</f>
        <v>34.92831252</v>
      </c>
      <c r="I9" s="34">
        <f>SUM('Raw Values'!$C9 * ('Raw Values'!$D9 ^ (500/500)))</f>
        <v>34.2</v>
      </c>
      <c r="J9" s="34">
        <f>SUM('Raw Values'!$C9 * ('Raw Values'!$D9 ^ (600/500)))</f>
        <v>33.48687399</v>
      </c>
      <c r="K9" s="34">
        <f>SUM('Raw Values'!$C9 * ('Raw Values'!$D9 ^ (700/500)))</f>
        <v>32.78861783</v>
      </c>
      <c r="L9" s="34">
        <f>SUM('Raw Values'!$C9 * ('Raw Values'!$D9 ^ (800/500)))</f>
        <v>32.10492145</v>
      </c>
      <c r="M9" s="34">
        <f>SUM('Raw Values'!$C9 * ('Raw Values'!$D9 ^ (900/500)))</f>
        <v>31.43548126</v>
      </c>
      <c r="N9" s="34">
        <f>SUM('Raw Values'!$C9 * ('Raw Values'!$D9 ^ (1000/500)))</f>
        <v>30.78</v>
      </c>
      <c r="O9" s="34">
        <f>SUM('Raw Values'!$C9 * ('Raw Values'!$D9 ^ (1100/500)))</f>
        <v>30.13818659</v>
      </c>
      <c r="P9" s="34">
        <f>SUM('Raw Values'!$C9 * ('Raw Values'!$D9 ^ (1200/500)))</f>
        <v>29.50975605</v>
      </c>
      <c r="Q9" s="34">
        <f>SUM('Raw Values'!$C9 * ('Raw Values'!$D9 ^ (1300/500)))</f>
        <v>28.89442931</v>
      </c>
      <c r="R9" s="34">
        <f>SUM('Raw Values'!$C9 * ('Raw Values'!$D9 ^ (1400/500)))</f>
        <v>28.29193314</v>
      </c>
      <c r="S9" s="34">
        <f>SUM('Raw Values'!$C9 * ('Raw Values'!$D9 ^ (1500/500)))</f>
        <v>27.702</v>
      </c>
      <c r="T9" s="130"/>
      <c r="U9" s="34">
        <f>SUM('Raw Values'!$C9 * ('Raw Values'!$D9 ^ (2000/500)))</f>
        <v>24.9318</v>
      </c>
      <c r="V9" s="34">
        <f>SUM('Raw Values'!$C9 * ('Raw Values'!$D9 ^ (2500/500)))</f>
        <v>22.43862</v>
      </c>
      <c r="W9" s="34">
        <f>SUM('Raw Values'!$C9 * ('Raw Values'!$D9 ^ (3000/500)))</f>
        <v>20.194758</v>
      </c>
      <c r="X9" s="130"/>
      <c r="Y9" s="160">
        <f>SUM(500*(log(100/(B9*4)))/log('Raw Values'!$D9))</f>
        <v>1987.036283</v>
      </c>
      <c r="Z9" s="34">
        <f>SUM(E9 * 1/'Raw Values'!$E9)</f>
        <v>248.0509185</v>
      </c>
      <c r="AA9" s="34">
        <f>SUM(G9 * 1/'Raw Values'!$E9)</f>
        <v>237.814233</v>
      </c>
      <c r="AB9" s="34">
        <f>SUM(J9 * 1/'Raw Values'!$E9)</f>
        <v>223.2458266</v>
      </c>
      <c r="AC9" s="34">
        <f>SUM(P9 * 1/'Raw Values'!$E9)</f>
        <v>196.731707</v>
      </c>
    </row>
    <row r="10" ht="15.75" customHeight="1">
      <c r="A10" s="28" t="s">
        <v>131</v>
      </c>
      <c r="B10" s="29">
        <f>'Raw Values'!C10</f>
        <v>31</v>
      </c>
      <c r="C10" s="34">
        <f>'Raw Values'!D10</f>
        <v>0.85</v>
      </c>
      <c r="D10" s="130"/>
      <c r="E10" s="34">
        <f>SUM('Raw Values'!$C10 * ('Raw Values'!$D10 ^ (100/500)))</f>
        <v>30.00858234</v>
      </c>
      <c r="F10" s="34">
        <f>SUM('Raw Values'!$C10 * ('Raw Values'!$D10 ^ (200/500)))</f>
        <v>29.04887141</v>
      </c>
      <c r="G10" s="34">
        <f>SUM('Raw Values'!$C10 * ('Raw Values'!$D10 ^ (300/500)))</f>
        <v>28.11985321</v>
      </c>
      <c r="H10" s="34">
        <f>SUM('Raw Values'!$C10 * ('Raw Values'!$D10 ^ (400/500)))</f>
        <v>27.22054614</v>
      </c>
      <c r="I10" s="34">
        <f>SUM('Raw Values'!$C10 * ('Raw Values'!$D10 ^ (500/500)))</f>
        <v>26.35</v>
      </c>
      <c r="J10" s="34">
        <f>SUM('Raw Values'!$C10 * ('Raw Values'!$D10 ^ (600/500)))</f>
        <v>25.50729498</v>
      </c>
      <c r="K10" s="34">
        <f>SUM('Raw Values'!$C10 * ('Raw Values'!$D10 ^ (700/500)))</f>
        <v>24.6915407</v>
      </c>
      <c r="L10" s="34">
        <f>SUM('Raw Values'!$C10 * ('Raw Values'!$D10 ^ (800/500)))</f>
        <v>23.90187523</v>
      </c>
      <c r="M10" s="34">
        <f>SUM('Raw Values'!$C10 * ('Raw Values'!$D10 ^ (900/500)))</f>
        <v>23.13746422</v>
      </c>
      <c r="N10" s="34">
        <f>SUM('Raw Values'!$C10 * ('Raw Values'!$D10 ^ (1000/500)))</f>
        <v>22.3975</v>
      </c>
      <c r="O10" s="34">
        <f>SUM('Raw Values'!$C10 * ('Raw Values'!$D10 ^ (1100/500)))</f>
        <v>21.68120074</v>
      </c>
      <c r="P10" s="34">
        <f>SUM('Raw Values'!$C10 * ('Raw Values'!$D10 ^ (1200/500)))</f>
        <v>20.98780959</v>
      </c>
      <c r="Q10" s="34">
        <f>SUM('Raw Values'!$C10 * ('Raw Values'!$D10 ^ (1300/500)))</f>
        <v>20.31659394</v>
      </c>
      <c r="R10" s="34">
        <f>SUM('Raw Values'!$C10 * ('Raw Values'!$D10 ^ (1400/500)))</f>
        <v>19.66684458</v>
      </c>
      <c r="S10" s="34">
        <f>SUM('Raw Values'!$C10 * ('Raw Values'!$D10 ^ (1500/500)))</f>
        <v>19.037875</v>
      </c>
      <c r="T10" s="130"/>
      <c r="U10" s="34">
        <f>SUM('Raw Values'!$C10 * ('Raw Values'!$D10 ^ (2000/500)))</f>
        <v>16.18219375</v>
      </c>
      <c r="V10" s="34">
        <f>SUM('Raw Values'!$C10 * ('Raw Values'!$D10 ^ (2500/500)))</f>
        <v>13.75486469</v>
      </c>
      <c r="W10" s="34">
        <f>SUM('Raw Values'!$C10 * ('Raw Values'!$D10 ^ (3000/500)))</f>
        <v>11.69163498</v>
      </c>
      <c r="X10" s="130"/>
      <c r="Y10" s="160">
        <f>SUM(500*(log(100/(B10*4)))/log('Raw Values'!$D10))</f>
        <v>661.804075</v>
      </c>
      <c r="Z10" s="34">
        <f>SUM(E10 * 1/'Raw Values'!$E10)</f>
        <v>300.0858234</v>
      </c>
      <c r="AA10" s="34">
        <f>SUM(G10 * 1/'Raw Values'!$E10)</f>
        <v>281.1985321</v>
      </c>
      <c r="AB10" s="34">
        <f>SUM(J10 * 1/'Raw Values'!$E10)</f>
        <v>255.0729498</v>
      </c>
      <c r="AC10" s="34">
        <f>SUM(P10 * 1/'Raw Values'!$E10)</f>
        <v>209.8780959</v>
      </c>
    </row>
    <row r="11" ht="15.75" customHeight="1">
      <c r="A11" s="66" t="s">
        <v>132</v>
      </c>
      <c r="B11" s="29">
        <f>'Raw Values'!C11</f>
        <v>33</v>
      </c>
      <c r="C11" s="34">
        <f>'Raw Values'!D11</f>
        <v>0.79</v>
      </c>
      <c r="D11" s="130"/>
      <c r="E11" s="34">
        <f>SUM('Raw Values'!$C11 * ('Raw Values'!$D11 ^ (100/500)))</f>
        <v>31.48033593</v>
      </c>
      <c r="F11" s="34">
        <f>SUM('Raw Values'!$C11 * ('Raw Values'!$D11 ^ (200/500)))</f>
        <v>30.03065304</v>
      </c>
      <c r="G11" s="34">
        <f>SUM('Raw Values'!$C11 * ('Raw Values'!$D11 ^ (300/500)))</f>
        <v>28.64772867</v>
      </c>
      <c r="H11" s="34">
        <f>SUM('Raw Values'!$C11 * ('Raw Values'!$D11 ^ (400/500)))</f>
        <v>27.32848855</v>
      </c>
      <c r="I11" s="34">
        <f>SUM('Raw Values'!$C11 * ('Raw Values'!$D11 ^ (500/500)))</f>
        <v>26.07</v>
      </c>
      <c r="J11" s="34">
        <f>SUM('Raw Values'!$C11 * ('Raw Values'!$D11 ^ (600/500)))</f>
        <v>24.86946539</v>
      </c>
      <c r="K11" s="34">
        <f>SUM('Raw Values'!$C11 * ('Raw Values'!$D11 ^ (700/500)))</f>
        <v>23.7242159</v>
      </c>
      <c r="L11" s="34">
        <f>SUM('Raw Values'!$C11 * ('Raw Values'!$D11 ^ (800/500)))</f>
        <v>22.63170565</v>
      </c>
      <c r="M11" s="34">
        <f>SUM('Raw Values'!$C11 * ('Raw Values'!$D11 ^ (900/500)))</f>
        <v>21.58950595</v>
      </c>
      <c r="N11" s="34">
        <f>SUM('Raw Values'!$C11 * ('Raw Values'!$D11 ^ (1000/500)))</f>
        <v>20.5953</v>
      </c>
      <c r="O11" s="34">
        <f>SUM('Raw Values'!$C11 * ('Raw Values'!$D11 ^ (1100/500)))</f>
        <v>19.64687765</v>
      </c>
      <c r="P11" s="34">
        <f>SUM('Raw Values'!$C11 * ('Raw Values'!$D11 ^ (1200/500)))</f>
        <v>18.74213056</v>
      </c>
      <c r="Q11" s="34">
        <f>SUM('Raw Values'!$C11 * ('Raw Values'!$D11 ^ (1300/500)))</f>
        <v>17.87904746</v>
      </c>
      <c r="R11" s="34">
        <f>SUM('Raw Values'!$C11 * ('Raw Values'!$D11 ^ (1400/500)))</f>
        <v>17.0557097</v>
      </c>
      <c r="S11" s="34">
        <f>SUM('Raw Values'!$C11 * ('Raw Values'!$D11 ^ (1500/500)))</f>
        <v>16.270287</v>
      </c>
      <c r="T11" s="130"/>
      <c r="U11" s="34">
        <f>SUM('Raw Values'!$C11 * ('Raw Values'!$D11 ^ (2000/500)))</f>
        <v>12.85352673</v>
      </c>
      <c r="V11" s="34">
        <f>SUM('Raw Values'!$C11 * ('Raw Values'!$D11 ^ (2500/500)))</f>
        <v>10.15428612</v>
      </c>
      <c r="W11" s="34">
        <f>SUM('Raw Values'!$C11 * ('Raw Values'!$D11 ^ (3000/500)))</f>
        <v>8.021886032</v>
      </c>
      <c r="X11" s="130"/>
      <c r="Y11" s="160">
        <f>SUM(500*(log(100/(B11*4)))/log('Raw Values'!$D11))</f>
        <v>588.8956987</v>
      </c>
      <c r="Z11" s="34">
        <f>SUM(E11 * 1/'Raw Values'!$E11)</f>
        <v>262.3361328</v>
      </c>
      <c r="AA11" s="34">
        <f>SUM(G11 * 1/'Raw Values'!$E11)</f>
        <v>238.7310722</v>
      </c>
      <c r="AB11" s="34">
        <f>SUM(J11 * 1/'Raw Values'!$E11)</f>
        <v>207.2455449</v>
      </c>
      <c r="AC11" s="34">
        <f>SUM(P11 * 1/'Raw Values'!$E11)</f>
        <v>156.1844214</v>
      </c>
    </row>
    <row r="12" ht="15.75" customHeight="1">
      <c r="A12" s="75"/>
      <c r="B12" s="75"/>
      <c r="C12" s="79"/>
      <c r="D12" s="133"/>
      <c r="E12" s="75"/>
      <c r="F12" s="75"/>
      <c r="G12" s="75"/>
      <c r="H12" s="75"/>
      <c r="I12" s="75"/>
      <c r="J12" s="75"/>
      <c r="K12" s="75"/>
      <c r="L12" s="75"/>
      <c r="M12" s="75"/>
      <c r="N12" s="75"/>
      <c r="O12" s="75"/>
      <c r="P12" s="75"/>
      <c r="Q12" s="75"/>
      <c r="R12" s="75"/>
      <c r="S12" s="75"/>
      <c r="T12" s="133"/>
      <c r="U12" s="75"/>
      <c r="V12" s="75"/>
      <c r="W12" s="75"/>
      <c r="X12" s="133"/>
      <c r="Y12" s="75"/>
      <c r="Z12" s="79"/>
      <c r="AA12" s="79"/>
      <c r="AB12" s="79"/>
      <c r="AC12" s="79"/>
    </row>
    <row r="13" ht="15.75" customHeight="1">
      <c r="A13" s="5" t="s">
        <v>135</v>
      </c>
      <c r="B13" s="7" t="s">
        <v>15</v>
      </c>
      <c r="C13" s="9" t="s">
        <v>18</v>
      </c>
      <c r="D13" s="158"/>
      <c r="E13" s="7" t="s">
        <v>223</v>
      </c>
      <c r="F13" s="7" t="s">
        <v>224</v>
      </c>
      <c r="G13" s="7" t="s">
        <v>225</v>
      </c>
      <c r="H13" s="7" t="s">
        <v>226</v>
      </c>
      <c r="I13" s="7" t="s">
        <v>227</v>
      </c>
      <c r="J13" s="7" t="s">
        <v>228</v>
      </c>
      <c r="K13" s="7" t="s">
        <v>229</v>
      </c>
      <c r="L13" s="7" t="s">
        <v>230</v>
      </c>
      <c r="M13" s="7" t="s">
        <v>231</v>
      </c>
      <c r="N13" s="7" t="s">
        <v>232</v>
      </c>
      <c r="O13" s="7" t="s">
        <v>233</v>
      </c>
      <c r="P13" s="7" t="s">
        <v>234</v>
      </c>
      <c r="Q13" s="7" t="s">
        <v>235</v>
      </c>
      <c r="R13" s="7" t="s">
        <v>236</v>
      </c>
      <c r="S13" s="7" t="s">
        <v>237</v>
      </c>
      <c r="T13" s="125"/>
      <c r="U13" s="159" t="s">
        <v>238</v>
      </c>
      <c r="V13" s="159" t="s">
        <v>239</v>
      </c>
      <c r="W13" s="159" t="s">
        <v>240</v>
      </c>
      <c r="X13" s="125"/>
      <c r="Y13" s="7" t="s">
        <v>241</v>
      </c>
      <c r="Z13" s="9" t="s">
        <v>242</v>
      </c>
      <c r="AA13" s="9" t="s">
        <v>243</v>
      </c>
      <c r="AB13" s="9" t="s">
        <v>244</v>
      </c>
      <c r="AC13" s="9" t="s">
        <v>245</v>
      </c>
    </row>
    <row r="14" ht="15.75" customHeight="1">
      <c r="A14" s="61" t="s">
        <v>137</v>
      </c>
      <c r="B14" s="29">
        <f>'Raw Values'!C14</f>
        <v>30</v>
      </c>
      <c r="C14" s="34">
        <f>'Raw Values'!D14</f>
        <v>0.45</v>
      </c>
      <c r="D14" s="130"/>
      <c r="E14" s="34">
        <f>SUM('Raw Values'!$C14 * ('Raw Values'!$D14 ^ (100/500)))</f>
        <v>25.57194475</v>
      </c>
      <c r="F14" s="34">
        <f>SUM('Raw Values'!$C14 * ('Raw Values'!$D14 ^ (200/500)))</f>
        <v>21.79747861</v>
      </c>
      <c r="G14" s="34">
        <f>SUM('Raw Values'!$C14 * ('Raw Values'!$D14 ^ (300/500)))</f>
        <v>18.58013063</v>
      </c>
      <c r="H14" s="34">
        <f>SUM('Raw Values'!$C14 * ('Raw Values'!$D14 ^ (400/500)))</f>
        <v>15.83766913</v>
      </c>
      <c r="I14" s="34">
        <f>SUM('Raw Values'!$C14 * ('Raw Values'!$D14 ^ (500/500)))</f>
        <v>13.5</v>
      </c>
      <c r="J14" s="34">
        <f>SUM('Raw Values'!$C14 * ('Raw Values'!$D14 ^ (600/500)))</f>
        <v>11.50737514</v>
      </c>
      <c r="K14" s="34">
        <f>SUM('Raw Values'!$C14 * ('Raw Values'!$D14 ^ (700/500)))</f>
        <v>9.808865376</v>
      </c>
      <c r="L14" s="34">
        <f>SUM('Raw Values'!$C14 * ('Raw Values'!$D14 ^ (800/500)))</f>
        <v>8.361058783</v>
      </c>
      <c r="M14" s="34">
        <f>SUM('Raw Values'!$C14 * ('Raw Values'!$D14 ^ (900/500)))</f>
        <v>7.126951109</v>
      </c>
      <c r="N14" s="34">
        <f>SUM('Raw Values'!$C14 * ('Raw Values'!$D14 ^ (1000/500)))</f>
        <v>6.075</v>
      </c>
      <c r="O14" s="34">
        <f>SUM('Raw Values'!$C14 * ('Raw Values'!$D14 ^ (1100/500)))</f>
        <v>5.178318812</v>
      </c>
      <c r="P14" s="34">
        <f>SUM('Raw Values'!$C14 * ('Raw Values'!$D14 ^ (1200/500)))</f>
        <v>4.413989419</v>
      </c>
      <c r="Q14" s="34">
        <f>SUM('Raw Values'!$C14 * ('Raw Values'!$D14 ^ (1300/500)))</f>
        <v>3.762476452</v>
      </c>
      <c r="R14" s="34">
        <f>SUM('Raw Values'!$C14 * ('Raw Values'!$D14 ^ (1400/500)))</f>
        <v>3.207127999</v>
      </c>
      <c r="S14" s="34"/>
      <c r="T14" s="130"/>
      <c r="U14" s="34"/>
      <c r="V14" s="34"/>
      <c r="W14" s="34"/>
      <c r="X14" s="130"/>
      <c r="Y14" s="160">
        <f>SUM(500*(log(100/(B14*4)))/log('Raw Values'!$D14))</f>
        <v>114.1639321</v>
      </c>
      <c r="Z14" s="34">
        <f>SUM(E14 * 'Raw Values'!N14/'Raw Values'!$E14)</f>
        <v>240.6771271</v>
      </c>
      <c r="AA14" s="34">
        <f>SUM(G14 * 'Raw Values'!N14/'Raw Values'!$E14)</f>
        <v>174.8718177</v>
      </c>
      <c r="AB14" s="34">
        <f>SUM(J14 * 'Raw Values'!N14/'Raw Values'!$E14)</f>
        <v>108.3047072</v>
      </c>
      <c r="AC14" s="34">
        <f>SUM(P14 * 'Raw Values'!N14/'Raw Values'!$E14)</f>
        <v>41.54342983</v>
      </c>
    </row>
    <row r="15" ht="15.75" customHeight="1">
      <c r="A15" s="28" t="s">
        <v>140</v>
      </c>
      <c r="B15" s="29">
        <f>'Raw Values'!C15</f>
        <v>26</v>
      </c>
      <c r="C15" s="34">
        <f>'Raw Values'!D15</f>
        <v>0.7</v>
      </c>
      <c r="D15" s="130"/>
      <c r="E15" s="34">
        <f>SUM('Raw Values'!$C15 * ('Raw Values'!$D15 ^ (100/500)))</f>
        <v>24.20989779</v>
      </c>
      <c r="F15" s="34">
        <f>SUM('Raw Values'!$C15 * ('Raw Values'!$D15 ^ (200/500)))</f>
        <v>22.54304427</v>
      </c>
      <c r="G15" s="34">
        <f>SUM('Raw Values'!$C15 * ('Raw Values'!$D15 ^ (300/500)))</f>
        <v>20.99095376</v>
      </c>
      <c r="H15" s="34">
        <f>SUM('Raw Values'!$C15 * ('Raw Values'!$D15 ^ (400/500)))</f>
        <v>19.54572481</v>
      </c>
      <c r="I15" s="34">
        <f>SUM('Raw Values'!$C15 * ('Raw Values'!$D15 ^ (500/500)))</f>
        <v>18.2</v>
      </c>
      <c r="J15" s="34">
        <f>SUM('Raw Values'!$C15 * ('Raw Values'!$D15 ^ (600/500)))</f>
        <v>16.94692845</v>
      </c>
      <c r="K15" s="34">
        <f>SUM('Raw Values'!$C15 * ('Raw Values'!$D15 ^ (700/500)))</f>
        <v>15.78013099</v>
      </c>
      <c r="L15" s="34">
        <f>SUM('Raw Values'!$C15 * ('Raw Values'!$D15 ^ (800/500)))</f>
        <v>14.69366763</v>
      </c>
      <c r="M15" s="34">
        <f>SUM('Raw Values'!$C15 * ('Raw Values'!$D15 ^ (900/500)))</f>
        <v>13.68200737</v>
      </c>
      <c r="N15" s="34">
        <f>SUM('Raw Values'!$C15 * ('Raw Values'!$D15 ^ (1000/500)))</f>
        <v>12.74</v>
      </c>
      <c r="O15" s="34">
        <f>SUM('Raw Values'!$C15 * ('Raw Values'!$D15 ^ (1100/500)))</f>
        <v>11.86284992</v>
      </c>
      <c r="P15" s="34">
        <f>SUM('Raw Values'!$C15 * ('Raw Values'!$D15 ^ (1200/500)))</f>
        <v>11.04609169</v>
      </c>
      <c r="Q15" s="34">
        <f>SUM('Raw Values'!$C15 * ('Raw Values'!$D15 ^ (1300/500)))</f>
        <v>10.28556734</v>
      </c>
      <c r="R15" s="34">
        <f>SUM('Raw Values'!$C15 * ('Raw Values'!$D15 ^ (1400/500)))</f>
        <v>9.577405158</v>
      </c>
      <c r="S15" s="34">
        <f>SUM('Raw Values'!$C15 * ('Raw Values'!$D15 ^ (1500/500)))</f>
        <v>8.918</v>
      </c>
      <c r="T15" s="130"/>
      <c r="U15" s="34">
        <f>SUM('Raw Values'!$C15 * ('Raw Values'!$D15 ^ (2000/500)))</f>
        <v>6.2426</v>
      </c>
      <c r="V15" s="34">
        <f>SUM('Raw Values'!$C15 * ('Raw Values'!$D15 ^ (2500/500)))</f>
        <v>4.36982</v>
      </c>
      <c r="W15" s="34">
        <f>SUM('Raw Values'!$C15 * ('Raw Values'!$D15 ^ (3000/500)))</f>
        <v>3.058874</v>
      </c>
      <c r="X15" s="130"/>
      <c r="Y15" s="160">
        <f>SUM(500*(log(100/(B15*4)))/log('Raw Values'!$D15))</f>
        <v>54.9810322</v>
      </c>
      <c r="Z15" s="34">
        <f>SUM(E15 * 'Raw Values'!N15/'Raw Values'!$E15)</f>
        <v>247.6012274</v>
      </c>
      <c r="AA15" s="34">
        <f>SUM(G15 * 'Raw Values'!N15/'Raw Values'!$E15)</f>
        <v>214.6802089</v>
      </c>
      <c r="AB15" s="34">
        <f>SUM(J15 * 'Raw Values'!N15/'Raw Values'!$E15)</f>
        <v>173.3208592</v>
      </c>
      <c r="AC15" s="34">
        <f>SUM(P15 * 'Raw Values'!N15/'Raw Values'!$E15)</f>
        <v>112.9713923</v>
      </c>
    </row>
    <row r="16" ht="15.75" customHeight="1">
      <c r="A16" s="66" t="s">
        <v>142</v>
      </c>
      <c r="B16" s="29">
        <f>'Raw Values'!C16</f>
        <v>32</v>
      </c>
      <c r="C16" s="34">
        <f>'Raw Values'!D16</f>
        <v>0.45</v>
      </c>
      <c r="D16" s="130"/>
      <c r="E16" s="34">
        <f>SUM('Raw Values'!$C16 * ('Raw Values'!$D16 ^ (100/500)))</f>
        <v>27.27674107</v>
      </c>
      <c r="F16" s="34">
        <f>SUM('Raw Values'!$C16 * ('Raw Values'!$D16 ^ (200/500)))</f>
        <v>23.25064385</v>
      </c>
      <c r="G16" s="34">
        <f>SUM('Raw Values'!$C16 * ('Raw Values'!$D16 ^ (300/500)))</f>
        <v>19.818806</v>
      </c>
      <c r="H16" s="34">
        <f>SUM('Raw Values'!$C16 * ('Raw Values'!$D16 ^ (400/500)))</f>
        <v>16.89351374</v>
      </c>
      <c r="I16" s="34">
        <f>SUM('Raw Values'!$C16 * ('Raw Values'!$D16 ^ (500/500)))</f>
        <v>14.4</v>
      </c>
      <c r="J16" s="34">
        <f>SUM('Raw Values'!$C16 * ('Raw Values'!$D16 ^ (600/500)))</f>
        <v>12.27453348</v>
      </c>
      <c r="K16" s="34">
        <f>SUM('Raw Values'!$C16 * ('Raw Values'!$D16 ^ (700/500)))</f>
        <v>10.46278973</v>
      </c>
      <c r="L16" s="34">
        <f>SUM('Raw Values'!$C16 * ('Raw Values'!$D16 ^ (800/500)))</f>
        <v>8.918462701</v>
      </c>
      <c r="M16" s="34">
        <f>SUM('Raw Values'!$C16 * ('Raw Values'!$D16 ^ (900/500)))</f>
        <v>7.602081183</v>
      </c>
      <c r="N16" s="34">
        <f>SUM('Raw Values'!$C16 * ('Raw Values'!$D16 ^ (1000/500)))</f>
        <v>6.48</v>
      </c>
      <c r="O16" s="34">
        <f>SUM('Raw Values'!$C16 * ('Raw Values'!$D16 ^ (1100/500)))</f>
        <v>5.523540066</v>
      </c>
      <c r="P16" s="34">
        <f>SUM('Raw Values'!$C16 * ('Raw Values'!$D16 ^ (1200/500)))</f>
        <v>4.708255381</v>
      </c>
      <c r="Q16" s="34">
        <f>SUM('Raw Values'!$C16 * ('Raw Values'!$D16 ^ (1300/500)))</f>
        <v>4.013308216</v>
      </c>
      <c r="R16" s="34">
        <f>SUM('Raw Values'!$C16 * ('Raw Values'!$D16 ^ (1400/500)))</f>
        <v>3.420936532</v>
      </c>
      <c r="S16" s="34"/>
      <c r="T16" s="130"/>
      <c r="U16" s="34"/>
      <c r="V16" s="34"/>
      <c r="W16" s="34"/>
      <c r="X16" s="130"/>
      <c r="Y16" s="160">
        <f>SUM(500*(log(100/(B16*4)))/log('Raw Values'!$D16))</f>
        <v>154.5758914</v>
      </c>
      <c r="Z16" s="34">
        <f>SUM(E16 * 'Raw Values'!N16/'Raw Values'!$E16)</f>
        <v>256.7222689</v>
      </c>
      <c r="AA16" s="34">
        <f>SUM(G16 * 'Raw Values'!N16/'Raw Values'!$E16)</f>
        <v>186.5299389</v>
      </c>
      <c r="AB16" s="34">
        <f>SUM(J16 * 'Raw Values'!N16/'Raw Values'!$E16)</f>
        <v>115.525021</v>
      </c>
      <c r="AC16" s="34">
        <f>SUM(P16 * 'Raw Values'!N16/'Raw Values'!$E16)</f>
        <v>44.31299182</v>
      </c>
    </row>
    <row r="17" ht="15.75" customHeight="1">
      <c r="A17" s="28" t="s">
        <v>143</v>
      </c>
      <c r="B17" s="29">
        <f>'Raw Values'!C17</f>
        <v>20</v>
      </c>
      <c r="C17" s="34">
        <f>'Raw Values'!D17</f>
        <v>0.7</v>
      </c>
      <c r="D17" s="130"/>
      <c r="E17" s="34">
        <f>SUM('Raw Values'!$C17 * ('Raw Values'!$D17 ^ (100/500)))</f>
        <v>18.6229983</v>
      </c>
      <c r="F17" s="34">
        <f>SUM('Raw Values'!$C17 * ('Raw Values'!$D17 ^ (200/500)))</f>
        <v>17.34080329</v>
      </c>
      <c r="G17" s="34">
        <f>SUM('Raw Values'!$C17 * ('Raw Values'!$D17 ^ (300/500)))</f>
        <v>16.14688751</v>
      </c>
      <c r="H17" s="34">
        <f>SUM('Raw Values'!$C17 * ('Raw Values'!$D17 ^ (400/500)))</f>
        <v>15.03517293</v>
      </c>
      <c r="I17" s="34">
        <f>SUM('Raw Values'!$C17 * ('Raw Values'!$D17 ^ (500/500)))</f>
        <v>14</v>
      </c>
      <c r="J17" s="34">
        <f>SUM('Raw Values'!$C17 * ('Raw Values'!$D17 ^ (600/500)))</f>
        <v>13.03609881</v>
      </c>
      <c r="K17" s="34">
        <f>SUM('Raw Values'!$C17 * ('Raw Values'!$D17 ^ (700/500)))</f>
        <v>12.1385623</v>
      </c>
      <c r="L17" s="34">
        <f>SUM('Raw Values'!$C17 * ('Raw Values'!$D17 ^ (800/500)))</f>
        <v>11.30282126</v>
      </c>
      <c r="M17" s="34">
        <f>SUM('Raw Values'!$C17 * ('Raw Values'!$D17 ^ (900/500)))</f>
        <v>10.52462105</v>
      </c>
      <c r="N17" s="34">
        <f>SUM('Raw Values'!$C17 * ('Raw Values'!$D17 ^ (1000/500)))</f>
        <v>9.8</v>
      </c>
      <c r="O17" s="34">
        <f>SUM('Raw Values'!$C17 * ('Raw Values'!$D17 ^ (1100/500)))</f>
        <v>9.125269168</v>
      </c>
      <c r="P17" s="34">
        <f>SUM('Raw Values'!$C17 * ('Raw Values'!$D17 ^ (1200/500)))</f>
        <v>8.496993611</v>
      </c>
      <c r="Q17" s="34">
        <f>SUM('Raw Values'!$C17 * ('Raw Values'!$D17 ^ (1300/500)))</f>
        <v>7.911974879</v>
      </c>
      <c r="R17" s="34">
        <f>SUM('Raw Values'!$C17 * ('Raw Values'!$D17 ^ (1400/500)))</f>
        <v>7.367234737</v>
      </c>
      <c r="S17" s="34">
        <f>SUM('Raw Values'!$C17 * ('Raw Values'!$D17 ^ (1500/500)))</f>
        <v>6.86</v>
      </c>
      <c r="T17" s="130"/>
      <c r="U17" s="34">
        <f>SUM('Raw Values'!$C17 * ('Raw Values'!$D17 ^ (2000/500)))</f>
        <v>4.802</v>
      </c>
      <c r="V17" s="34">
        <f>SUM('Raw Values'!$C17 * ('Raw Values'!$D17 ^ (2500/500)))</f>
        <v>3.3614</v>
      </c>
      <c r="W17" s="34">
        <f>SUM('Raw Values'!$C17 * ('Raw Values'!$D17 ^ (3000/500)))</f>
        <v>2.35298</v>
      </c>
      <c r="X17" s="130"/>
      <c r="Y17" s="160" t="s">
        <v>209</v>
      </c>
      <c r="Z17" s="34">
        <f>SUM(E17 * 'Raw Values'!N17/'Raw Values'!$E17)</f>
        <v>319.2513995</v>
      </c>
      <c r="AA17" s="34">
        <f>SUM(G17 * 'Raw Values'!N17/'Raw Values'!$E17)</f>
        <v>276.8037859</v>
      </c>
      <c r="AB17" s="34">
        <f>SUM(J17 * 'Raw Values'!N17/'Raw Values'!$E17)</f>
        <v>223.4759796</v>
      </c>
      <c r="AC17" s="34">
        <f>SUM(P17 * 'Raw Values'!N17/'Raw Values'!$E17)</f>
        <v>145.6627476</v>
      </c>
    </row>
    <row r="18" ht="15.75" customHeight="1">
      <c r="A18" s="75"/>
      <c r="B18" s="75"/>
      <c r="C18" s="79"/>
      <c r="D18" s="133"/>
      <c r="E18" s="75"/>
      <c r="F18" s="75"/>
      <c r="G18" s="75"/>
      <c r="H18" s="75"/>
      <c r="I18" s="75"/>
      <c r="J18" s="75"/>
      <c r="K18" s="75"/>
      <c r="L18" s="75"/>
      <c r="M18" s="75"/>
      <c r="N18" s="75"/>
      <c r="O18" s="75"/>
      <c r="P18" s="75"/>
      <c r="Q18" s="75"/>
      <c r="R18" s="75"/>
      <c r="S18" s="75"/>
      <c r="T18" s="133"/>
      <c r="U18" s="75"/>
      <c r="V18" s="75"/>
      <c r="W18" s="75"/>
      <c r="X18" s="133"/>
      <c r="Y18" s="75"/>
      <c r="Z18" s="79"/>
      <c r="AA18" s="79"/>
      <c r="AB18" s="79"/>
      <c r="AC18" s="79"/>
    </row>
    <row r="19" ht="15.75" customHeight="1">
      <c r="A19" s="5" t="s">
        <v>145</v>
      </c>
      <c r="B19" s="7" t="s">
        <v>15</v>
      </c>
      <c r="C19" s="9" t="s">
        <v>18</v>
      </c>
      <c r="D19" s="158"/>
      <c r="E19" s="7" t="s">
        <v>223</v>
      </c>
      <c r="F19" s="7" t="s">
        <v>224</v>
      </c>
      <c r="G19" s="7" t="s">
        <v>225</v>
      </c>
      <c r="H19" s="7" t="s">
        <v>226</v>
      </c>
      <c r="I19" s="7" t="s">
        <v>227</v>
      </c>
      <c r="J19" s="7" t="s">
        <v>228</v>
      </c>
      <c r="K19" s="7" t="s">
        <v>229</v>
      </c>
      <c r="L19" s="7" t="s">
        <v>230</v>
      </c>
      <c r="M19" s="7" t="s">
        <v>231</v>
      </c>
      <c r="N19" s="7" t="s">
        <v>232</v>
      </c>
      <c r="O19" s="7" t="s">
        <v>233</v>
      </c>
      <c r="P19" s="7" t="s">
        <v>234</v>
      </c>
      <c r="Q19" s="7" t="s">
        <v>235</v>
      </c>
      <c r="R19" s="7" t="s">
        <v>236</v>
      </c>
      <c r="S19" s="7" t="s">
        <v>237</v>
      </c>
      <c r="T19" s="125"/>
      <c r="U19" s="159" t="s">
        <v>238</v>
      </c>
      <c r="V19" s="159" t="s">
        <v>239</v>
      </c>
      <c r="W19" s="159" t="s">
        <v>240</v>
      </c>
      <c r="X19" s="125"/>
      <c r="Y19" s="7" t="s">
        <v>241</v>
      </c>
      <c r="Z19" s="9" t="s">
        <v>242</v>
      </c>
      <c r="AA19" s="9" t="s">
        <v>243</v>
      </c>
      <c r="AB19" s="9" t="s">
        <v>244</v>
      </c>
      <c r="AC19" s="9" t="s">
        <v>245</v>
      </c>
    </row>
    <row r="20" ht="15.75" customHeight="1">
      <c r="A20" s="28" t="s">
        <v>147</v>
      </c>
      <c r="B20" s="29">
        <f>'Raw Values'!C20</f>
        <v>27</v>
      </c>
      <c r="C20" s="34">
        <f>'Raw Values'!D20</f>
        <v>0.8</v>
      </c>
      <c r="D20" s="130"/>
      <c r="E20" s="34">
        <f>SUM('Raw Values'!$C20 * ('Raw Values'!$D20 ^ (100/500)))</f>
        <v>25.82151749</v>
      </c>
      <c r="F20" s="34">
        <f>SUM('Raw Values'!$C20 * ('Raw Values'!$D20 ^ (200/500)))</f>
        <v>24.6944728</v>
      </c>
      <c r="G20" s="34">
        <f>SUM('Raw Values'!$C20 * ('Raw Values'!$D20 ^ (300/500)))</f>
        <v>23.6166208</v>
      </c>
      <c r="H20" s="34">
        <f>SUM('Raw Values'!$C20 * ('Raw Values'!$D20 ^ (400/500)))</f>
        <v>22.58581434</v>
      </c>
      <c r="I20" s="34">
        <f>SUM('Raw Values'!$C20 * ('Raw Values'!$D20 ^ (500/500)))</f>
        <v>21.6</v>
      </c>
      <c r="J20" s="34">
        <f>SUM('Raw Values'!$C20 * ('Raw Values'!$D20 ^ (600/500)))</f>
        <v>20.657214</v>
      </c>
      <c r="K20" s="34">
        <f>SUM('Raw Values'!$C20 * ('Raw Values'!$D20 ^ (700/500)))</f>
        <v>19.75557824</v>
      </c>
      <c r="L20" s="34">
        <f>SUM('Raw Values'!$C20 * ('Raw Values'!$D20 ^ (800/500)))</f>
        <v>18.89329664</v>
      </c>
      <c r="M20" s="34">
        <f>SUM('Raw Values'!$C20 * ('Raw Values'!$D20 ^ (900/500)))</f>
        <v>18.06865147</v>
      </c>
      <c r="N20" s="34">
        <f>SUM('Raw Values'!$C20 * ('Raw Values'!$D20 ^ (1000/500)))</f>
        <v>17.28</v>
      </c>
      <c r="O20" s="34">
        <f>SUM('Raw Values'!$C20 * ('Raw Values'!$D20 ^ (1100/500)))</f>
        <v>16.5257712</v>
      </c>
      <c r="P20" s="34">
        <f>SUM('Raw Values'!$C20 * ('Raw Values'!$D20 ^ (1200/500)))</f>
        <v>15.80446259</v>
      </c>
      <c r="Q20" s="34">
        <f>SUM('Raw Values'!$C20 * ('Raw Values'!$D20 ^ (1300/500)))</f>
        <v>15.11463731</v>
      </c>
      <c r="R20" s="34">
        <f>SUM('Raw Values'!$C20 * ('Raw Values'!$D20 ^ (1400/500)))</f>
        <v>14.45492118</v>
      </c>
      <c r="S20" s="34">
        <f>SUM('Raw Values'!$C20 * ('Raw Values'!$D20 ^ (1500/500)))</f>
        <v>13.824</v>
      </c>
      <c r="T20" s="130"/>
      <c r="U20" s="34">
        <f>SUM('Raw Values'!$C20 * ('Raw Values'!$D20 ^ (2000/500)))</f>
        <v>11.0592</v>
      </c>
      <c r="V20" s="34">
        <f>SUM('Raw Values'!$C20 * ('Raw Values'!$D20 ^ (2500/500)))</f>
        <v>8.84736</v>
      </c>
      <c r="W20" s="34">
        <f>SUM('Raw Values'!$C20 * ('Raw Values'!$D20 ^ (3000/500)))</f>
        <v>7.077888</v>
      </c>
      <c r="X20" s="130"/>
      <c r="Y20" s="160">
        <f>SUM(500*(log(100/(B20*4)))/log('Raw Values'!$D20))</f>
        <v>172.447379</v>
      </c>
      <c r="Z20" s="34">
        <f>SUM(E20 * 1/'Raw Values'!$E20)</f>
        <v>322.7689687</v>
      </c>
      <c r="AA20" s="34">
        <f>SUM(G20 * 1/'Raw Values'!$E20)</f>
        <v>295.20776</v>
      </c>
      <c r="AB20" s="34">
        <f>SUM(J20 * 1/'Raw Values'!$E20)</f>
        <v>258.2151749</v>
      </c>
      <c r="AC20" s="34">
        <f>SUM(P20 * 1/'Raw Values'!$E20)</f>
        <v>197.5557824</v>
      </c>
    </row>
    <row r="21" ht="15.75" customHeight="1">
      <c r="A21" s="66" t="s">
        <v>150</v>
      </c>
      <c r="B21" s="29">
        <f>'Raw Values'!C21</f>
        <v>29</v>
      </c>
      <c r="C21" s="34">
        <f>'Raw Values'!D21</f>
        <v>0.8</v>
      </c>
      <c r="D21" s="130"/>
      <c r="E21" s="34">
        <f>SUM('Raw Values'!$C21 * ('Raw Values'!$D21 ^ (100/500)))</f>
        <v>27.73422249</v>
      </c>
      <c r="F21" s="34">
        <f>SUM('Raw Values'!$C21 * ('Raw Values'!$D21 ^ (200/500)))</f>
        <v>26.52369301</v>
      </c>
      <c r="G21" s="34">
        <f>SUM('Raw Values'!$C21 * ('Raw Values'!$D21 ^ (300/500)))</f>
        <v>25.36600012</v>
      </c>
      <c r="H21" s="34">
        <f>SUM('Raw Values'!$C21 * ('Raw Values'!$D21 ^ (400/500)))</f>
        <v>24.25883762</v>
      </c>
      <c r="I21" s="34">
        <f>SUM('Raw Values'!$C21 * ('Raw Values'!$D21 ^ (500/500)))</f>
        <v>23.2</v>
      </c>
      <c r="J21" s="34">
        <f>SUM('Raw Values'!$C21 * ('Raw Values'!$D21 ^ (600/500)))</f>
        <v>22.187378</v>
      </c>
      <c r="K21" s="34">
        <f>SUM('Raw Values'!$C21 * ('Raw Values'!$D21 ^ (700/500)))</f>
        <v>21.21895441</v>
      </c>
      <c r="L21" s="34">
        <f>SUM('Raw Values'!$C21 * ('Raw Values'!$D21 ^ (800/500)))</f>
        <v>20.29280009</v>
      </c>
      <c r="M21" s="34">
        <f>SUM('Raw Values'!$C21 * ('Raw Values'!$D21 ^ (900/500)))</f>
        <v>19.4070701</v>
      </c>
      <c r="N21" s="34">
        <f>SUM('Raw Values'!$C21 * ('Raw Values'!$D21 ^ (1000/500)))</f>
        <v>18.56</v>
      </c>
      <c r="O21" s="34">
        <f>SUM('Raw Values'!$C21 * ('Raw Values'!$D21 ^ (1100/500)))</f>
        <v>17.7499024</v>
      </c>
      <c r="P21" s="34">
        <f>SUM('Raw Values'!$C21 * ('Raw Values'!$D21 ^ (1200/500)))</f>
        <v>16.97516353</v>
      </c>
      <c r="Q21" s="34">
        <f>SUM('Raw Values'!$C21 * ('Raw Values'!$D21 ^ (1300/500)))</f>
        <v>16.23424007</v>
      </c>
      <c r="R21" s="34">
        <f>SUM('Raw Values'!$C21 * ('Raw Values'!$D21 ^ (1400/500)))</f>
        <v>15.52565608</v>
      </c>
      <c r="S21" s="34">
        <f>SUM('Raw Values'!$C21 * ('Raw Values'!$D21 ^ (1500/500)))</f>
        <v>14.848</v>
      </c>
      <c r="T21" s="130"/>
      <c r="U21" s="34">
        <f>SUM('Raw Values'!$C21 * ('Raw Values'!$D21 ^ (2000/500)))</f>
        <v>11.8784</v>
      </c>
      <c r="V21" s="34">
        <f>SUM('Raw Values'!$C21 * ('Raw Values'!$D21 ^ (2500/500)))</f>
        <v>9.50272</v>
      </c>
      <c r="W21" s="34">
        <f>SUM('Raw Values'!$C21 * ('Raw Values'!$D21 ^ (3000/500)))</f>
        <v>7.602176</v>
      </c>
      <c r="X21" s="130"/>
      <c r="Y21" s="160">
        <f>SUM(500*(log(100/(B21*4)))/log('Raw Values'!$D21))</f>
        <v>332.5661984</v>
      </c>
      <c r="Z21" s="34">
        <f>SUM(E21 * 1/'Raw Values'!$E21)</f>
        <v>369.7896333</v>
      </c>
      <c r="AA21" s="34">
        <f>SUM(G21 * 1/'Raw Values'!$E21)</f>
        <v>338.2133349</v>
      </c>
      <c r="AB21" s="34">
        <f>SUM(J21 * 1/'Raw Values'!$E21)</f>
        <v>295.8317066</v>
      </c>
      <c r="AC21" s="34">
        <f>SUM(P21 * 1/'Raw Values'!$E21)</f>
        <v>226.3355137</v>
      </c>
    </row>
    <row r="22" ht="15.75" customHeight="1">
      <c r="A22" s="28" t="s">
        <v>152</v>
      </c>
      <c r="B22" s="29">
        <f>'Raw Values'!C22</f>
        <v>29</v>
      </c>
      <c r="C22" s="34">
        <f>'Raw Values'!D22</f>
        <v>0.85</v>
      </c>
      <c r="D22" s="130"/>
      <c r="E22" s="34">
        <f>SUM('Raw Values'!$C22 * ('Raw Values'!$D22 ^ (100/500)))</f>
        <v>28.07254477</v>
      </c>
      <c r="F22" s="34">
        <f>SUM('Raw Values'!$C22 * ('Raw Values'!$D22 ^ (200/500)))</f>
        <v>27.17475068</v>
      </c>
      <c r="G22" s="34">
        <f>SUM('Raw Values'!$C22 * ('Raw Values'!$D22 ^ (300/500)))</f>
        <v>26.30566913</v>
      </c>
      <c r="H22" s="34">
        <f>SUM('Raw Values'!$C22 * ('Raw Values'!$D22 ^ (400/500)))</f>
        <v>25.46438187</v>
      </c>
      <c r="I22" s="34">
        <f>SUM('Raw Values'!$C22 * ('Raw Values'!$D22 ^ (500/500)))</f>
        <v>24.65</v>
      </c>
      <c r="J22" s="34">
        <f>SUM('Raw Values'!$C22 * ('Raw Values'!$D22 ^ (600/500)))</f>
        <v>23.86166305</v>
      </c>
      <c r="K22" s="34">
        <f>SUM('Raw Values'!$C22 * ('Raw Values'!$D22 ^ (700/500)))</f>
        <v>23.09853807</v>
      </c>
      <c r="L22" s="34">
        <f>SUM('Raw Values'!$C22 * ('Raw Values'!$D22 ^ (800/500)))</f>
        <v>22.35981876</v>
      </c>
      <c r="M22" s="34">
        <f>SUM('Raw Values'!$C22 * ('Raw Values'!$D22 ^ (900/500)))</f>
        <v>21.64472459</v>
      </c>
      <c r="N22" s="34">
        <f>SUM('Raw Values'!$C22 * ('Raw Values'!$D22 ^ (1000/500)))</f>
        <v>20.9525</v>
      </c>
      <c r="O22" s="34">
        <f>SUM('Raw Values'!$C22 * ('Raw Values'!$D22 ^ (1100/500)))</f>
        <v>20.28241359</v>
      </c>
      <c r="P22" s="34">
        <f>SUM('Raw Values'!$C22 * ('Raw Values'!$D22 ^ (1200/500)))</f>
        <v>19.63375736</v>
      </c>
      <c r="Q22" s="34">
        <f>SUM('Raw Values'!$C22 * ('Raw Values'!$D22 ^ (1300/500)))</f>
        <v>19.00584595</v>
      </c>
      <c r="R22" s="34">
        <f>SUM('Raw Values'!$C22 * ('Raw Values'!$D22 ^ (1400/500)))</f>
        <v>18.3980159</v>
      </c>
      <c r="S22" s="34">
        <f>SUM('Raw Values'!$C22 * ('Raw Values'!$D22 ^ (1500/500)))</f>
        <v>17.809625</v>
      </c>
      <c r="T22" s="130"/>
      <c r="U22" s="34">
        <f>SUM('Raw Values'!$C22 * ('Raw Values'!$D22 ^ (2000/500)))</f>
        <v>15.13818125</v>
      </c>
      <c r="V22" s="34">
        <f>SUM('Raw Values'!$C22 * ('Raw Values'!$D22 ^ (2500/500)))</f>
        <v>12.86745406</v>
      </c>
      <c r="W22" s="34">
        <f>SUM('Raw Values'!$C22 * ('Raw Values'!$D22 ^ (3000/500)))</f>
        <v>10.93733595</v>
      </c>
      <c r="X22" s="130"/>
      <c r="Y22" s="160">
        <f>SUM(500*(log(100/(B22*4)))/log('Raw Values'!$D22))</f>
        <v>456.6237471</v>
      </c>
      <c r="Z22" s="34">
        <f>SUM(E22 * 1/'Raw Values'!$E22)</f>
        <v>350.9068096</v>
      </c>
      <c r="AA22" s="34">
        <f>SUM(G22 * 1/'Raw Values'!$E22)</f>
        <v>328.8208641</v>
      </c>
      <c r="AB22" s="34">
        <f>SUM(J22 * 1/'Raw Values'!$E22)</f>
        <v>298.2707881</v>
      </c>
      <c r="AC22" s="34">
        <f>SUM(P22 * 1/'Raw Values'!$E22)</f>
        <v>245.421967</v>
      </c>
    </row>
    <row r="23" ht="15.75" customHeight="1">
      <c r="A23" s="28" t="s">
        <v>154</v>
      </c>
      <c r="B23" s="29">
        <f>'Raw Values'!C23</f>
        <v>27</v>
      </c>
      <c r="C23" s="34">
        <f>'Raw Values'!D23</f>
        <v>0.85</v>
      </c>
      <c r="D23" s="130"/>
      <c r="E23" s="34">
        <f>SUM('Raw Values'!$C23 * ('Raw Values'!$D23 ^ (100/500)))</f>
        <v>26.1365072</v>
      </c>
      <c r="F23" s="34">
        <f>SUM('Raw Values'!$C23 * ('Raw Values'!$D23 ^ (200/500)))</f>
        <v>25.30062994</v>
      </c>
      <c r="G23" s="34">
        <f>SUM('Raw Values'!$C23 * ('Raw Values'!$D23 ^ (300/500)))</f>
        <v>24.49148505</v>
      </c>
      <c r="H23" s="34">
        <f>SUM('Raw Values'!$C23 * ('Raw Values'!$D23 ^ (400/500)))</f>
        <v>23.7082176</v>
      </c>
      <c r="I23" s="34">
        <f>SUM('Raw Values'!$C23 * ('Raw Values'!$D23 ^ (500/500)))</f>
        <v>22.95</v>
      </c>
      <c r="J23" s="34">
        <f>SUM('Raw Values'!$C23 * ('Raw Values'!$D23 ^ (600/500)))</f>
        <v>22.21603112</v>
      </c>
      <c r="K23" s="34">
        <f>SUM('Raw Values'!$C23 * ('Raw Values'!$D23 ^ (700/500)))</f>
        <v>21.50553545</v>
      </c>
      <c r="L23" s="34">
        <f>SUM('Raw Values'!$C23 * ('Raw Values'!$D23 ^ (800/500)))</f>
        <v>20.8177623</v>
      </c>
      <c r="M23" s="34">
        <f>SUM('Raw Values'!$C23 * ('Raw Values'!$D23 ^ (900/500)))</f>
        <v>20.15198496</v>
      </c>
      <c r="N23" s="34">
        <f>SUM('Raw Values'!$C23 * ('Raw Values'!$D23 ^ (1000/500)))</f>
        <v>19.5075</v>
      </c>
      <c r="O23" s="34">
        <f>SUM('Raw Values'!$C23 * ('Raw Values'!$D23 ^ (1100/500)))</f>
        <v>18.88362645</v>
      </c>
      <c r="P23" s="34">
        <f>SUM('Raw Values'!$C23 * ('Raw Values'!$D23 ^ (1200/500)))</f>
        <v>18.27970513</v>
      </c>
      <c r="Q23" s="34">
        <f>SUM('Raw Values'!$C23 * ('Raw Values'!$D23 ^ (1300/500)))</f>
        <v>17.69509795</v>
      </c>
      <c r="R23" s="34">
        <f>SUM('Raw Values'!$C23 * ('Raw Values'!$D23 ^ (1400/500)))</f>
        <v>17.12918722</v>
      </c>
      <c r="S23" s="34">
        <f>SUM('Raw Values'!$C23 * ('Raw Values'!$D23 ^ (1500/500)))</f>
        <v>16.581375</v>
      </c>
      <c r="T23" s="130"/>
      <c r="U23" s="34">
        <f>SUM('Raw Values'!$C23 * ('Raw Values'!$D23 ^ (2000/500)))</f>
        <v>14.09416875</v>
      </c>
      <c r="V23" s="34">
        <f>SUM('Raw Values'!$C23 * ('Raw Values'!$D23 ^ (2500/500)))</f>
        <v>11.98004344</v>
      </c>
      <c r="W23" s="34">
        <f>SUM('Raw Values'!$C23 * ('Raw Values'!$D23 ^ (3000/500)))</f>
        <v>10.18303692</v>
      </c>
      <c r="X23" s="130"/>
      <c r="Y23" s="160">
        <f>SUM(500*(log(100/(B23*4)))/log('Raw Values'!$D23))</f>
        <v>236.7756217</v>
      </c>
      <c r="Z23" s="34">
        <f>SUM(E23 * 1/'Raw Values'!$E23)</f>
        <v>326.7063399</v>
      </c>
      <c r="AA23" s="34">
        <f>SUM(G23 * 1/'Raw Values'!$E23)</f>
        <v>306.1435632</v>
      </c>
      <c r="AB23" s="34">
        <f>SUM(J23 * 1/'Raw Values'!$E23)</f>
        <v>277.7003889</v>
      </c>
      <c r="AC23" s="34">
        <f>SUM(P23 * 1/'Raw Values'!$E23)</f>
        <v>228.4963141</v>
      </c>
    </row>
    <row r="24" ht="15.75" customHeight="1">
      <c r="A24" s="61" t="s">
        <v>156</v>
      </c>
      <c r="B24" s="29">
        <f>'Raw Values'!C24</f>
        <v>26</v>
      </c>
      <c r="C24" s="34">
        <f>'Raw Values'!D24</f>
        <v>0.87</v>
      </c>
      <c r="D24" s="130"/>
      <c r="E24" s="34">
        <f>SUM('Raw Values'!$C24 * ('Raw Values'!$D24 ^ (100/500)))</f>
        <v>25.28582911</v>
      </c>
      <c r="F24" s="34">
        <f>SUM('Raw Values'!$C24 * ('Raw Values'!$D24 ^ (200/500)))</f>
        <v>24.59127514</v>
      </c>
      <c r="G24" s="34">
        <f>SUM('Raw Values'!$C24 * ('Raw Values'!$D24 ^ (300/500)))</f>
        <v>23.91579926</v>
      </c>
      <c r="H24" s="34">
        <f>SUM('Raw Values'!$C24 * ('Raw Values'!$D24 ^ (400/500)))</f>
        <v>23.25887743</v>
      </c>
      <c r="I24" s="34">
        <f>SUM('Raw Values'!$C24 * ('Raw Values'!$D24 ^ (500/500)))</f>
        <v>22.62</v>
      </c>
      <c r="J24" s="34">
        <f>SUM('Raw Values'!$C24 * ('Raw Values'!$D24 ^ (600/500)))</f>
        <v>21.99867133</v>
      </c>
      <c r="K24" s="34">
        <f>SUM('Raw Values'!$C24 * ('Raw Values'!$D24 ^ (700/500)))</f>
        <v>21.39440938</v>
      </c>
      <c r="L24" s="34">
        <f>SUM('Raw Values'!$C24 * ('Raw Values'!$D24 ^ (800/500)))</f>
        <v>20.80674536</v>
      </c>
      <c r="M24" s="34">
        <f>SUM('Raw Values'!$C24 * ('Raw Values'!$D24 ^ (900/500)))</f>
        <v>20.23522337</v>
      </c>
      <c r="N24" s="34">
        <f>SUM('Raw Values'!$C24 * ('Raw Values'!$D24 ^ (1000/500)))</f>
        <v>19.6794</v>
      </c>
      <c r="O24" s="34">
        <f>SUM('Raw Values'!$C24 * ('Raw Values'!$D24 ^ (1100/500)))</f>
        <v>19.13884405</v>
      </c>
      <c r="P24" s="34">
        <f>SUM('Raw Values'!$C24 * ('Raw Values'!$D24 ^ (1200/500)))</f>
        <v>18.61313616</v>
      </c>
      <c r="Q24" s="34">
        <f>SUM('Raw Values'!$C24 * ('Raw Values'!$D24 ^ (1300/500)))</f>
        <v>18.10186846</v>
      </c>
      <c r="R24" s="34">
        <f>SUM('Raw Values'!$C24 * ('Raw Values'!$D24 ^ (1400/500)))</f>
        <v>17.60464433</v>
      </c>
      <c r="S24" s="34">
        <f>SUM('Raw Values'!$C24 * ('Raw Values'!$D24 ^ (1500/500)))</f>
        <v>17.121078</v>
      </c>
      <c r="T24" s="130"/>
      <c r="U24" s="34">
        <f>SUM('Raw Values'!$C24 * ('Raw Values'!$D24 ^ (2000/500)))</f>
        <v>14.89533786</v>
      </c>
      <c r="V24" s="34">
        <f>SUM('Raw Values'!$C24 * ('Raw Values'!$D24 ^ (2500/500)))</f>
        <v>12.95894394</v>
      </c>
      <c r="W24" s="34">
        <f>SUM('Raw Values'!$C24 * ('Raw Values'!$D24 ^ (3000/500)))</f>
        <v>11.27428123</v>
      </c>
      <c r="X24" s="130"/>
      <c r="Y24" s="160">
        <f>SUM(500*(log(100/(B24*4)))/log('Raw Values'!$D24))</f>
        <v>140.8162104</v>
      </c>
      <c r="Z24" s="34">
        <f>SUM(E24 * 1/'Raw Values'!$E24)</f>
        <v>361.2261301</v>
      </c>
      <c r="AA24" s="34">
        <f>SUM(G24 * 1/'Raw Values'!$E24)</f>
        <v>341.6542752</v>
      </c>
      <c r="AB24" s="34">
        <f>SUM(J24 * 1/'Raw Values'!$E24)</f>
        <v>314.2667332</v>
      </c>
      <c r="AC24" s="34">
        <f>SUM(P24 * 1/'Raw Values'!$E24)</f>
        <v>265.9019451</v>
      </c>
    </row>
    <row r="25" ht="15.75" customHeight="1">
      <c r="A25" s="28" t="s">
        <v>158</v>
      </c>
      <c r="B25" s="29">
        <f>'Raw Values'!C25</f>
        <v>26</v>
      </c>
      <c r="C25" s="34">
        <f>'Raw Values'!D25</f>
        <v>0.86</v>
      </c>
      <c r="D25" s="130"/>
      <c r="E25" s="34">
        <f>SUM('Raw Values'!$C25 * ('Raw Values'!$D25 ^ (100/500)))</f>
        <v>25.22743165</v>
      </c>
      <c r="F25" s="34">
        <f>SUM('Raw Values'!$C25 * ('Raw Values'!$D25 ^ (200/500)))</f>
        <v>24.47781953</v>
      </c>
      <c r="G25" s="34">
        <f>SUM('Raw Values'!$C25 * ('Raw Values'!$D25 ^ (300/500)))</f>
        <v>23.75048151</v>
      </c>
      <c r="H25" s="34">
        <f>SUM('Raw Values'!$C25 * ('Raw Values'!$D25 ^ (400/500)))</f>
        <v>23.04475573</v>
      </c>
      <c r="I25" s="34">
        <f>SUM('Raw Values'!$C25 * ('Raw Values'!$D25 ^ (500/500)))</f>
        <v>22.36</v>
      </c>
      <c r="J25" s="34">
        <f>SUM('Raw Values'!$C25 * ('Raw Values'!$D25 ^ (600/500)))</f>
        <v>21.69559122</v>
      </c>
      <c r="K25" s="34">
        <f>SUM('Raw Values'!$C25 * ('Raw Values'!$D25 ^ (700/500)))</f>
        <v>21.05092479</v>
      </c>
      <c r="L25" s="34">
        <f>SUM('Raw Values'!$C25 * ('Raw Values'!$D25 ^ (800/500)))</f>
        <v>20.42541409</v>
      </c>
      <c r="M25" s="34">
        <f>SUM('Raw Values'!$C25 * ('Raw Values'!$D25 ^ (900/500)))</f>
        <v>19.81848992</v>
      </c>
      <c r="N25" s="34">
        <f>SUM('Raw Values'!$C25 * ('Raw Values'!$D25 ^ (1000/500)))</f>
        <v>19.2296</v>
      </c>
      <c r="O25" s="34">
        <f>SUM('Raw Values'!$C25 * ('Raw Values'!$D25 ^ (1100/500)))</f>
        <v>18.65820845</v>
      </c>
      <c r="P25" s="34">
        <f>SUM('Raw Values'!$C25 * ('Raw Values'!$D25 ^ (1200/500)))</f>
        <v>18.10379532</v>
      </c>
      <c r="Q25" s="34">
        <f>SUM('Raw Values'!$C25 * ('Raw Values'!$D25 ^ (1300/500)))</f>
        <v>17.56585612</v>
      </c>
      <c r="R25" s="34">
        <f>SUM('Raw Values'!$C25 * ('Raw Values'!$D25 ^ (1400/500)))</f>
        <v>17.04390133</v>
      </c>
      <c r="S25" s="34">
        <f>SUM('Raw Values'!$C25 * ('Raw Values'!$D25 ^ (1500/500)))</f>
        <v>16.537456</v>
      </c>
      <c r="T25" s="130"/>
      <c r="U25" s="34">
        <f>SUM('Raw Values'!$C25 * ('Raw Values'!$D25 ^ (2000/500)))</f>
        <v>14.22221216</v>
      </c>
      <c r="V25" s="34">
        <f>SUM('Raw Values'!$C25 * ('Raw Values'!$D25 ^ (2500/500)))</f>
        <v>12.23110246</v>
      </c>
      <c r="W25" s="34">
        <f>SUM('Raw Values'!$C25 * ('Raw Values'!$D25 ^ (3000/500)))</f>
        <v>10.51874811</v>
      </c>
      <c r="X25" s="130"/>
      <c r="Y25" s="160">
        <f>SUM(500*(log(100/(B25*4)))/log('Raw Values'!$D25))</f>
        <v>130.0224164</v>
      </c>
      <c r="Z25" s="34">
        <f>SUM(E25 * 1/'Raw Values'!$E25)</f>
        <v>360.3918807</v>
      </c>
      <c r="AA25" s="34">
        <f>SUM(G25 * 1/'Raw Values'!$E25)</f>
        <v>339.2925929</v>
      </c>
      <c r="AB25" s="34">
        <f>SUM(J25 * 1/'Raw Values'!$E25)</f>
        <v>309.9370174</v>
      </c>
      <c r="AC25" s="34">
        <f>SUM(P25 * 1/'Raw Values'!$E25)</f>
        <v>258.6256475</v>
      </c>
    </row>
    <row r="26" ht="15.75" customHeight="1">
      <c r="A26" s="28" t="s">
        <v>160</v>
      </c>
      <c r="B26" s="29">
        <f>'Raw Values'!C26</f>
        <v>35</v>
      </c>
      <c r="C26" s="34">
        <f>'Raw Values'!D26</f>
        <v>0.75</v>
      </c>
      <c r="D26" s="130"/>
      <c r="E26" s="34">
        <f>SUM('Raw Values'!$C26 * ('Raw Values'!$D26 ^ (100/500)))</f>
        <v>33.0430629</v>
      </c>
      <c r="F26" s="34">
        <f>SUM('Raw Values'!$C26 * ('Raw Values'!$D26 ^ (200/500)))</f>
        <v>31.19554301</v>
      </c>
      <c r="G26" s="34">
        <f>SUM('Raw Values'!$C26 * ('Raw Values'!$D26 ^ (300/500)))</f>
        <v>29.45132257</v>
      </c>
      <c r="H26" s="34">
        <f>SUM('Raw Values'!$C26 * ('Raw Values'!$D26 ^ (400/500)))</f>
        <v>27.80462583</v>
      </c>
      <c r="I26" s="34">
        <f>SUM('Raw Values'!$C26 * ('Raw Values'!$D26 ^ (500/500)))</f>
        <v>26.25</v>
      </c>
      <c r="J26" s="34">
        <f>SUM('Raw Values'!$C26 * ('Raw Values'!$D26 ^ (600/500)))</f>
        <v>24.78229717</v>
      </c>
      <c r="K26" s="34">
        <f>SUM('Raw Values'!$C26 * ('Raw Values'!$D26 ^ (700/500)))</f>
        <v>23.39665726</v>
      </c>
      <c r="L26" s="34">
        <f>SUM('Raw Values'!$C26 * ('Raw Values'!$D26 ^ (800/500)))</f>
        <v>22.08849193</v>
      </c>
      <c r="M26" s="34">
        <f>SUM('Raw Values'!$C26 * ('Raw Values'!$D26 ^ (900/500)))</f>
        <v>20.85346937</v>
      </c>
      <c r="N26" s="34">
        <f>SUM('Raw Values'!$C26 * ('Raw Values'!$D26 ^ (1000/500)))</f>
        <v>19.6875</v>
      </c>
      <c r="O26" s="34">
        <f>SUM('Raw Values'!$C26 * ('Raw Values'!$D26 ^ (1100/500)))</f>
        <v>18.58672288</v>
      </c>
      <c r="P26" s="34">
        <f>SUM('Raw Values'!$C26 * ('Raw Values'!$D26 ^ (1200/500)))</f>
        <v>17.54749295</v>
      </c>
      <c r="Q26" s="34">
        <f>SUM('Raw Values'!$C26 * ('Raw Values'!$D26 ^ (1300/500)))</f>
        <v>16.56636894</v>
      </c>
      <c r="R26" s="34">
        <f>SUM('Raw Values'!$C26 * ('Raw Values'!$D26 ^ (1400/500)))</f>
        <v>15.64010203</v>
      </c>
      <c r="S26" s="34">
        <f>SUM('Raw Values'!$C26 * ('Raw Values'!$D26 ^ (1500/500)))</f>
        <v>14.765625</v>
      </c>
      <c r="T26" s="130"/>
      <c r="U26" s="34">
        <f>SUM('Raw Values'!$C26 * ('Raw Values'!$D26 ^ (2000/500)))</f>
        <v>11.07421875</v>
      </c>
      <c r="V26" s="34">
        <f>SUM('Raw Values'!$C26 * ('Raw Values'!$D26 ^ (2500/500)))</f>
        <v>8.305664063</v>
      </c>
      <c r="W26" s="34">
        <f>SUM('Raw Values'!$C26 * ('Raw Values'!$D26 ^ (3000/500)))</f>
        <v>6.229248047</v>
      </c>
      <c r="X26" s="130"/>
      <c r="Y26" s="160">
        <f>SUM(500*(log(100/(B26*4)))/log('Raw Values'!$D26))</f>
        <v>584.7987568</v>
      </c>
      <c r="Z26" s="34">
        <f>SUM(E26 * 1/'Raw Values'!$E26)</f>
        <v>367.1451433</v>
      </c>
      <c r="AA26" s="34">
        <f>SUM(G26 * 1/'Raw Values'!$E26)</f>
        <v>327.2369174</v>
      </c>
      <c r="AB26" s="34">
        <f>SUM(J26 * 1/'Raw Values'!$E26)</f>
        <v>275.3588575</v>
      </c>
      <c r="AC26" s="34">
        <f>SUM(P26 * 1/'Raw Values'!$E26)</f>
        <v>194.9721438</v>
      </c>
    </row>
    <row r="27" ht="15.75" customHeight="1">
      <c r="A27" s="75"/>
      <c r="B27" s="75"/>
      <c r="C27" s="79"/>
      <c r="D27" s="133"/>
      <c r="E27" s="75"/>
      <c r="F27" s="75"/>
      <c r="G27" s="75"/>
      <c r="H27" s="75"/>
      <c r="I27" s="75"/>
      <c r="J27" s="75"/>
      <c r="K27" s="75"/>
      <c r="L27" s="75"/>
      <c r="M27" s="75"/>
      <c r="N27" s="75"/>
      <c r="O27" s="75"/>
      <c r="P27" s="75"/>
      <c r="Q27" s="75"/>
      <c r="R27" s="75"/>
      <c r="S27" s="75"/>
      <c r="T27" s="133"/>
      <c r="U27" s="75"/>
      <c r="V27" s="75"/>
      <c r="W27" s="75"/>
      <c r="X27" s="133"/>
      <c r="Y27" s="75"/>
      <c r="Z27" s="79"/>
      <c r="AA27" s="79"/>
      <c r="AB27" s="79"/>
      <c r="AC27" s="79"/>
    </row>
    <row r="28" ht="15.75" customHeight="1">
      <c r="A28" s="5" t="s">
        <v>161</v>
      </c>
      <c r="B28" s="7" t="s">
        <v>15</v>
      </c>
      <c r="C28" s="9" t="s">
        <v>18</v>
      </c>
      <c r="D28" s="158"/>
      <c r="E28" s="7" t="s">
        <v>223</v>
      </c>
      <c r="F28" s="7" t="s">
        <v>224</v>
      </c>
      <c r="G28" s="7" t="s">
        <v>225</v>
      </c>
      <c r="H28" s="7" t="s">
        <v>226</v>
      </c>
      <c r="I28" s="7" t="s">
        <v>227</v>
      </c>
      <c r="J28" s="7" t="s">
        <v>228</v>
      </c>
      <c r="K28" s="7" t="s">
        <v>229</v>
      </c>
      <c r="L28" s="7" t="s">
        <v>230</v>
      </c>
      <c r="M28" s="7" t="s">
        <v>231</v>
      </c>
      <c r="N28" s="7" t="s">
        <v>232</v>
      </c>
      <c r="O28" s="7" t="s">
        <v>233</v>
      </c>
      <c r="P28" s="7" t="s">
        <v>234</v>
      </c>
      <c r="Q28" s="7" t="s">
        <v>235</v>
      </c>
      <c r="R28" s="7" t="s">
        <v>236</v>
      </c>
      <c r="S28" s="7" t="s">
        <v>237</v>
      </c>
      <c r="T28" s="125"/>
      <c r="U28" s="159" t="s">
        <v>238</v>
      </c>
      <c r="V28" s="159" t="s">
        <v>239</v>
      </c>
      <c r="W28" s="159" t="s">
        <v>240</v>
      </c>
      <c r="X28" s="125"/>
      <c r="Y28" s="7" t="s">
        <v>241</v>
      </c>
      <c r="Z28" s="9" t="s">
        <v>242</v>
      </c>
      <c r="AA28" s="9" t="s">
        <v>243</v>
      </c>
      <c r="AB28" s="9" t="s">
        <v>244</v>
      </c>
      <c r="AC28" s="9" t="s">
        <v>245</v>
      </c>
    </row>
    <row r="29" ht="15.75" customHeight="1">
      <c r="A29" s="66" t="s">
        <v>164</v>
      </c>
      <c r="B29" s="29">
        <f>'Raw Values'!C29</f>
        <v>36</v>
      </c>
      <c r="C29" s="34">
        <f>'Raw Values'!D29</f>
        <v>0.98</v>
      </c>
      <c r="D29" s="130"/>
      <c r="E29" s="34">
        <f>SUM('Raw Values'!$C29 * ('Raw Values'!$D29 ^ (100/500)))</f>
        <v>35.85483398</v>
      </c>
      <c r="F29" s="34">
        <f>SUM('Raw Values'!$C29 * ('Raw Values'!$D29 ^ (200/500)))</f>
        <v>35.71025332</v>
      </c>
      <c r="G29" s="34">
        <f>SUM('Raw Values'!$C29 * ('Raw Values'!$D29 ^ (300/500)))</f>
        <v>35.56625568</v>
      </c>
      <c r="H29" s="34">
        <f>SUM('Raw Values'!$C29 * ('Raw Values'!$D29 ^ (400/500)))</f>
        <v>35.42283868</v>
      </c>
      <c r="I29" s="34">
        <f>SUM('Raw Values'!$C29 * ('Raw Values'!$D29 ^ (500/500)))</f>
        <v>35.28</v>
      </c>
      <c r="J29" s="34">
        <f>SUM('Raw Values'!$C29 * ('Raw Values'!$D29 ^ (600/500)))</f>
        <v>35.1377373</v>
      </c>
      <c r="K29" s="34">
        <f>SUM('Raw Values'!$C29 * ('Raw Values'!$D29 ^ (700/500)))</f>
        <v>34.99604826</v>
      </c>
      <c r="L29" s="34">
        <f>SUM('Raw Values'!$C29 * ('Raw Values'!$D29 ^ (800/500)))</f>
        <v>34.85493056</v>
      </c>
      <c r="M29" s="34">
        <f>SUM('Raw Values'!$C29 * ('Raw Values'!$D29 ^ (900/500)))</f>
        <v>34.71438191</v>
      </c>
      <c r="N29" s="34">
        <f>SUM('Raw Values'!$C29 * ('Raw Values'!$D29 ^ (1000/500)))</f>
        <v>34.5744</v>
      </c>
      <c r="O29" s="34">
        <f>SUM('Raw Values'!$C29 * ('Raw Values'!$D29 ^ (1100/500)))</f>
        <v>34.43498255</v>
      </c>
      <c r="P29" s="34">
        <f>SUM('Raw Values'!$C29 * ('Raw Values'!$D29 ^ (1200/500)))</f>
        <v>34.29612729</v>
      </c>
      <c r="Q29" s="34">
        <f>SUM('Raw Values'!$C29 * ('Raw Values'!$D29 ^ (1300/500)))</f>
        <v>34.15783195</v>
      </c>
      <c r="R29" s="34">
        <f>SUM('Raw Values'!$C29 * ('Raw Values'!$D29 ^ (1400/500)))</f>
        <v>34.02009427</v>
      </c>
      <c r="S29" s="34">
        <f>SUM('Raw Values'!$C29 * ('Raw Values'!$D29 ^ (1500/500)))</f>
        <v>33.882912</v>
      </c>
      <c r="T29" s="130"/>
      <c r="U29" s="34">
        <f>SUM('Raw Values'!$C29 * ('Raw Values'!$D29 ^ (2000/500)))</f>
        <v>33.20525376</v>
      </c>
      <c r="V29" s="34">
        <f>SUM('Raw Values'!$C29 * ('Raw Values'!$D29 ^ (2500/500)))</f>
        <v>32.54114868</v>
      </c>
      <c r="W29" s="34">
        <f>SUM('Raw Values'!$C29 * ('Raw Values'!$D29 ^ (3000/500)))</f>
        <v>31.89032571</v>
      </c>
      <c r="X29" s="130"/>
      <c r="Y29" s="160">
        <f>SUM(500*(log(100/(B29*4)))/log('Raw Values'!$D29))</f>
        <v>9024.610114</v>
      </c>
      <c r="Z29" s="34">
        <f>SUM(E29 * 1/'Raw Values'!$E29)</f>
        <v>358.5483398</v>
      </c>
      <c r="AA29" s="34">
        <f>SUM(G29 * 1/'Raw Values'!$E29)</f>
        <v>355.6625568</v>
      </c>
      <c r="AB29" s="34">
        <f>SUM(J29 * 1/'Raw Values'!$E29)</f>
        <v>351.377373</v>
      </c>
      <c r="AC29" s="34">
        <f>SUM(P29 * 1/'Raw Values'!$E29)</f>
        <v>342.9612729</v>
      </c>
    </row>
    <row r="30" ht="15.75" customHeight="1">
      <c r="A30" s="61" t="s">
        <v>166</v>
      </c>
      <c r="B30" s="29">
        <f>'Raw Values'!C30</f>
        <v>28</v>
      </c>
      <c r="C30" s="34">
        <f>'Raw Values'!D30</f>
        <v>0.98</v>
      </c>
      <c r="D30" s="130"/>
      <c r="E30" s="34">
        <f>SUM('Raw Values'!$C30 * ('Raw Values'!$D30 ^ (100/500)))</f>
        <v>27.8870931</v>
      </c>
      <c r="F30" s="34">
        <f>SUM('Raw Values'!$C30 * ('Raw Values'!$D30 ^ (200/500)))</f>
        <v>27.77464147</v>
      </c>
      <c r="G30" s="34">
        <f>SUM('Raw Values'!$C30 * ('Raw Values'!$D30 ^ (300/500)))</f>
        <v>27.6626433</v>
      </c>
      <c r="H30" s="34">
        <f>SUM('Raw Values'!$C30 * ('Raw Values'!$D30 ^ (400/500)))</f>
        <v>27.55109675</v>
      </c>
      <c r="I30" s="34">
        <f>SUM('Raw Values'!$C30 * ('Raw Values'!$D30 ^ (500/500)))</f>
        <v>27.44</v>
      </c>
      <c r="J30" s="34">
        <f>SUM('Raw Values'!$C30 * ('Raw Values'!$D30 ^ (600/500)))</f>
        <v>27.32935123</v>
      </c>
      <c r="K30" s="34">
        <f>SUM('Raw Values'!$C30 * ('Raw Values'!$D30 ^ (700/500)))</f>
        <v>27.21914865</v>
      </c>
      <c r="L30" s="34">
        <f>SUM('Raw Values'!$C30 * ('Raw Values'!$D30 ^ (800/500)))</f>
        <v>27.10939044</v>
      </c>
      <c r="M30" s="34">
        <f>SUM('Raw Values'!$C30 * ('Raw Values'!$D30 ^ (900/500)))</f>
        <v>27.00007482</v>
      </c>
      <c r="N30" s="34">
        <f>SUM('Raw Values'!$C30 * ('Raw Values'!$D30 ^ (1000/500)))</f>
        <v>26.8912</v>
      </c>
      <c r="O30" s="34">
        <f>SUM('Raw Values'!$C30 * ('Raw Values'!$D30 ^ (1100/500)))</f>
        <v>26.78276421</v>
      </c>
      <c r="P30" s="34">
        <f>SUM('Raw Values'!$C30 * ('Raw Values'!$D30 ^ (1200/500)))</f>
        <v>26.67476567</v>
      </c>
      <c r="Q30" s="34">
        <f>SUM('Raw Values'!$C30 * ('Raw Values'!$D30 ^ (1300/500)))</f>
        <v>26.56720263</v>
      </c>
      <c r="R30" s="34">
        <f>SUM('Raw Values'!$C30 * ('Raw Values'!$D30 ^ (1400/500)))</f>
        <v>26.46007332</v>
      </c>
      <c r="S30" s="34">
        <f>SUM('Raw Values'!$C30 * ('Raw Values'!$D30 ^ (1500/500)))</f>
        <v>26.353376</v>
      </c>
      <c r="T30" s="130"/>
      <c r="U30" s="34">
        <f>SUM('Raw Values'!$C30 * ('Raw Values'!$D30 ^ (2000/500)))</f>
        <v>25.82630848</v>
      </c>
      <c r="V30" s="34">
        <f>SUM('Raw Values'!$C30 * ('Raw Values'!$D30 ^ (2500/500)))</f>
        <v>25.30978231</v>
      </c>
      <c r="W30" s="34">
        <f>SUM('Raw Values'!$C30 * ('Raw Values'!$D30 ^ (3000/500)))</f>
        <v>24.80358666</v>
      </c>
      <c r="X30" s="130"/>
      <c r="Y30" s="160">
        <f>SUM(500*(log(100/(B30*4)))/log('Raw Values'!$D30))</f>
        <v>2804.789564</v>
      </c>
      <c r="Z30" s="34">
        <f>SUM(E30 * 1/'Raw Values'!$E30)</f>
        <v>278.870931</v>
      </c>
      <c r="AA30" s="34">
        <f>SUM(G30 * 1/'Raw Values'!$E30)</f>
        <v>276.626433</v>
      </c>
      <c r="AB30" s="34">
        <f>SUM(J30 * 1/'Raw Values'!$E30)</f>
        <v>273.2935123</v>
      </c>
      <c r="AC30" s="34">
        <f>SUM(P30 * 1/'Raw Values'!$E30)</f>
        <v>266.7476567</v>
      </c>
    </row>
    <row r="31" ht="15.75" customHeight="1">
      <c r="A31" s="61" t="s">
        <v>168</v>
      </c>
      <c r="B31" s="29">
        <f>'Raw Values'!C31</f>
        <v>30</v>
      </c>
      <c r="C31" s="34">
        <f>'Raw Values'!D31</f>
        <v>0.96</v>
      </c>
      <c r="D31" s="130"/>
      <c r="E31" s="34">
        <f>SUM('Raw Values'!$C31 * ('Raw Values'!$D31 ^ (100/500)))</f>
        <v>29.75606518</v>
      </c>
      <c r="F31" s="34">
        <f>SUM('Raw Values'!$C31 * ('Raw Values'!$D31 ^ (200/500)))</f>
        <v>29.51411383</v>
      </c>
      <c r="G31" s="34">
        <f>SUM('Raw Values'!$C31 * ('Raw Values'!$D31 ^ (300/500)))</f>
        <v>29.27412983</v>
      </c>
      <c r="H31" s="34">
        <f>SUM('Raw Values'!$C31 * ('Raw Values'!$D31 ^ (400/500)))</f>
        <v>29.03609717</v>
      </c>
      <c r="I31" s="34">
        <f>SUM('Raw Values'!$C31 * ('Raw Values'!$D31 ^ (500/500)))</f>
        <v>28.8</v>
      </c>
      <c r="J31" s="34">
        <f>SUM('Raw Values'!$C31 * ('Raw Values'!$D31 ^ (600/500)))</f>
        <v>28.56582257</v>
      </c>
      <c r="K31" s="34">
        <f>SUM('Raw Values'!$C31 * ('Raw Values'!$D31 ^ (700/500)))</f>
        <v>28.33354928</v>
      </c>
      <c r="L31" s="34">
        <f>SUM('Raw Values'!$C31 * ('Raw Values'!$D31 ^ (800/500)))</f>
        <v>28.10316463</v>
      </c>
      <c r="M31" s="34">
        <f>SUM('Raw Values'!$C31 * ('Raw Values'!$D31 ^ (900/500)))</f>
        <v>27.87465329</v>
      </c>
      <c r="N31" s="34">
        <f>SUM('Raw Values'!$C31 * ('Raw Values'!$D31 ^ (1000/500)))</f>
        <v>27.648</v>
      </c>
      <c r="O31" s="34">
        <f>SUM('Raw Values'!$C31 * ('Raw Values'!$D31 ^ (1100/500)))</f>
        <v>27.42318967</v>
      </c>
      <c r="P31" s="34">
        <f>SUM('Raw Values'!$C31 * ('Raw Values'!$D31 ^ (1200/500)))</f>
        <v>27.20020731</v>
      </c>
      <c r="Q31" s="34">
        <f>SUM('Raw Values'!$C31 * ('Raw Values'!$D31 ^ (1300/500)))</f>
        <v>26.97903805</v>
      </c>
      <c r="R31" s="34">
        <f>SUM('Raw Values'!$C31 * ('Raw Values'!$D31 ^ (1400/500)))</f>
        <v>26.75966715</v>
      </c>
      <c r="S31" s="34">
        <f>SUM('Raw Values'!$C31 * ('Raw Values'!$D31 ^ (1500/500)))</f>
        <v>26.54208</v>
      </c>
      <c r="T31" s="130"/>
      <c r="U31" s="34">
        <f>SUM('Raw Values'!$C31 * ('Raw Values'!$D31 ^ (2000/500)))</f>
        <v>25.4803968</v>
      </c>
      <c r="V31" s="34">
        <f>SUM('Raw Values'!$C31 * ('Raw Values'!$D31 ^ (2500/500)))</f>
        <v>24.46118093</v>
      </c>
      <c r="W31" s="34">
        <f>SUM('Raw Values'!$C31 * ('Raw Values'!$D31 ^ (3000/500)))</f>
        <v>23.48273369</v>
      </c>
      <c r="X31" s="130"/>
      <c r="Y31" s="160">
        <f>SUM(500*(log(100/(B31*4)))/log('Raw Values'!$D31))</f>
        <v>2233.128966</v>
      </c>
      <c r="Z31" s="34">
        <f>SUM(E31 * 1/'Raw Values'!$E31)</f>
        <v>330.6229464</v>
      </c>
      <c r="AA31" s="34">
        <f>SUM(G31 * 1/'Raw Values'!$E31)</f>
        <v>325.2681092</v>
      </c>
      <c r="AB31" s="34">
        <f>SUM(J31 * 1/'Raw Values'!$E31)</f>
        <v>317.3980286</v>
      </c>
      <c r="AC31" s="34">
        <f>SUM(P31 * 1/'Raw Values'!$E31)</f>
        <v>302.2245256</v>
      </c>
    </row>
    <row r="32" ht="15.75" customHeight="1">
      <c r="A32" s="66" t="s">
        <v>170</v>
      </c>
      <c r="B32" s="29">
        <f>'Raw Values'!C32</f>
        <v>30</v>
      </c>
      <c r="C32" s="34">
        <f>'Raw Values'!D32</f>
        <v>0.98</v>
      </c>
      <c r="D32" s="130"/>
      <c r="E32" s="34">
        <f>SUM('Raw Values'!$C32 * ('Raw Values'!$D32 ^ (100/500)))</f>
        <v>29.87902832</v>
      </c>
      <c r="F32" s="34">
        <f>SUM('Raw Values'!$C32 * ('Raw Values'!$D32 ^ (200/500)))</f>
        <v>29.75854444</v>
      </c>
      <c r="G32" s="34">
        <f>SUM('Raw Values'!$C32 * ('Raw Values'!$D32 ^ (300/500)))</f>
        <v>29.6385464</v>
      </c>
      <c r="H32" s="34">
        <f>SUM('Raw Values'!$C32 * ('Raw Values'!$D32 ^ (400/500)))</f>
        <v>29.51903223</v>
      </c>
      <c r="I32" s="34">
        <f>SUM('Raw Values'!$C32 * ('Raw Values'!$D32 ^ (500/500)))</f>
        <v>29.4</v>
      </c>
      <c r="J32" s="34">
        <f>SUM('Raw Values'!$C32 * ('Raw Values'!$D32 ^ (600/500)))</f>
        <v>29.28144775</v>
      </c>
      <c r="K32" s="34">
        <f>SUM('Raw Values'!$C32 * ('Raw Values'!$D32 ^ (700/500)))</f>
        <v>29.16337355</v>
      </c>
      <c r="L32" s="34">
        <f>SUM('Raw Values'!$C32 * ('Raw Values'!$D32 ^ (800/500)))</f>
        <v>29.04577547</v>
      </c>
      <c r="M32" s="34">
        <f>SUM('Raw Values'!$C32 * ('Raw Values'!$D32 ^ (900/500)))</f>
        <v>28.92865159</v>
      </c>
      <c r="N32" s="34">
        <f>SUM('Raw Values'!$C32 * ('Raw Values'!$D32 ^ (1000/500)))</f>
        <v>28.812</v>
      </c>
      <c r="O32" s="34">
        <f>SUM('Raw Values'!$C32 * ('Raw Values'!$D32 ^ (1100/500)))</f>
        <v>28.69581879</v>
      </c>
      <c r="P32" s="34">
        <f>SUM('Raw Values'!$C32 * ('Raw Values'!$D32 ^ (1200/500)))</f>
        <v>28.58010608</v>
      </c>
      <c r="Q32" s="34">
        <f>SUM('Raw Values'!$C32 * ('Raw Values'!$D32 ^ (1300/500)))</f>
        <v>28.46485996</v>
      </c>
      <c r="R32" s="34">
        <f>SUM('Raw Values'!$C32 * ('Raw Values'!$D32 ^ (1400/500)))</f>
        <v>28.35007856</v>
      </c>
      <c r="S32" s="34">
        <f>SUM('Raw Values'!$C32 * ('Raw Values'!$D32 ^ (1500/500)))</f>
        <v>28.23576</v>
      </c>
      <c r="T32" s="130"/>
      <c r="U32" s="34">
        <f>SUM('Raw Values'!$C32 * ('Raw Values'!$D32 ^ (2000/500)))</f>
        <v>27.6710448</v>
      </c>
      <c r="V32" s="34">
        <f>SUM('Raw Values'!$C32 * ('Raw Values'!$D32 ^ (2500/500)))</f>
        <v>27.1176239</v>
      </c>
      <c r="W32" s="34">
        <f>SUM('Raw Values'!$C32 * ('Raw Values'!$D32 ^ (3000/500)))</f>
        <v>26.57527143</v>
      </c>
      <c r="X32" s="130"/>
      <c r="Y32" s="160">
        <f>SUM(500*(log(100/(B32*4)))/log('Raw Values'!$D32))</f>
        <v>4512.305057</v>
      </c>
      <c r="Z32" s="34">
        <f>SUM(E32 * 1/'Raw Values'!$E32)</f>
        <v>331.9892035</v>
      </c>
      <c r="AA32" s="34">
        <f>SUM(G32 * 1/'Raw Values'!$E32)</f>
        <v>329.3171822</v>
      </c>
      <c r="AB32" s="34">
        <f>SUM(J32 * 1/'Raw Values'!$E32)</f>
        <v>325.3494194</v>
      </c>
      <c r="AC32" s="34">
        <f>SUM(P32 * 1/'Raw Values'!$E32)</f>
        <v>317.5567342</v>
      </c>
    </row>
    <row r="33" ht="15.75" customHeight="1">
      <c r="A33" s="61" t="s">
        <v>171</v>
      </c>
      <c r="B33" s="29">
        <f>'Raw Values'!C33</f>
        <v>33</v>
      </c>
      <c r="C33" s="34">
        <f>'Raw Values'!D33</f>
        <v>0.97</v>
      </c>
      <c r="D33" s="130"/>
      <c r="E33" s="34">
        <f>SUM('Raw Values'!$C33 * ('Raw Values'!$D33 ^ (100/500)))</f>
        <v>32.79958031</v>
      </c>
      <c r="F33" s="34">
        <f>SUM('Raw Values'!$C33 * ('Raw Values'!$D33 ^ (200/500)))</f>
        <v>32.60037784</v>
      </c>
      <c r="G33" s="34">
        <f>SUM('Raw Values'!$C33 * ('Raw Values'!$D33 ^ (300/500)))</f>
        <v>32.40238519</v>
      </c>
      <c r="H33" s="34">
        <f>SUM('Raw Values'!$C33 * ('Raw Values'!$D33 ^ (400/500)))</f>
        <v>32.20559501</v>
      </c>
      <c r="I33" s="34">
        <f>SUM('Raw Values'!$C33 * ('Raw Values'!$D33 ^ (500/500)))</f>
        <v>32.01</v>
      </c>
      <c r="J33" s="34">
        <f>SUM('Raw Values'!$C33 * ('Raw Values'!$D33 ^ (600/500)))</f>
        <v>31.8155929</v>
      </c>
      <c r="K33" s="34">
        <f>SUM('Raw Values'!$C33 * ('Raw Values'!$D33 ^ (700/500)))</f>
        <v>31.6223665</v>
      </c>
      <c r="L33" s="34">
        <f>SUM('Raw Values'!$C33 * ('Raw Values'!$D33 ^ (800/500)))</f>
        <v>31.43031363</v>
      </c>
      <c r="M33" s="34">
        <f>SUM('Raw Values'!$C33 * ('Raw Values'!$D33 ^ (900/500)))</f>
        <v>31.23942716</v>
      </c>
      <c r="N33" s="34">
        <f>SUM('Raw Values'!$C33 * ('Raw Values'!$D33 ^ (1000/500)))</f>
        <v>31.0497</v>
      </c>
      <c r="O33" s="34">
        <f>SUM('Raw Values'!$C33 * ('Raw Values'!$D33 ^ (1100/500)))</f>
        <v>30.86112512</v>
      </c>
      <c r="P33" s="34">
        <f>SUM('Raw Values'!$C33 * ('Raw Values'!$D33 ^ (1200/500)))</f>
        <v>30.67369551</v>
      </c>
      <c r="Q33" s="34">
        <f>SUM('Raw Values'!$C33 * ('Raw Values'!$D33 ^ (1300/500)))</f>
        <v>30.48740422</v>
      </c>
      <c r="R33" s="34">
        <f>SUM('Raw Values'!$C33 * ('Raw Values'!$D33 ^ (1400/500)))</f>
        <v>30.30224434</v>
      </c>
      <c r="S33" s="34">
        <f>SUM('Raw Values'!$C33 * ('Raw Values'!$D33 ^ (1500/500)))</f>
        <v>30.118209</v>
      </c>
      <c r="T33" s="130"/>
      <c r="U33" s="34">
        <f>SUM('Raw Values'!$C33 * ('Raw Values'!$D33 ^ (2000/500)))</f>
        <v>29.21466273</v>
      </c>
      <c r="V33" s="34">
        <f>SUM('Raw Values'!$C33 * ('Raw Values'!$D33 ^ (2500/500)))</f>
        <v>28.33822285</v>
      </c>
      <c r="W33" s="34">
        <f>SUM('Raw Values'!$C33 * ('Raw Values'!$D33 ^ (3000/500)))</f>
        <v>27.48807616</v>
      </c>
      <c r="X33" s="130"/>
      <c r="Y33" s="160">
        <f>SUM(500*(log(100/(B33*4)))/log('Raw Values'!$D33))</f>
        <v>4557.435329</v>
      </c>
      <c r="Z33" s="34">
        <f>SUM(E33 * 1/'Raw Values'!$E33)</f>
        <v>364.4397813</v>
      </c>
      <c r="AA33" s="34">
        <f>SUM(G33 * 1/'Raw Values'!$E33)</f>
        <v>360.0265021</v>
      </c>
      <c r="AB33" s="34">
        <f>SUM(J33 * 1/'Raw Values'!$E33)</f>
        <v>353.5065878</v>
      </c>
      <c r="AC33" s="34">
        <f>SUM(P33 * 1/'Raw Values'!$E33)</f>
        <v>340.818839</v>
      </c>
    </row>
    <row r="34" ht="15.75" customHeight="1">
      <c r="A34" s="61" t="s">
        <v>173</v>
      </c>
      <c r="B34" s="29">
        <f>'Raw Values'!C34</f>
        <v>33</v>
      </c>
      <c r="C34" s="34">
        <f>'Raw Values'!D34</f>
        <v>0.99</v>
      </c>
      <c r="D34" s="130"/>
      <c r="E34" s="34">
        <f>SUM('Raw Values'!$C34 * ('Raw Values'!$D34 ^ (100/500)))</f>
        <v>32.9337344</v>
      </c>
      <c r="F34" s="34">
        <f>SUM('Raw Values'!$C34 * ('Raw Values'!$D34 ^ (200/500)))</f>
        <v>32.86760187</v>
      </c>
      <c r="G34" s="34">
        <f>SUM('Raw Values'!$C34 * ('Raw Values'!$D34 ^ (300/500)))</f>
        <v>32.80160214</v>
      </c>
      <c r="H34" s="34">
        <f>SUM('Raw Values'!$C34 * ('Raw Values'!$D34 ^ (400/500)))</f>
        <v>32.73573494</v>
      </c>
      <c r="I34" s="34">
        <f>SUM('Raw Values'!$C34 * ('Raw Values'!$D34 ^ (500/500)))</f>
        <v>32.67</v>
      </c>
      <c r="J34" s="34">
        <f>SUM('Raw Values'!$C34 * ('Raw Values'!$D34 ^ (600/500)))</f>
        <v>32.60439706</v>
      </c>
      <c r="K34" s="34">
        <f>SUM('Raw Values'!$C34 * ('Raw Values'!$D34 ^ (700/500)))</f>
        <v>32.53892586</v>
      </c>
      <c r="L34" s="34">
        <f>SUM('Raw Values'!$C34 * ('Raw Values'!$D34 ^ (800/500)))</f>
        <v>32.47358612</v>
      </c>
      <c r="M34" s="34">
        <f>SUM('Raw Values'!$C34 * ('Raw Values'!$D34 ^ (900/500)))</f>
        <v>32.40837759</v>
      </c>
      <c r="N34" s="34">
        <f>SUM('Raw Values'!$C34 * ('Raw Values'!$D34 ^ (1000/500)))</f>
        <v>32.3433</v>
      </c>
      <c r="O34" s="34">
        <f>SUM('Raw Values'!$C34 * ('Raw Values'!$D34 ^ (1100/500)))</f>
        <v>32.27835309</v>
      </c>
      <c r="P34" s="34">
        <f>SUM('Raw Values'!$C34 * ('Raw Values'!$D34 ^ (1200/500)))</f>
        <v>32.2135366</v>
      </c>
      <c r="Q34" s="34">
        <f>SUM('Raw Values'!$C34 * ('Raw Values'!$D34 ^ (1300/500)))</f>
        <v>32.14885026</v>
      </c>
      <c r="R34" s="34">
        <f>SUM('Raw Values'!$C34 * ('Raw Values'!$D34 ^ (1400/500)))</f>
        <v>32.08429381</v>
      </c>
      <c r="S34" s="34">
        <f>SUM('Raw Values'!$C34 * ('Raw Values'!$D34 ^ (1500/500)))</f>
        <v>32.019867</v>
      </c>
      <c r="T34" s="130"/>
      <c r="U34" s="34">
        <f>SUM('Raw Values'!$C34 * ('Raw Values'!$D34 ^ (2000/500)))</f>
        <v>31.69966833</v>
      </c>
      <c r="V34" s="34">
        <f>SUM('Raw Values'!$C34 * ('Raw Values'!$D34 ^ (2500/500)))</f>
        <v>31.38267165</v>
      </c>
      <c r="W34" s="34">
        <f>SUM('Raw Values'!$C34 * ('Raw Values'!$D34 ^ (3000/500)))</f>
        <v>31.06884493</v>
      </c>
      <c r="X34" s="130"/>
      <c r="Y34" s="160">
        <f>SUM(500*(log(100/(B34*4)))/log('Raw Values'!$D34))</f>
        <v>13812.06263</v>
      </c>
      <c r="Z34" s="34">
        <f>SUM(E34 * 1/'Raw Values'!$E34)</f>
        <v>329.337344</v>
      </c>
      <c r="AA34" s="34">
        <f>SUM(G34 * 1/'Raw Values'!$E34)</f>
        <v>328.0160214</v>
      </c>
      <c r="AB34" s="34">
        <f>SUM(J34 * 1/'Raw Values'!$E34)</f>
        <v>326.0439706</v>
      </c>
      <c r="AC34" s="34">
        <f>SUM(P34 * 1/'Raw Values'!$E34)</f>
        <v>322.135366</v>
      </c>
    </row>
    <row r="35" ht="15.75" customHeight="1">
      <c r="A35" s="66" t="s">
        <v>175</v>
      </c>
      <c r="B35" s="29">
        <f>'Raw Values'!C35</f>
        <v>30</v>
      </c>
      <c r="C35" s="34">
        <f>'Raw Values'!D35</f>
        <v>0.98</v>
      </c>
      <c r="D35" s="130"/>
      <c r="E35" s="34">
        <f>SUM('Raw Values'!$C35 * ('Raw Values'!$D35 ^ (100/500)))</f>
        <v>29.87902832</v>
      </c>
      <c r="F35" s="34">
        <f>SUM('Raw Values'!$C35 * ('Raw Values'!$D35 ^ (200/500)))</f>
        <v>29.75854444</v>
      </c>
      <c r="G35" s="34">
        <f>SUM('Raw Values'!$C35 * ('Raw Values'!$D35 ^ (300/500)))</f>
        <v>29.6385464</v>
      </c>
      <c r="H35" s="34">
        <f>SUM('Raw Values'!$C35 * ('Raw Values'!$D35 ^ (400/500)))</f>
        <v>29.51903223</v>
      </c>
      <c r="I35" s="34">
        <f>SUM('Raw Values'!$C35 * ('Raw Values'!$D35 ^ (500/500)))</f>
        <v>29.4</v>
      </c>
      <c r="J35" s="34">
        <f>SUM('Raw Values'!$C35 * ('Raw Values'!$D35 ^ (600/500)))</f>
        <v>29.28144775</v>
      </c>
      <c r="K35" s="34">
        <f>SUM('Raw Values'!$C35 * ('Raw Values'!$D35 ^ (700/500)))</f>
        <v>29.16337355</v>
      </c>
      <c r="L35" s="34">
        <f>SUM('Raw Values'!$C35 * ('Raw Values'!$D35 ^ (800/500)))</f>
        <v>29.04577547</v>
      </c>
      <c r="M35" s="34">
        <f>SUM('Raw Values'!$C35 * ('Raw Values'!$D35 ^ (900/500)))</f>
        <v>28.92865159</v>
      </c>
      <c r="N35" s="34">
        <f>SUM('Raw Values'!$C35 * ('Raw Values'!$D35 ^ (1000/500)))</f>
        <v>28.812</v>
      </c>
      <c r="O35" s="34">
        <f>SUM('Raw Values'!$C35 * ('Raw Values'!$D35 ^ (1100/500)))</f>
        <v>28.69581879</v>
      </c>
      <c r="P35" s="34">
        <f>SUM('Raw Values'!$C35 * ('Raw Values'!$D35 ^ (1200/500)))</f>
        <v>28.58010608</v>
      </c>
      <c r="Q35" s="34">
        <f>SUM('Raw Values'!$C35 * ('Raw Values'!$D35 ^ (1300/500)))</f>
        <v>28.46485996</v>
      </c>
      <c r="R35" s="34">
        <f>SUM('Raw Values'!$C35 * ('Raw Values'!$D35 ^ (1400/500)))</f>
        <v>28.35007856</v>
      </c>
      <c r="S35" s="34">
        <f>SUM('Raw Values'!$C35 * ('Raw Values'!$D35 ^ (1500/500)))</f>
        <v>28.23576</v>
      </c>
      <c r="T35" s="130"/>
      <c r="U35" s="34">
        <f>SUM('Raw Values'!$C35 * ('Raw Values'!$D35 ^ (2000/500)))</f>
        <v>27.6710448</v>
      </c>
      <c r="V35" s="34">
        <f>SUM('Raw Values'!$C35 * ('Raw Values'!$D35 ^ (2500/500)))</f>
        <v>27.1176239</v>
      </c>
      <c r="W35" s="34">
        <f>SUM('Raw Values'!$C35 * ('Raw Values'!$D35 ^ (3000/500)))</f>
        <v>26.57527143</v>
      </c>
      <c r="X35" s="130"/>
      <c r="Y35" s="160">
        <f>SUM(500*(log(100/(B35*4)))/log('Raw Values'!$D35))</f>
        <v>4512.305057</v>
      </c>
      <c r="Z35" s="34">
        <f>SUM(E35 * 1/'Raw Values'!$E35)</f>
        <v>331.9892035</v>
      </c>
      <c r="AA35" s="34">
        <f>SUM(G35 * 1/'Raw Values'!$E35)</f>
        <v>329.3171822</v>
      </c>
      <c r="AB35" s="34">
        <f>SUM(J35 * 1/'Raw Values'!$E35)</f>
        <v>325.3494194</v>
      </c>
      <c r="AC35" s="34">
        <f>SUM(P35 * 1/'Raw Values'!$E35)</f>
        <v>317.5567342</v>
      </c>
    </row>
    <row r="36" ht="15.75" customHeight="1">
      <c r="A36" s="75"/>
      <c r="B36" s="75"/>
      <c r="C36" s="79"/>
      <c r="D36" s="133"/>
      <c r="E36" s="75"/>
      <c r="F36" s="75"/>
      <c r="G36" s="75"/>
      <c r="H36" s="75"/>
      <c r="I36" s="75"/>
      <c r="J36" s="75"/>
      <c r="K36" s="75"/>
      <c r="L36" s="75"/>
      <c r="M36" s="75"/>
      <c r="N36" s="75"/>
      <c r="O36" s="75"/>
      <c r="P36" s="75"/>
      <c r="Q36" s="75"/>
      <c r="R36" s="75"/>
      <c r="S36" s="75"/>
      <c r="T36" s="133"/>
      <c r="U36" s="75"/>
      <c r="V36" s="75"/>
      <c r="W36" s="75"/>
      <c r="X36" s="133"/>
      <c r="Y36" s="75"/>
      <c r="Z36" s="79"/>
      <c r="AA36" s="79"/>
      <c r="AB36" s="79"/>
      <c r="AC36" s="79"/>
    </row>
    <row r="37" ht="15.75" customHeight="1">
      <c r="A37" s="5" t="s">
        <v>177</v>
      </c>
      <c r="B37" s="7" t="s">
        <v>15</v>
      </c>
      <c r="C37" s="9" t="s">
        <v>18</v>
      </c>
      <c r="D37" s="158"/>
      <c r="E37" s="7" t="s">
        <v>223</v>
      </c>
      <c r="F37" s="7" t="s">
        <v>224</v>
      </c>
      <c r="G37" s="7" t="s">
        <v>225</v>
      </c>
      <c r="H37" s="7" t="s">
        <v>226</v>
      </c>
      <c r="I37" s="7" t="s">
        <v>227</v>
      </c>
      <c r="J37" s="7" t="s">
        <v>228</v>
      </c>
      <c r="K37" s="7" t="s">
        <v>229</v>
      </c>
      <c r="L37" s="7" t="s">
        <v>230</v>
      </c>
      <c r="M37" s="7" t="s">
        <v>231</v>
      </c>
      <c r="N37" s="7" t="s">
        <v>232</v>
      </c>
      <c r="O37" s="7" t="s">
        <v>233</v>
      </c>
      <c r="P37" s="7" t="s">
        <v>234</v>
      </c>
      <c r="Q37" s="7" t="s">
        <v>235</v>
      </c>
      <c r="R37" s="7" t="s">
        <v>236</v>
      </c>
      <c r="S37" s="7" t="s">
        <v>237</v>
      </c>
      <c r="T37" s="125"/>
      <c r="U37" s="159" t="s">
        <v>238</v>
      </c>
      <c r="V37" s="159" t="s">
        <v>239</v>
      </c>
      <c r="W37" s="159" t="s">
        <v>240</v>
      </c>
      <c r="X37" s="125"/>
      <c r="Y37" s="7" t="s">
        <v>241</v>
      </c>
      <c r="Z37" s="9" t="s">
        <v>242</v>
      </c>
      <c r="AA37" s="9" t="s">
        <v>243</v>
      </c>
      <c r="AB37" s="9" t="s">
        <v>244</v>
      </c>
      <c r="AC37" s="9" t="s">
        <v>245</v>
      </c>
    </row>
    <row r="38" ht="15.75" customHeight="1">
      <c r="A38" s="28" t="s">
        <v>179</v>
      </c>
      <c r="B38" s="29">
        <f>'Raw Values'!C38</f>
        <v>32</v>
      </c>
      <c r="C38" s="34">
        <f>'Raw Values'!D38</f>
        <v>0.97</v>
      </c>
      <c r="D38" s="130"/>
      <c r="E38" s="34">
        <f>SUM('Raw Values'!$C38 * ('Raw Values'!$D38 ^ (100/500)))</f>
        <v>31.80565364</v>
      </c>
      <c r="F38" s="34">
        <f>SUM('Raw Values'!$C38 * ('Raw Values'!$D38 ^ (200/500)))</f>
        <v>31.6124876</v>
      </c>
      <c r="G38" s="34">
        <f>SUM('Raw Values'!$C38 * ('Raw Values'!$D38 ^ (300/500)))</f>
        <v>31.42049473</v>
      </c>
      <c r="H38" s="34">
        <f>SUM('Raw Values'!$C38 * ('Raw Values'!$D38 ^ (400/500)))</f>
        <v>31.22966789</v>
      </c>
      <c r="I38" s="34">
        <f>SUM('Raw Values'!$C38 * ('Raw Values'!$D38 ^ (500/500)))</f>
        <v>31.04</v>
      </c>
      <c r="J38" s="34">
        <f>SUM('Raw Values'!$C38 * ('Raw Values'!$D38 ^ (600/500)))</f>
        <v>30.85148403</v>
      </c>
      <c r="K38" s="34">
        <f>SUM('Raw Values'!$C38 * ('Raw Values'!$D38 ^ (700/500)))</f>
        <v>30.66411297</v>
      </c>
      <c r="L38" s="34">
        <f>SUM('Raw Values'!$C38 * ('Raw Values'!$D38 ^ (800/500)))</f>
        <v>30.47787989</v>
      </c>
      <c r="M38" s="34">
        <f>SUM('Raw Values'!$C38 * ('Raw Values'!$D38 ^ (900/500)))</f>
        <v>30.29277785</v>
      </c>
      <c r="N38" s="34">
        <f>SUM('Raw Values'!$C38 * ('Raw Values'!$D38 ^ (1000/500)))</f>
        <v>30.1088</v>
      </c>
      <c r="O38" s="34">
        <f>SUM('Raw Values'!$C38 * ('Raw Values'!$D38 ^ (1100/500)))</f>
        <v>29.92593951</v>
      </c>
      <c r="P38" s="34">
        <f>SUM('Raw Values'!$C38 * ('Raw Values'!$D38 ^ (1200/500)))</f>
        <v>29.74418958</v>
      </c>
      <c r="Q38" s="34">
        <f>SUM('Raw Values'!$C38 * ('Raw Values'!$D38 ^ (1300/500)))</f>
        <v>29.56354349</v>
      </c>
      <c r="R38" s="34">
        <f>SUM('Raw Values'!$C38 * ('Raw Values'!$D38 ^ (1400/500)))</f>
        <v>29.38399451</v>
      </c>
      <c r="S38" s="34">
        <f>SUM('Raw Values'!$C38 * ('Raw Values'!$D38 ^ (1500/500)))</f>
        <v>29.205536</v>
      </c>
      <c r="T38" s="130"/>
      <c r="U38" s="34">
        <f>SUM('Raw Values'!$C38 * ('Raw Values'!$D38 ^ (2000/500)))</f>
        <v>28.32936992</v>
      </c>
      <c r="V38" s="34">
        <f>SUM('Raw Values'!$C38 * ('Raw Values'!$D38 ^ (2500/500)))</f>
        <v>27.47948882</v>
      </c>
      <c r="W38" s="34">
        <f>SUM('Raw Values'!$C38 * ('Raw Values'!$D38 ^ (3000/500)))</f>
        <v>26.65510416</v>
      </c>
      <c r="X38" s="130"/>
      <c r="Y38" s="160">
        <f>SUM(500*(log(100/(B38*4)))/log('Raw Values'!$D38))</f>
        <v>4052.306319</v>
      </c>
      <c r="Z38" s="34">
        <f>SUM(E38 * 1/'Raw Values'!$E38)</f>
        <v>397.5706705</v>
      </c>
      <c r="AA38" s="34">
        <f>SUM(G38 * 1/'Raw Values'!$E38)</f>
        <v>392.7561841</v>
      </c>
      <c r="AB38" s="34">
        <f>SUM(J38 * 1/'Raw Values'!$E38)</f>
        <v>385.6435503</v>
      </c>
      <c r="AC38" s="34">
        <f>SUM(P38 * 1/'Raw Values'!$E38)</f>
        <v>371.8023698</v>
      </c>
    </row>
    <row r="39" ht="15.75" customHeight="1">
      <c r="A39" s="28" t="s">
        <v>181</v>
      </c>
      <c r="B39" s="29">
        <f>'Raw Values'!C39</f>
        <v>35</v>
      </c>
      <c r="C39" s="34">
        <f>'Raw Values'!D39</f>
        <v>0.97</v>
      </c>
      <c r="D39" s="130"/>
      <c r="E39" s="34">
        <f>SUM('Raw Values'!$C39 * ('Raw Values'!$D39 ^ (100/500)))</f>
        <v>34.78743367</v>
      </c>
      <c r="F39" s="34">
        <f>SUM('Raw Values'!$C39 * ('Raw Values'!$D39 ^ (200/500)))</f>
        <v>34.57615831</v>
      </c>
      <c r="G39" s="34">
        <f>SUM('Raw Values'!$C39 * ('Raw Values'!$D39 ^ (300/500)))</f>
        <v>34.36616611</v>
      </c>
      <c r="H39" s="34">
        <f>SUM('Raw Values'!$C39 * ('Raw Values'!$D39 ^ (400/500)))</f>
        <v>34.15744925</v>
      </c>
      <c r="I39" s="34">
        <f>SUM('Raw Values'!$C39 * ('Raw Values'!$D39 ^ (500/500)))</f>
        <v>33.95</v>
      </c>
      <c r="J39" s="34">
        <f>SUM('Raw Values'!$C39 * ('Raw Values'!$D39 ^ (600/500)))</f>
        <v>33.74381066</v>
      </c>
      <c r="K39" s="34">
        <f>SUM('Raw Values'!$C39 * ('Raw Values'!$D39 ^ (700/500)))</f>
        <v>33.53887357</v>
      </c>
      <c r="L39" s="34">
        <f>SUM('Raw Values'!$C39 * ('Raw Values'!$D39 ^ (800/500)))</f>
        <v>33.33518112</v>
      </c>
      <c r="M39" s="34">
        <f>SUM('Raw Values'!$C39 * ('Raw Values'!$D39 ^ (900/500)))</f>
        <v>33.13272577</v>
      </c>
      <c r="N39" s="34">
        <f>SUM('Raw Values'!$C39 * ('Raw Values'!$D39 ^ (1000/500)))</f>
        <v>32.9315</v>
      </c>
      <c r="O39" s="34">
        <f>SUM('Raw Values'!$C39 * ('Raw Values'!$D39 ^ (1100/500)))</f>
        <v>32.73149634</v>
      </c>
      <c r="P39" s="34">
        <f>SUM('Raw Values'!$C39 * ('Raw Values'!$D39 ^ (1200/500)))</f>
        <v>32.53270736</v>
      </c>
      <c r="Q39" s="34">
        <f>SUM('Raw Values'!$C39 * ('Raw Values'!$D39 ^ (1300/500)))</f>
        <v>32.33512569</v>
      </c>
      <c r="R39" s="34">
        <f>SUM('Raw Values'!$C39 * ('Raw Values'!$D39 ^ (1400/500)))</f>
        <v>32.138744</v>
      </c>
      <c r="S39" s="34">
        <f>SUM('Raw Values'!$C39 * ('Raw Values'!$D39 ^ (1500/500)))</f>
        <v>31.943555</v>
      </c>
      <c r="T39" s="130"/>
      <c r="U39" s="34">
        <f>SUM('Raw Values'!$C39 * ('Raw Values'!$D39 ^ (2000/500)))</f>
        <v>30.98524835</v>
      </c>
      <c r="V39" s="34">
        <f>SUM('Raw Values'!$C39 * ('Raw Values'!$D39 ^ (2500/500)))</f>
        <v>30.0556909</v>
      </c>
      <c r="W39" s="34">
        <f>SUM('Raw Values'!$C39 * ('Raw Values'!$D39 ^ (3000/500)))</f>
        <v>29.15402017</v>
      </c>
      <c r="X39" s="130"/>
      <c r="Y39" s="160">
        <f>SUM(500*(log(100/(B39*4)))/log('Raw Values'!$D39))</f>
        <v>5523.32553</v>
      </c>
      <c r="Z39" s="34">
        <f>SUM(E39 * 1/'Raw Values'!$E39)</f>
        <v>463.8324489</v>
      </c>
      <c r="AA39" s="34">
        <f>SUM(G39 * 1/'Raw Values'!$E39)</f>
        <v>458.2155481</v>
      </c>
      <c r="AB39" s="34">
        <f>SUM(J39 * 1/'Raw Values'!$E39)</f>
        <v>449.9174754</v>
      </c>
      <c r="AC39" s="34">
        <f>SUM(P39 * 1/'Raw Values'!$E39)</f>
        <v>433.7694314</v>
      </c>
    </row>
    <row r="40" ht="15.75" customHeight="1">
      <c r="A40" s="75"/>
      <c r="B40" s="75"/>
      <c r="C40" s="79"/>
      <c r="D40" s="133"/>
      <c r="E40" s="75"/>
      <c r="F40" s="75"/>
      <c r="G40" s="75"/>
      <c r="H40" s="75"/>
      <c r="I40" s="75"/>
      <c r="J40" s="75"/>
      <c r="K40" s="75"/>
      <c r="L40" s="75"/>
      <c r="M40" s="75"/>
      <c r="N40" s="75"/>
      <c r="O40" s="75"/>
      <c r="P40" s="75"/>
      <c r="Q40" s="75"/>
      <c r="R40" s="75"/>
      <c r="S40" s="75"/>
      <c r="T40" s="133"/>
      <c r="U40" s="75"/>
      <c r="V40" s="75"/>
      <c r="W40" s="75"/>
      <c r="X40" s="133"/>
      <c r="Y40" s="75"/>
      <c r="Z40" s="79"/>
      <c r="AA40" s="79"/>
      <c r="AB40" s="79"/>
      <c r="AC40" s="79"/>
    </row>
    <row r="41" ht="15.75" customHeight="1">
      <c r="A41" s="5" t="s">
        <v>184</v>
      </c>
      <c r="B41" s="7" t="s">
        <v>15</v>
      </c>
      <c r="C41" s="9" t="s">
        <v>18</v>
      </c>
      <c r="D41" s="158"/>
      <c r="E41" s="7" t="s">
        <v>223</v>
      </c>
      <c r="F41" s="7" t="s">
        <v>224</v>
      </c>
      <c r="G41" s="7" t="s">
        <v>225</v>
      </c>
      <c r="H41" s="7" t="s">
        <v>226</v>
      </c>
      <c r="I41" s="7" t="s">
        <v>227</v>
      </c>
      <c r="J41" s="7" t="s">
        <v>228</v>
      </c>
      <c r="K41" s="7" t="s">
        <v>229</v>
      </c>
      <c r="L41" s="7" t="s">
        <v>230</v>
      </c>
      <c r="M41" s="7" t="s">
        <v>231</v>
      </c>
      <c r="N41" s="7" t="s">
        <v>232</v>
      </c>
      <c r="O41" s="7" t="s">
        <v>233</v>
      </c>
      <c r="P41" s="7" t="s">
        <v>234</v>
      </c>
      <c r="Q41" s="7" t="s">
        <v>235</v>
      </c>
      <c r="R41" s="7" t="s">
        <v>236</v>
      </c>
      <c r="S41" s="7" t="s">
        <v>237</v>
      </c>
      <c r="T41" s="125"/>
      <c r="U41" s="159" t="s">
        <v>238</v>
      </c>
      <c r="V41" s="159" t="s">
        <v>239</v>
      </c>
      <c r="W41" s="159" t="s">
        <v>240</v>
      </c>
      <c r="X41" s="125"/>
      <c r="Y41" s="7" t="s">
        <v>241</v>
      </c>
      <c r="Z41" s="9" t="s">
        <v>242</v>
      </c>
      <c r="AA41" s="9" t="s">
        <v>243</v>
      </c>
      <c r="AB41" s="9" t="s">
        <v>244</v>
      </c>
      <c r="AC41" s="9" t="s">
        <v>245</v>
      </c>
    </row>
    <row r="42" ht="15.75" customHeight="1">
      <c r="A42" s="28" t="s">
        <v>186</v>
      </c>
      <c r="B42" s="29">
        <f>'Raw Values'!C42</f>
        <v>115</v>
      </c>
      <c r="C42" s="34">
        <f>'Raw Values'!D42</f>
        <v>0.99</v>
      </c>
      <c r="D42" s="130"/>
      <c r="E42" s="34">
        <f>SUM('Raw Values'!$C42 * ('Raw Values'!$D42 ^ (100/500)))</f>
        <v>114.7690744</v>
      </c>
      <c r="F42" s="34">
        <f>SUM('Raw Values'!$C42 * ('Raw Values'!$D42 ^ (200/500)))</f>
        <v>114.5386126</v>
      </c>
      <c r="G42" s="34">
        <f>SUM('Raw Values'!$C42 * ('Raw Values'!$D42 ^ (300/500)))</f>
        <v>114.3086135</v>
      </c>
      <c r="H42" s="34">
        <f>SUM('Raw Values'!$C42 * ('Raw Values'!$D42 ^ (400/500)))</f>
        <v>114.0790763</v>
      </c>
      <c r="I42" s="34">
        <f>SUM('Raw Values'!$C42 * ('Raw Values'!$D42 ^ (500/500)))</f>
        <v>113.85</v>
      </c>
      <c r="J42" s="34">
        <f>SUM('Raw Values'!$C42 * ('Raw Values'!$D42 ^ (600/500)))</f>
        <v>113.6213837</v>
      </c>
      <c r="K42" s="34">
        <f>SUM('Raw Values'!$C42 * ('Raw Values'!$D42 ^ (700/500)))</f>
        <v>113.3932265</v>
      </c>
      <c r="L42" s="34">
        <f>SUM('Raw Values'!$C42 * ('Raw Values'!$D42 ^ (800/500)))</f>
        <v>113.1655274</v>
      </c>
      <c r="M42" s="34">
        <f>SUM('Raw Values'!$C42 * ('Raw Values'!$D42 ^ (900/500)))</f>
        <v>112.9382855</v>
      </c>
      <c r="N42" s="34">
        <f>SUM('Raw Values'!$C42 * ('Raw Values'!$D42 ^ (1000/500)))</f>
        <v>112.7115</v>
      </c>
      <c r="O42" s="34">
        <f>SUM('Raw Values'!$C42 * ('Raw Values'!$D42 ^ (1100/500)))</f>
        <v>112.4851699</v>
      </c>
      <c r="P42" s="34">
        <f>SUM('Raw Values'!$C42 * ('Raw Values'!$D42 ^ (1200/500)))</f>
        <v>112.2592942</v>
      </c>
      <c r="Q42" s="34">
        <f>SUM('Raw Values'!$C42 * ('Raw Values'!$D42 ^ (1300/500)))</f>
        <v>112.0338721</v>
      </c>
      <c r="R42" s="34">
        <f>SUM('Raw Values'!$C42 * ('Raw Values'!$D42 ^ (1400/500)))</f>
        <v>111.8089027</v>
      </c>
      <c r="S42" s="34">
        <f>SUM('Raw Values'!$C42 * ('Raw Values'!$D42 ^ (1500/500)))</f>
        <v>111.584385</v>
      </c>
      <c r="T42" s="130"/>
      <c r="U42" s="34">
        <f>SUM('Raw Values'!$C42 * ('Raw Values'!$D42 ^ (2000/500)))</f>
        <v>110.4685412</v>
      </c>
      <c r="V42" s="34">
        <f>SUM('Raw Values'!$C42 * ('Raw Values'!$D42 ^ (2500/500)))</f>
        <v>109.3638557</v>
      </c>
      <c r="W42" s="34">
        <f>SUM('Raw Values'!$C42 * ('Raw Values'!$D42 ^ (3000/500)))</f>
        <v>108.2702172</v>
      </c>
      <c r="X42" s="130"/>
      <c r="Y42" s="160">
        <f>SUM(500*(log(100/(B42*4)))/log('Raw Values'!$D42))</f>
        <v>75920.66204</v>
      </c>
      <c r="Z42" s="34">
        <f>SUM(E42 * 1/'Raw Values'!$E42)</f>
        <v>78.87908896</v>
      </c>
      <c r="AA42" s="34">
        <f>SUM(G42 * 1/'Raw Values'!$E42)</f>
        <v>78.56262098</v>
      </c>
      <c r="AB42" s="34">
        <f>SUM(J42 * 1/'Raw Values'!$E42)</f>
        <v>78.09029807</v>
      </c>
      <c r="AC42" s="34">
        <f>SUM(P42 * 1/'Raw Values'!$E42)</f>
        <v>77.15415409</v>
      </c>
    </row>
    <row r="43" ht="15.75" customHeight="1">
      <c r="A43" s="66" t="s">
        <v>188</v>
      </c>
      <c r="B43" s="29">
        <f>'Raw Values'!C43</f>
        <v>80</v>
      </c>
      <c r="C43" s="34">
        <f>'Raw Values'!D43</f>
        <v>0.98</v>
      </c>
      <c r="D43" s="130"/>
      <c r="E43" s="34">
        <f>SUM('Raw Values'!$C43 * ('Raw Values'!$D43 ^ (100/500)))</f>
        <v>79.67740884</v>
      </c>
      <c r="F43" s="34">
        <f>SUM('Raw Values'!$C43 * ('Raw Values'!$D43 ^ (200/500)))</f>
        <v>79.3561185</v>
      </c>
      <c r="G43" s="34">
        <f>SUM('Raw Values'!$C43 * ('Raw Values'!$D43 ^ (300/500)))</f>
        <v>79.03612372</v>
      </c>
      <c r="H43" s="34">
        <f>SUM('Raw Values'!$C43 * ('Raw Values'!$D43 ^ (400/500)))</f>
        <v>78.71741929</v>
      </c>
      <c r="I43" s="34">
        <f>SUM('Raw Values'!$C43 * ('Raw Values'!$D43 ^ (500/500)))</f>
        <v>78.4</v>
      </c>
      <c r="J43" s="34">
        <f>SUM('Raw Values'!$C43 * ('Raw Values'!$D43 ^ (600/500)))</f>
        <v>78.08386067</v>
      </c>
      <c r="K43" s="34">
        <f>SUM('Raw Values'!$C43 * ('Raw Values'!$D43 ^ (700/500)))</f>
        <v>77.76899613</v>
      </c>
      <c r="L43" s="34">
        <f>SUM('Raw Values'!$C43 * ('Raw Values'!$D43 ^ (800/500)))</f>
        <v>77.45540125</v>
      </c>
      <c r="M43" s="34">
        <f>SUM('Raw Values'!$C43 * ('Raw Values'!$D43 ^ (900/500)))</f>
        <v>77.14307091</v>
      </c>
      <c r="N43" s="34">
        <f>SUM('Raw Values'!$C43 * ('Raw Values'!$D43 ^ (1000/500)))</f>
        <v>76.832</v>
      </c>
      <c r="O43" s="34">
        <f>SUM('Raw Values'!$C43 * ('Raw Values'!$D43 ^ (1100/500)))</f>
        <v>76.52218345</v>
      </c>
      <c r="P43" s="34">
        <f>SUM('Raw Values'!$C43 * ('Raw Values'!$D43 ^ (1200/500)))</f>
        <v>76.21361621</v>
      </c>
      <c r="Q43" s="34">
        <f>SUM('Raw Values'!$C43 * ('Raw Values'!$D43 ^ (1300/500)))</f>
        <v>75.90629322</v>
      </c>
      <c r="R43" s="34">
        <f>SUM('Raw Values'!$C43 * ('Raw Values'!$D43 ^ (1400/500)))</f>
        <v>75.60020949</v>
      </c>
      <c r="S43" s="34">
        <f>SUM('Raw Values'!$C43 * ('Raw Values'!$D43 ^ (1500/500)))</f>
        <v>75.29536</v>
      </c>
      <c r="T43" s="130"/>
      <c r="U43" s="34">
        <f>SUM('Raw Values'!$C43 * ('Raw Values'!$D43 ^ (2000/500)))</f>
        <v>73.7894528</v>
      </c>
      <c r="V43" s="34">
        <f>SUM('Raw Values'!$C43 * ('Raw Values'!$D43 ^ (2500/500)))</f>
        <v>72.31366374</v>
      </c>
      <c r="W43" s="34">
        <f>SUM('Raw Values'!$C43 * ('Raw Values'!$D43 ^ (3000/500)))</f>
        <v>70.86739047</v>
      </c>
      <c r="X43" s="130"/>
      <c r="Y43" s="160">
        <f>SUM(500*(log(100/(B43*4)))/log('Raw Values'!$D43))</f>
        <v>28787.00343</v>
      </c>
      <c r="Z43" s="34">
        <f>SUM(E43 * 1/'Raw Values'!$E43)</f>
        <v>318.7096354</v>
      </c>
      <c r="AA43" s="34">
        <f>SUM(G43 * 1/'Raw Values'!$E43)</f>
        <v>316.1444949</v>
      </c>
      <c r="AB43" s="34">
        <f>SUM(J43 * 1/'Raw Values'!$E43)</f>
        <v>312.3354427</v>
      </c>
      <c r="AC43" s="34">
        <f>SUM(P43 * 1/'Raw Values'!$E43)</f>
        <v>304.8544648</v>
      </c>
    </row>
    <row r="44" ht="15.75" customHeight="1">
      <c r="A44" s="61" t="s">
        <v>190</v>
      </c>
      <c r="B44" s="29">
        <f>'Raw Values'!C44</f>
        <v>80</v>
      </c>
      <c r="C44" s="34">
        <f>'Raw Values'!D44</f>
        <v>0.98</v>
      </c>
      <c r="D44" s="130"/>
      <c r="E44" s="34">
        <f>SUM('Raw Values'!$C44 * ('Raw Values'!$D44 ^ (100/500)))</f>
        <v>79.67740884</v>
      </c>
      <c r="F44" s="34">
        <f>SUM('Raw Values'!$C44 * ('Raw Values'!$D44 ^ (200/500)))</f>
        <v>79.3561185</v>
      </c>
      <c r="G44" s="34">
        <f>SUM('Raw Values'!$C44 * ('Raw Values'!$D44 ^ (300/500)))</f>
        <v>79.03612372</v>
      </c>
      <c r="H44" s="34">
        <f>SUM('Raw Values'!$C44 * ('Raw Values'!$D44 ^ (400/500)))</f>
        <v>78.71741929</v>
      </c>
      <c r="I44" s="34">
        <f>SUM('Raw Values'!$C44 * ('Raw Values'!$D44 ^ (500/500)))</f>
        <v>78.4</v>
      </c>
      <c r="J44" s="34">
        <f>SUM('Raw Values'!$C44 * ('Raw Values'!$D44 ^ (600/500)))</f>
        <v>78.08386067</v>
      </c>
      <c r="K44" s="34">
        <f>SUM('Raw Values'!$C44 * ('Raw Values'!$D44 ^ (700/500)))</f>
        <v>77.76899613</v>
      </c>
      <c r="L44" s="34">
        <f>SUM('Raw Values'!$C44 * ('Raw Values'!$D44 ^ (800/500)))</f>
        <v>77.45540125</v>
      </c>
      <c r="M44" s="34">
        <f>SUM('Raw Values'!$C44 * ('Raw Values'!$D44 ^ (900/500)))</f>
        <v>77.14307091</v>
      </c>
      <c r="N44" s="34">
        <f>SUM('Raw Values'!$C44 * ('Raw Values'!$D44 ^ (1000/500)))</f>
        <v>76.832</v>
      </c>
      <c r="O44" s="34">
        <f>SUM('Raw Values'!$C44 * ('Raw Values'!$D44 ^ (1100/500)))</f>
        <v>76.52218345</v>
      </c>
      <c r="P44" s="34">
        <f>SUM('Raw Values'!$C44 * ('Raw Values'!$D44 ^ (1200/500)))</f>
        <v>76.21361621</v>
      </c>
      <c r="Q44" s="34">
        <f>SUM('Raw Values'!$C44 * ('Raw Values'!$D44 ^ (1300/500)))</f>
        <v>75.90629322</v>
      </c>
      <c r="R44" s="34">
        <f>SUM('Raw Values'!$C44 * ('Raw Values'!$D44 ^ (1400/500)))</f>
        <v>75.60020949</v>
      </c>
      <c r="S44" s="34">
        <f>SUM('Raw Values'!$C44 * ('Raw Values'!$D44 ^ (1500/500)))</f>
        <v>75.29536</v>
      </c>
      <c r="T44" s="130"/>
      <c r="U44" s="34">
        <f>SUM('Raw Values'!$C44 * ('Raw Values'!$D44 ^ (2000/500)))</f>
        <v>73.7894528</v>
      </c>
      <c r="V44" s="34">
        <f>SUM('Raw Values'!$C44 * ('Raw Values'!$D44 ^ (2500/500)))</f>
        <v>72.31366374</v>
      </c>
      <c r="W44" s="34">
        <f>SUM('Raw Values'!$C44 * ('Raw Values'!$D44 ^ (3000/500)))</f>
        <v>70.86739047</v>
      </c>
      <c r="X44" s="130"/>
      <c r="Y44" s="160">
        <f>SUM(500*(log(100/(B44*4)))/log('Raw Values'!$D44))</f>
        <v>28787.00343</v>
      </c>
      <c r="Z44" s="34">
        <f>SUM(E44 * 1/'Raw Values'!$E44)</f>
        <v>318.7096354</v>
      </c>
      <c r="AA44" s="34">
        <f>SUM(G44 * 1/'Raw Values'!$E44)</f>
        <v>316.1444949</v>
      </c>
      <c r="AB44" s="34">
        <f>SUM(J44 * 1/'Raw Values'!$E44)</f>
        <v>312.3354427</v>
      </c>
      <c r="AC44" s="34">
        <f>SUM(P44 * 1/'Raw Values'!$E44)</f>
        <v>304.8544648</v>
      </c>
    </row>
    <row r="45" ht="15.75" customHeight="1">
      <c r="A45" s="28" t="s">
        <v>192</v>
      </c>
      <c r="B45" s="29">
        <f>'Raw Values'!C45</f>
        <v>88</v>
      </c>
      <c r="C45" s="34">
        <f>'Raw Values'!D45</f>
        <v>0.98</v>
      </c>
      <c r="D45" s="130"/>
      <c r="E45" s="34">
        <f>SUM('Raw Values'!$C45 * ('Raw Values'!$D45 ^ (100/500)))</f>
        <v>87.64514973</v>
      </c>
      <c r="F45" s="34">
        <f>SUM('Raw Values'!$C45 * ('Raw Values'!$D45 ^ (200/500)))</f>
        <v>87.29173035</v>
      </c>
      <c r="G45" s="34">
        <f>SUM('Raw Values'!$C45 * ('Raw Values'!$D45 ^ (300/500)))</f>
        <v>86.9397361</v>
      </c>
      <c r="H45" s="34">
        <f>SUM('Raw Values'!$C45 * ('Raw Values'!$D45 ^ (400/500)))</f>
        <v>86.58916122</v>
      </c>
      <c r="I45" s="34">
        <f>SUM('Raw Values'!$C45 * ('Raw Values'!$D45 ^ (500/500)))</f>
        <v>86.24</v>
      </c>
      <c r="J45" s="34">
        <f>SUM('Raw Values'!$C45 * ('Raw Values'!$D45 ^ (600/500)))</f>
        <v>85.89224673</v>
      </c>
      <c r="K45" s="34">
        <f>SUM('Raw Values'!$C45 * ('Raw Values'!$D45 ^ (700/500)))</f>
        <v>85.54589574</v>
      </c>
      <c r="L45" s="34">
        <f>SUM('Raw Values'!$C45 * ('Raw Values'!$D45 ^ (800/500)))</f>
        <v>85.20094137</v>
      </c>
      <c r="M45" s="34">
        <f>SUM('Raw Values'!$C45 * ('Raw Values'!$D45 ^ (900/500)))</f>
        <v>84.857378</v>
      </c>
      <c r="N45" s="34">
        <f>SUM('Raw Values'!$C45 * ('Raw Values'!$D45 ^ (1000/500)))</f>
        <v>84.5152</v>
      </c>
      <c r="O45" s="34">
        <f>SUM('Raw Values'!$C45 * ('Raw Values'!$D45 ^ (1100/500)))</f>
        <v>84.1744018</v>
      </c>
      <c r="P45" s="34">
        <f>SUM('Raw Values'!$C45 * ('Raw Values'!$D45 ^ (1200/500)))</f>
        <v>83.83497783</v>
      </c>
      <c r="Q45" s="34">
        <f>SUM('Raw Values'!$C45 * ('Raw Values'!$D45 ^ (1300/500)))</f>
        <v>83.49692255</v>
      </c>
      <c r="R45" s="34">
        <f>SUM('Raw Values'!$C45 * ('Raw Values'!$D45 ^ (1400/500)))</f>
        <v>83.16023044</v>
      </c>
      <c r="S45" s="34">
        <f>SUM('Raw Values'!$C45 * ('Raw Values'!$D45 ^ (1500/500)))</f>
        <v>82.824896</v>
      </c>
      <c r="T45" s="130"/>
      <c r="U45" s="34">
        <f>SUM('Raw Values'!$C45 * ('Raw Values'!$D45 ^ (2000/500)))</f>
        <v>81.16839808</v>
      </c>
      <c r="V45" s="34">
        <f>SUM('Raw Values'!$C45 * ('Raw Values'!$D45 ^ (2500/500)))</f>
        <v>79.54503012</v>
      </c>
      <c r="W45" s="34">
        <f>SUM('Raw Values'!$C45 * ('Raw Values'!$D45 ^ (3000/500)))</f>
        <v>77.95412952</v>
      </c>
      <c r="X45" s="130"/>
      <c r="Y45" s="160">
        <f>SUM(500*(log(100/(B45*4)))/log('Raw Values'!$D45))</f>
        <v>31145.85015</v>
      </c>
      <c r="Z45" s="34">
        <f>SUM(E45 * 1/'Raw Values'!$E45)</f>
        <v>70.11611978</v>
      </c>
      <c r="AA45" s="34">
        <f>SUM(G45 * 1/'Raw Values'!$E45)</f>
        <v>69.55178888</v>
      </c>
      <c r="AB45" s="34">
        <f>SUM(J45 * 1/'Raw Values'!$E45)</f>
        <v>68.71379739</v>
      </c>
      <c r="AC45" s="34">
        <f>SUM(P45 * 1/'Raw Values'!$E45)</f>
        <v>67.06798226</v>
      </c>
    </row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0"/>
  <cols>
    <col customWidth="1" min="1" max="1" width="14.57"/>
    <col customWidth="1" min="2" max="4" width="11.71"/>
    <col customWidth="1" min="5" max="5" width="4.57"/>
    <col customWidth="1" min="6" max="20" width="11.71"/>
    <col customWidth="1" min="21" max="21" width="4.57"/>
    <col customWidth="1" min="22" max="24" width="11.71"/>
    <col customWidth="1" min="25" max="25" width="4.57"/>
    <col customWidth="1" min="26" max="31" width="11.71"/>
  </cols>
  <sheetData>
    <row r="1" ht="15.75" customHeight="1">
      <c r="A1" s="5" t="s">
        <v>1</v>
      </c>
      <c r="B1" s="8" t="s">
        <v>246</v>
      </c>
      <c r="C1" s="161" t="s">
        <v>15</v>
      </c>
      <c r="D1" s="9" t="s">
        <v>18</v>
      </c>
      <c r="E1" s="158"/>
      <c r="F1" s="7" t="s">
        <v>223</v>
      </c>
      <c r="G1" s="7" t="s">
        <v>224</v>
      </c>
      <c r="H1" s="7" t="s">
        <v>225</v>
      </c>
      <c r="I1" s="7" t="s">
        <v>226</v>
      </c>
      <c r="J1" s="7" t="s">
        <v>227</v>
      </c>
      <c r="K1" s="7" t="s">
        <v>228</v>
      </c>
      <c r="L1" s="7" t="s">
        <v>229</v>
      </c>
      <c r="M1" s="7" t="s">
        <v>230</v>
      </c>
      <c r="N1" s="7" t="s">
        <v>231</v>
      </c>
      <c r="O1" s="7" t="s">
        <v>232</v>
      </c>
      <c r="P1" s="7" t="s">
        <v>233</v>
      </c>
      <c r="Q1" s="7" t="s">
        <v>234</v>
      </c>
      <c r="R1" s="7" t="s">
        <v>235</v>
      </c>
      <c r="S1" s="7" t="s">
        <v>236</v>
      </c>
      <c r="T1" s="7" t="s">
        <v>237</v>
      </c>
      <c r="U1" s="125"/>
      <c r="V1" s="159" t="s">
        <v>238</v>
      </c>
      <c r="W1" s="159" t="s">
        <v>239</v>
      </c>
      <c r="X1" s="159" t="s">
        <v>240</v>
      </c>
      <c r="Y1" s="125"/>
      <c r="Z1" s="9" t="s">
        <v>247</v>
      </c>
      <c r="AA1" s="7" t="s">
        <v>241</v>
      </c>
      <c r="AB1" s="9" t="s">
        <v>242</v>
      </c>
      <c r="AC1" s="9" t="s">
        <v>243</v>
      </c>
      <c r="AD1" s="9" t="s">
        <v>244</v>
      </c>
      <c r="AE1" s="9" t="s">
        <v>245</v>
      </c>
    </row>
    <row r="2" ht="15.75" customHeight="1">
      <c r="A2" s="28" t="s">
        <v>104</v>
      </c>
      <c r="B2" s="30">
        <f>'Raw Values'!B2</f>
        <v>1.864</v>
      </c>
      <c r="C2" s="40">
        <f>'Raw Values'!C2</f>
        <v>63</v>
      </c>
      <c r="D2" s="34">
        <f>'Raw Values'!D2</f>
        <v>0.81</v>
      </c>
      <c r="E2" s="130"/>
      <c r="F2" s="34">
        <f>SUM('Raw Values'!$C2 * 'Raw Values'!$B2/2 * ('Raw Values'!$D2 ^ (100/500)))</f>
        <v>56.29287966</v>
      </c>
      <c r="G2" s="34">
        <f>SUM('Raw Values'!$C2 * 'Raw Values'!$B2/2 * ('Raw Values'!$D2 ^ (200/500)))</f>
        <v>53.96975783</v>
      </c>
      <c r="H2" s="34">
        <f>SUM('Raw Values'!$C2 * 'Raw Values'!$B2/2 * ('Raw Values'!$D2 ^ (300/500)))</f>
        <v>51.74250772</v>
      </c>
      <c r="I2" s="34">
        <f>SUM('Raw Values'!$C2 * 'Raw Values'!$B2/2 * ('Raw Values'!$D2 ^ (400/500)))</f>
        <v>49.60717284</v>
      </c>
      <c r="J2" s="34">
        <f>SUM('Raw Values'!$C2 * 'Raw Values'!$B2/2 * ('Raw Values'!$D2 ^ (500/500)))</f>
        <v>47.55996</v>
      </c>
      <c r="K2" s="34">
        <f>SUM('Raw Values'!$C2 * 'Raw Values'!$B2/2 * ('Raw Values'!$D2 ^ (600/500)))</f>
        <v>45.59723253</v>
      </c>
      <c r="L2" s="34">
        <f>SUM('Raw Values'!$C2 * 'Raw Values'!$B2/2 * ('Raw Values'!$D2 ^ (700/500)))</f>
        <v>43.71550385</v>
      </c>
      <c r="M2" s="34">
        <f>SUM('Raw Values'!$C2 * 'Raw Values'!$B2/2 * ('Raw Values'!$D2 ^ (800/500)))</f>
        <v>41.91143125</v>
      </c>
      <c r="N2" s="34">
        <f>SUM('Raw Values'!$C2 * 'Raw Values'!$B2/2 * ('Raw Values'!$D2 ^ (900/500)))</f>
        <v>40.18181</v>
      </c>
      <c r="O2" s="34">
        <f>SUM('Raw Values'!$C2 * 'Raw Values'!$B2/2 * ('Raw Values'!$D2 ^ (1000/500)))</f>
        <v>38.5235676</v>
      </c>
      <c r="P2" s="34">
        <f>SUM('Raw Values'!$C2 * 'Raw Values'!$B2/2 * ('Raw Values'!$D2 ^ (1100/500)))</f>
        <v>36.93375835</v>
      </c>
      <c r="Q2" s="34">
        <f>SUM('Raw Values'!$C2 * 'Raw Values'!$B2/2 * ('Raw Values'!$D2 ^ (1200/500)))</f>
        <v>35.40955811</v>
      </c>
      <c r="R2" s="34">
        <f>SUM('Raw Values'!$C2 * 'Raw Values'!$B2/2 * ('Raw Values'!$D2 ^ (1300/500)))</f>
        <v>33.94825932</v>
      </c>
      <c r="S2" s="34">
        <f>SUM('Raw Values'!$C2 * 'Raw Values'!$B2/2 * ('Raw Values'!$D2 ^ (1400/500)))</f>
        <v>32.5472661</v>
      </c>
      <c r="T2" s="34">
        <f>SUM('Raw Values'!$C2 * 'Raw Values'!$B2/2 * ('Raw Values'!$D2 ^ (1500/500)))</f>
        <v>31.20408976</v>
      </c>
      <c r="U2" s="130"/>
      <c r="V2" s="34">
        <f>SUM('Raw Values'!$C2 * 'Raw Values'!$B2/2 * ('Raw Values'!$D2 ^ (2000/500)))</f>
        <v>25.2753127</v>
      </c>
      <c r="W2" s="34">
        <f>SUM('Raw Values'!$C2 * 'Raw Values'!$B2/2 * ('Raw Values'!$D2 ^ (2500/500)))</f>
        <v>20.47300329</v>
      </c>
      <c r="X2" s="34">
        <f>SUM('Raw Values'!$C2 * 'Raw Values'!$B2/2 * ('Raw Values'!$D2 ^ (3000/500)))</f>
        <v>16.58313266</v>
      </c>
      <c r="Y2" s="130"/>
      <c r="Z2" s="34">
        <f>SUM(500*(log(50/(C2*4*B2/2))/log('Raw Values'!$D2)))</f>
        <v>3670.691075</v>
      </c>
      <c r="AA2" s="34">
        <f>SUM(500*(log(100/(C2*4*B2/2)))/log('Raw Values'!$D2))</f>
        <v>2025.987705</v>
      </c>
      <c r="AB2" s="34">
        <f>SUM(F2 * 1/'Raw Values'!$E2)</f>
        <v>250.1905763</v>
      </c>
      <c r="AC2" s="34">
        <f>SUM(H2 * 1/'Raw Values'!$E2)</f>
        <v>229.966701</v>
      </c>
      <c r="AD2" s="34">
        <f>SUM(K2 * 1/'Raw Values'!$E2)</f>
        <v>202.6543668</v>
      </c>
      <c r="AE2" s="34">
        <f>SUM(Q2 * 1/'Raw Values'!$E2)</f>
        <v>157.3758138</v>
      </c>
    </row>
    <row r="3" ht="15.75" customHeight="1">
      <c r="A3" s="28" t="s">
        <v>118</v>
      </c>
      <c r="B3" s="30">
        <f>'Raw Values'!B3</f>
        <v>1.864</v>
      </c>
      <c r="C3" s="40">
        <f>'Raw Values'!C3</f>
        <v>86</v>
      </c>
      <c r="D3" s="34">
        <f>'Raw Values'!D3</f>
        <v>0.94</v>
      </c>
      <c r="E3" s="130"/>
      <c r="F3" s="34">
        <f>SUM('Raw Values'!$C3 * 'Raw Values'!$B3/2 * ('Raw Values'!$D3 ^ (100/500)))</f>
        <v>79.16622463</v>
      </c>
      <c r="G3" s="34">
        <f>SUM('Raw Values'!$C3 * 'Raw Values'!$B3/2 * ('Raw Values'!$D3 ^ (200/500)))</f>
        <v>78.19257314</v>
      </c>
      <c r="H3" s="34">
        <f>SUM('Raw Values'!$C3 * 'Raw Values'!$B3/2 * ('Raw Values'!$D3 ^ (300/500)))</f>
        <v>77.23089643</v>
      </c>
      <c r="I3" s="34">
        <f>SUM('Raw Values'!$C3 * 'Raw Values'!$B3/2 * ('Raw Values'!$D3 ^ (400/500)))</f>
        <v>76.2810472</v>
      </c>
      <c r="J3" s="34">
        <f>SUM('Raw Values'!$C3 * 'Raw Values'!$B3/2 * ('Raw Values'!$D3 ^ (500/500)))</f>
        <v>75.34288</v>
      </c>
      <c r="K3" s="34">
        <f>SUM('Raw Values'!$C3 * 'Raw Values'!$B3/2 * ('Raw Values'!$D3 ^ (600/500)))</f>
        <v>74.41625116</v>
      </c>
      <c r="L3" s="34">
        <f>SUM('Raw Values'!$C3 * 'Raw Values'!$B3/2 * ('Raw Values'!$D3 ^ (700/500)))</f>
        <v>73.50101876</v>
      </c>
      <c r="M3" s="34">
        <f>SUM('Raw Values'!$C3 * 'Raw Values'!$B3/2 * ('Raw Values'!$D3 ^ (800/500)))</f>
        <v>72.59704264</v>
      </c>
      <c r="N3" s="34">
        <f>SUM('Raw Values'!$C3 * 'Raw Values'!$B3/2 * ('Raw Values'!$D3 ^ (900/500)))</f>
        <v>71.70418437</v>
      </c>
      <c r="O3" s="34">
        <f>SUM('Raw Values'!$C3 * 'Raw Values'!$B3/2 * ('Raw Values'!$D3 ^ (1000/500)))</f>
        <v>70.8223072</v>
      </c>
      <c r="P3" s="34">
        <f>SUM('Raw Values'!$C3 * 'Raw Values'!$B3/2 * ('Raw Values'!$D3 ^ (1100/500)))</f>
        <v>69.95127609</v>
      </c>
      <c r="Q3" s="34">
        <f>SUM('Raw Values'!$C3 * 'Raw Values'!$B3/2 * ('Raw Values'!$D3 ^ (1200/500)))</f>
        <v>69.09095763</v>
      </c>
      <c r="R3" s="34">
        <f>SUM('Raw Values'!$C3 * 'Raw Values'!$B3/2 * ('Raw Values'!$D3 ^ (1300/500)))</f>
        <v>68.24122008</v>
      </c>
      <c r="S3" s="34">
        <f>SUM('Raw Values'!$C3 * 'Raw Values'!$B3/2 * ('Raw Values'!$D3 ^ (1400/500)))</f>
        <v>67.4019333</v>
      </c>
      <c r="T3" s="34">
        <f>SUM('Raw Values'!$C3 * 'Raw Values'!$B3/2 * ('Raw Values'!$D3 ^ (1500/500)))</f>
        <v>66.57296877</v>
      </c>
      <c r="U3" s="130"/>
      <c r="V3" s="34">
        <f>SUM('Raw Values'!$C3 * 'Raw Values'!$B3/2 * ('Raw Values'!$D3 ^ (2000/500)))</f>
        <v>62.57859064</v>
      </c>
      <c r="W3" s="34">
        <f>SUM('Raw Values'!$C3 * 'Raw Values'!$B3/2 * ('Raw Values'!$D3 ^ (2500/500)))</f>
        <v>58.8238752</v>
      </c>
      <c r="X3" s="34">
        <f>SUM('Raw Values'!$C3 * 'Raw Values'!$B3/2 * ('Raw Values'!$D3 ^ (3000/500)))</f>
        <v>55.29444269</v>
      </c>
      <c r="Y3" s="130"/>
      <c r="Z3" s="34">
        <f>SUM(500*(log(50/(C3*4*B3/2))/log('Raw Values'!$D3)))</f>
        <v>15015.6288</v>
      </c>
      <c r="AA3" s="34">
        <f>SUM(500*(log(100/(C3*4*B3/2)))/log('Raw Values'!$D3))</f>
        <v>9414.476004</v>
      </c>
      <c r="AB3" s="34">
        <f>SUM(F3 * 1/'Raw Values'!$E3)</f>
        <v>158.3324493</v>
      </c>
      <c r="AC3" s="34">
        <f>SUM(H3 * 1/'Raw Values'!$E3)</f>
        <v>154.4617929</v>
      </c>
      <c r="AD3" s="34">
        <f>SUM(K3 * 1/'Raw Values'!$E3)</f>
        <v>148.8325023</v>
      </c>
      <c r="AE3" s="34">
        <f>SUM(Q3 * 1/'Raw Values'!$E3)</f>
        <v>138.1819153</v>
      </c>
    </row>
    <row r="4" ht="15.75" customHeight="1">
      <c r="A4" s="28" t="s">
        <v>120</v>
      </c>
      <c r="B4" s="30">
        <f>'Raw Values'!B4</f>
        <v>1.15</v>
      </c>
      <c r="C4" s="40">
        <f>'Raw Values'!C4</f>
        <v>38</v>
      </c>
      <c r="D4" s="34">
        <f>'Raw Values'!D4</f>
        <v>0.79</v>
      </c>
      <c r="E4" s="130"/>
      <c r="F4" s="34">
        <f>SUM('Raw Values'!$C4 * 'Raw Values'!$B4/2 * ('Raw Values'!$D4 ^ (100/500)))</f>
        <v>20.84379819</v>
      </c>
      <c r="G4" s="34">
        <f>SUM('Raw Values'!$C4 * 'Raw Values'!$B4/2 * ('Raw Values'!$D4 ^ (200/500)))</f>
        <v>19.88393239</v>
      </c>
      <c r="H4" s="34">
        <f>SUM('Raw Values'!$C4 * 'Raw Values'!$B4/2 * ('Raw Values'!$D4 ^ (300/500)))</f>
        <v>18.96826883</v>
      </c>
      <c r="I4" s="34">
        <f>SUM('Raw Values'!$C4 * 'Raw Values'!$B4/2 * ('Raw Values'!$D4 ^ (400/500)))</f>
        <v>18.09477196</v>
      </c>
      <c r="J4" s="34">
        <f>SUM('Raw Values'!$C4 * 'Raw Values'!$B4/2 * ('Raw Values'!$D4 ^ (500/500)))</f>
        <v>17.2615</v>
      </c>
      <c r="K4" s="34">
        <f>SUM('Raw Values'!$C4 * 'Raw Values'!$B4/2 * ('Raw Values'!$D4 ^ (600/500)))</f>
        <v>16.46660057</v>
      </c>
      <c r="L4" s="34">
        <f>SUM('Raw Values'!$C4 * 'Raw Values'!$B4/2 * ('Raw Values'!$D4 ^ (700/500)))</f>
        <v>15.70830659</v>
      </c>
      <c r="M4" s="34">
        <f>SUM('Raw Values'!$C4 * 'Raw Values'!$B4/2 * ('Raw Values'!$D4 ^ (800/500)))</f>
        <v>14.98493237</v>
      </c>
      <c r="N4" s="34">
        <f>SUM('Raw Values'!$C4 * 'Raw Values'!$B4/2 * ('Raw Values'!$D4 ^ (900/500)))</f>
        <v>14.29486985</v>
      </c>
      <c r="O4" s="34">
        <f>SUM('Raw Values'!$C4 * 'Raw Values'!$B4/2 * ('Raw Values'!$D4 ^ (1000/500)))</f>
        <v>13.636585</v>
      </c>
      <c r="P4" s="34">
        <f>SUM('Raw Values'!$C4 * 'Raw Values'!$B4/2 * ('Raw Values'!$D4 ^ (1100/500)))</f>
        <v>13.00861445</v>
      </c>
      <c r="Q4" s="34">
        <f>SUM('Raw Values'!$C4 * 'Raw Values'!$B4/2 * ('Raw Values'!$D4 ^ (1200/500)))</f>
        <v>12.40956221</v>
      </c>
      <c r="R4" s="34">
        <f>SUM('Raw Values'!$C4 * 'Raw Values'!$B4/2 * ('Raw Values'!$D4 ^ (1300/500)))</f>
        <v>11.83809658</v>
      </c>
      <c r="S4" s="34">
        <f>SUM('Raw Values'!$C4 * 'Raw Values'!$B4/2 * ('Raw Values'!$D4 ^ (1400/500)))</f>
        <v>11.29294718</v>
      </c>
      <c r="T4" s="34">
        <f>SUM('Raw Values'!$C4 * 'Raw Values'!$B4/2 * ('Raw Values'!$D4 ^ (1500/500)))</f>
        <v>10.77290215</v>
      </c>
      <c r="U4" s="130"/>
      <c r="V4" s="34">
        <f>SUM('Raw Values'!$C4 * 'Raw Values'!$B4/2 * ('Raw Values'!$D4 ^ (2000/500)))</f>
        <v>8.510592699</v>
      </c>
      <c r="W4" s="34">
        <f>SUM('Raw Values'!$C4 * 'Raw Values'!$B4/2 * ('Raw Values'!$D4 ^ (2500/500)))</f>
        <v>6.723368232</v>
      </c>
      <c r="X4" s="34">
        <f>SUM('Raw Values'!$C4 * 'Raw Values'!$B4/2 * ('Raw Values'!$D4 ^ (3000/500)))</f>
        <v>5.311460903</v>
      </c>
      <c r="Y4" s="130"/>
      <c r="Z4" s="34">
        <f>SUM(500*(log(50/(C4*4*B4/2))/log('Raw Values'!$D4)))</f>
        <v>1184.597719</v>
      </c>
      <c r="AA4" s="34" t="s">
        <v>209</v>
      </c>
      <c r="AB4" s="34">
        <f>SUM(F4 * 1/'Raw Values'!$E4)</f>
        <v>173.6983182</v>
      </c>
      <c r="AC4" s="34">
        <f>SUM(H4 * 1/'Raw Values'!$E4)</f>
        <v>158.0689069</v>
      </c>
      <c r="AD4" s="34">
        <f>SUM(K4 * 1/'Raw Values'!$E4)</f>
        <v>137.2216714</v>
      </c>
      <c r="AE4" s="34">
        <f>SUM(Q4 * 1/'Raw Values'!$E4)</f>
        <v>103.4130184</v>
      </c>
    </row>
    <row r="5" ht="15.75" customHeight="1">
      <c r="A5" s="61" t="s">
        <v>122</v>
      </c>
      <c r="B5" s="30">
        <f>'Raw Values'!B5</f>
        <v>1.823</v>
      </c>
      <c r="C5" s="40">
        <f>'Raw Values'!C5</f>
        <v>32</v>
      </c>
      <c r="D5" s="34">
        <f>'Raw Values'!D5</f>
        <v>0.81</v>
      </c>
      <c r="E5" s="130"/>
      <c r="F5" s="34">
        <f>SUM('Raw Values'!$C5 * 'Raw Values'!$B5/2 * ('Raw Values'!$D5 ^ (100/500)))</f>
        <v>27.96428084</v>
      </c>
      <c r="G5" s="34">
        <f>SUM('Raw Values'!$C5 * 'Raw Values'!$B5/2 * ('Raw Values'!$D5 ^ (200/500)))</f>
        <v>26.81023735</v>
      </c>
      <c r="H5" s="34">
        <f>SUM('Raw Values'!$C5 * 'Raw Values'!$B5/2 * ('Raw Values'!$D5 ^ (300/500)))</f>
        <v>25.70381949</v>
      </c>
      <c r="I5" s="34">
        <f>SUM('Raw Values'!$C5 * 'Raw Values'!$B5/2 * ('Raw Values'!$D5 ^ (400/500)))</f>
        <v>24.64306181</v>
      </c>
      <c r="J5" s="34">
        <f>SUM('Raw Values'!$C5 * 'Raw Values'!$B5/2 * ('Raw Values'!$D5 ^ (500/500)))</f>
        <v>23.62608</v>
      </c>
      <c r="K5" s="34">
        <f>SUM('Raw Values'!$C5 * 'Raw Values'!$B5/2 * ('Raw Values'!$D5 ^ (600/500)))</f>
        <v>22.65106748</v>
      </c>
      <c r="L5" s="34">
        <f>SUM('Raw Values'!$C5 * 'Raw Values'!$B5/2 * ('Raw Values'!$D5 ^ (700/500)))</f>
        <v>21.71629226</v>
      </c>
      <c r="M5" s="34">
        <f>SUM('Raw Values'!$C5 * 'Raw Values'!$B5/2 * ('Raw Values'!$D5 ^ (800/500)))</f>
        <v>20.82009379</v>
      </c>
      <c r="N5" s="34">
        <f>SUM('Raw Values'!$C5 * 'Raw Values'!$B5/2 * ('Raw Values'!$D5 ^ (900/500)))</f>
        <v>19.96088007</v>
      </c>
      <c r="O5" s="34">
        <f>SUM('Raw Values'!$C5 * 'Raw Values'!$B5/2 * ('Raw Values'!$D5 ^ (1000/500)))</f>
        <v>19.1371248</v>
      </c>
      <c r="P5" s="34">
        <f>SUM('Raw Values'!$C5 * 'Raw Values'!$B5/2 * ('Raw Values'!$D5 ^ (1100/500)))</f>
        <v>18.34736466</v>
      </c>
      <c r="Q5" s="34">
        <f>SUM('Raw Values'!$C5 * 'Raw Values'!$B5/2 * ('Raw Values'!$D5 ^ (1200/500)))</f>
        <v>17.59019673</v>
      </c>
      <c r="R5" s="34">
        <f>SUM('Raw Values'!$C5 * 'Raw Values'!$B5/2 * ('Raw Values'!$D5 ^ (1300/500)))</f>
        <v>16.86427597</v>
      </c>
      <c r="S5" s="34">
        <f>SUM('Raw Values'!$C5 * 'Raw Values'!$B5/2 * ('Raw Values'!$D5 ^ (1400/500)))</f>
        <v>16.16831286</v>
      </c>
      <c r="T5" s="34">
        <f>SUM('Raw Values'!$C5 * 'Raw Values'!$B5/2 * ('Raw Values'!$D5 ^ (1500/500)))</f>
        <v>15.50107109</v>
      </c>
      <c r="U5" s="130"/>
      <c r="V5" s="34">
        <f>SUM('Raw Values'!$C5 * 'Raw Values'!$B5/2 * ('Raw Values'!$D5 ^ (2000/500)))</f>
        <v>12.55586758</v>
      </c>
      <c r="W5" s="34">
        <f>SUM('Raw Values'!$C5 * 'Raw Values'!$B5/2 * ('Raw Values'!$D5 ^ (2500/500)))</f>
        <v>10.17025274</v>
      </c>
      <c r="X5" s="34">
        <f>SUM('Raw Values'!$C5 * 'Raw Values'!$B5/2 * ('Raw Values'!$D5 ^ (3000/500)))</f>
        <v>8.23790472</v>
      </c>
      <c r="Y5" s="130"/>
      <c r="Z5" s="34">
        <f>SUM(500*(log(50/(C5*4*B5/2))/log('Raw Values'!$D5)))</f>
        <v>2010.581403</v>
      </c>
      <c r="AA5" s="34">
        <f>SUM(500*(log(100/(C5*4*B5/2)))/log('Raw Values'!$D5))</f>
        <v>365.8780334</v>
      </c>
      <c r="AB5" s="34">
        <f>SUM(F5 * 1/'Raw Values'!$E5)</f>
        <v>186.428539</v>
      </c>
      <c r="AC5" s="34">
        <f>SUM(H5 * 1/'Raw Values'!$E5)</f>
        <v>171.3587966</v>
      </c>
      <c r="AD5" s="34">
        <f>SUM(K5 * 1/'Raw Values'!$E5)</f>
        <v>151.0071166</v>
      </c>
      <c r="AE5" s="34">
        <f>SUM(Q5 * 1/'Raw Values'!$E5)</f>
        <v>117.2679782</v>
      </c>
    </row>
    <row r="6" ht="15.75" customHeight="1">
      <c r="A6" s="66" t="s">
        <v>124</v>
      </c>
      <c r="B6" s="30">
        <f>'Raw Values'!B6</f>
        <v>0.94</v>
      </c>
      <c r="C6" s="40">
        <f>'Raw Values'!C6</f>
        <v>30</v>
      </c>
      <c r="D6" s="34">
        <f>'Raw Values'!D6</f>
        <v>0.85</v>
      </c>
      <c r="E6" s="130"/>
      <c r="F6" s="34">
        <f>SUM('Raw Values'!$C6 * 'Raw Values'!$B6/2 * ('Raw Values'!$D6 ^ (100/500)))</f>
        <v>13.64906487</v>
      </c>
      <c r="G6" s="34">
        <f>SUM('Raw Values'!$C6 * 'Raw Values'!$B6/2 * ('Raw Values'!$D6 ^ (200/500)))</f>
        <v>13.21255119</v>
      </c>
      <c r="H6" s="34">
        <f>SUM('Raw Values'!$C6 * 'Raw Values'!$B6/2 * ('Raw Values'!$D6 ^ (300/500)))</f>
        <v>12.78999775</v>
      </c>
      <c r="I6" s="34">
        <f>SUM('Raw Values'!$C6 * 'Raw Values'!$B6/2 * ('Raw Values'!$D6 ^ (400/500)))</f>
        <v>12.38095808</v>
      </c>
      <c r="J6" s="34">
        <f>SUM('Raw Values'!$C6 * 'Raw Values'!$B6/2 * ('Raw Values'!$D6 ^ (500/500)))</f>
        <v>11.985</v>
      </c>
      <c r="K6" s="34">
        <f>SUM('Raw Values'!$C6 * 'Raw Values'!$B6/2 * ('Raw Values'!$D6 ^ (600/500)))</f>
        <v>11.60170514</v>
      </c>
      <c r="L6" s="34">
        <f>SUM('Raw Values'!$C6 * 'Raw Values'!$B6/2 * ('Raw Values'!$D6 ^ (700/500)))</f>
        <v>11.23066851</v>
      </c>
      <c r="M6" s="34">
        <f>SUM('Raw Values'!$C6 * 'Raw Values'!$B6/2 * ('Raw Values'!$D6 ^ (800/500)))</f>
        <v>10.87149809</v>
      </c>
      <c r="N6" s="34">
        <f>SUM('Raw Values'!$C6 * 'Raw Values'!$B6/2 * ('Raw Values'!$D6 ^ (900/500)))</f>
        <v>10.52381437</v>
      </c>
      <c r="O6" s="34">
        <f>SUM('Raw Values'!$C6 * 'Raw Values'!$B6/2 * ('Raw Values'!$D6 ^ (1000/500)))</f>
        <v>10.18725</v>
      </c>
      <c r="P6" s="34">
        <f>SUM('Raw Values'!$C6 * 'Raw Values'!$B6/2 * ('Raw Values'!$D6 ^ (1100/500)))</f>
        <v>9.861449368</v>
      </c>
      <c r="Q6" s="34">
        <f>SUM('Raw Values'!$C6 * 'Raw Values'!$B6/2 * ('Raw Values'!$D6 ^ (1200/500)))</f>
        <v>9.546068235</v>
      </c>
      <c r="R6" s="34">
        <f>SUM('Raw Values'!$C6 * 'Raw Values'!$B6/2 * ('Raw Values'!$D6 ^ (1300/500)))</f>
        <v>9.240773374</v>
      </c>
      <c r="S6" s="34">
        <f>SUM('Raw Values'!$C6 * 'Raw Values'!$B6/2 * ('Raw Values'!$D6 ^ (1400/500)))</f>
        <v>8.945242214</v>
      </c>
      <c r="T6" s="34">
        <f>SUM('Raw Values'!$C6 * 'Raw Values'!$B6/2 * ('Raw Values'!$D6 ^ (1500/500)))</f>
        <v>8.6591625</v>
      </c>
      <c r="U6" s="130"/>
      <c r="V6" s="34">
        <f>SUM('Raw Values'!$C6 * 'Raw Values'!$B6/2 * ('Raw Values'!$D6 ^ (2000/500)))</f>
        <v>7.360288125</v>
      </c>
      <c r="W6" s="34">
        <f>SUM('Raw Values'!$C6 * 'Raw Values'!$B6/2 * ('Raw Values'!$D6 ^ (2500/500)))</f>
        <v>6.256244906</v>
      </c>
      <c r="X6" s="34">
        <f>SUM('Raw Values'!$C6 * 'Raw Values'!$B6/2 * ('Raw Values'!$D6 ^ (3000/500)))</f>
        <v>5.31780817</v>
      </c>
      <c r="Y6" s="130"/>
      <c r="Z6" s="34">
        <f>SUM(500*(log(50/(C6*4*B6/2))/log('Raw Values'!$D6)))</f>
        <v>370.5603816</v>
      </c>
      <c r="AA6" s="34" t="s">
        <v>209</v>
      </c>
      <c r="AB6" s="34">
        <f>SUM(F6 * 1/'Raw Values'!$E6)</f>
        <v>90.99376579</v>
      </c>
      <c r="AC6" s="34">
        <f>SUM(H6 * 1/'Raw Values'!$E6)</f>
        <v>85.26665167</v>
      </c>
      <c r="AD6" s="34">
        <f>SUM(K6 * 1/'Raw Values'!$E6)</f>
        <v>77.34470092</v>
      </c>
      <c r="AE6" s="34">
        <f>SUM(Q6 * 1/'Raw Values'!$E6)</f>
        <v>63.6404549</v>
      </c>
    </row>
    <row r="7" ht="15.75" customHeight="1">
      <c r="A7" s="61" t="s">
        <v>125</v>
      </c>
      <c r="B7" s="30">
        <f>'Raw Values'!B7</f>
        <v>1.01</v>
      </c>
      <c r="C7" s="40">
        <f>'Raw Values'!C7</f>
        <v>35</v>
      </c>
      <c r="D7" s="34">
        <f>'Raw Values'!D7</f>
        <v>0.91</v>
      </c>
      <c r="E7" s="130"/>
      <c r="F7" s="34">
        <f>SUM('Raw Values'!$C7 * 'Raw Values'!$B7/2 * ('Raw Values'!$D7 ^ (100/500)))</f>
        <v>17.34473628</v>
      </c>
      <c r="G7" s="34">
        <f>SUM('Raw Values'!$C7 * 'Raw Values'!$B7/2 * ('Raw Values'!$D7 ^ (200/500)))</f>
        <v>17.02064365</v>
      </c>
      <c r="H7" s="34">
        <f>SUM('Raw Values'!$C7 * 'Raw Values'!$B7/2 * ('Raw Values'!$D7 ^ (300/500)))</f>
        <v>16.70260682</v>
      </c>
      <c r="I7" s="34">
        <f>SUM('Raw Values'!$C7 * 'Raw Values'!$B7/2 * ('Raw Values'!$D7 ^ (400/500)))</f>
        <v>16.39051261</v>
      </c>
      <c r="J7" s="34">
        <f>SUM('Raw Values'!$C7 * 'Raw Values'!$B7/2 * ('Raw Values'!$D7 ^ (500/500)))</f>
        <v>16.08425</v>
      </c>
      <c r="K7" s="34">
        <f>SUM('Raw Values'!$C7 * 'Raw Values'!$B7/2 * ('Raw Values'!$D7 ^ (600/500)))</f>
        <v>15.78371001</v>
      </c>
      <c r="L7" s="34">
        <f>SUM('Raw Values'!$C7 * 'Raw Values'!$B7/2 * ('Raw Values'!$D7 ^ (700/500)))</f>
        <v>15.48878573</v>
      </c>
      <c r="M7" s="34">
        <f>SUM('Raw Values'!$C7 * 'Raw Values'!$B7/2 * ('Raw Values'!$D7 ^ (800/500)))</f>
        <v>15.1993722</v>
      </c>
      <c r="N7" s="34">
        <f>SUM('Raw Values'!$C7 * 'Raw Values'!$B7/2 * ('Raw Values'!$D7 ^ (900/500)))</f>
        <v>14.91536648</v>
      </c>
      <c r="O7" s="34">
        <f>SUM('Raw Values'!$C7 * 'Raw Values'!$B7/2 * ('Raw Values'!$D7 ^ (1000/500)))</f>
        <v>14.6366675</v>
      </c>
      <c r="P7" s="34">
        <f>SUM('Raw Values'!$C7 * 'Raw Values'!$B7/2 * ('Raw Values'!$D7 ^ (1100/500)))</f>
        <v>14.36317611</v>
      </c>
      <c r="Q7" s="34">
        <f>SUM('Raw Values'!$C7 * 'Raw Values'!$B7/2 * ('Raw Values'!$D7 ^ (1200/500)))</f>
        <v>14.09479501</v>
      </c>
      <c r="R7" s="34">
        <f>SUM('Raw Values'!$C7 * 'Raw Values'!$B7/2 * ('Raw Values'!$D7 ^ (1300/500)))</f>
        <v>13.83142871</v>
      </c>
      <c r="S7" s="34">
        <f>SUM('Raw Values'!$C7 * 'Raw Values'!$B7/2 * ('Raw Values'!$D7 ^ (1400/500)))</f>
        <v>13.57298349</v>
      </c>
      <c r="T7" s="34">
        <f>SUM('Raw Values'!$C7 * 'Raw Values'!$B7/2 * ('Raw Values'!$D7 ^ (1500/500)))</f>
        <v>13.31936743</v>
      </c>
      <c r="U7" s="130"/>
      <c r="V7" s="34">
        <f>SUM('Raw Values'!$C7 * 'Raw Values'!$B7/2 * ('Raw Values'!$D7 ^ (2000/500)))</f>
        <v>12.12062436</v>
      </c>
      <c r="W7" s="34">
        <f>SUM('Raw Values'!$C7 * 'Raw Values'!$B7/2 * ('Raw Values'!$D7 ^ (2500/500)))</f>
        <v>11.02976816</v>
      </c>
      <c r="X7" s="34">
        <f>SUM('Raw Values'!$C7 * 'Raw Values'!$B7/2 * ('Raw Values'!$D7 ^ (3000/500)))</f>
        <v>10.03708903</v>
      </c>
      <c r="Y7" s="130"/>
      <c r="Z7" s="34">
        <f>SUM(500*(log(50/(C7*4*B7/2))/log('Raw Values'!$D7)))</f>
        <v>1836.603073</v>
      </c>
      <c r="AA7" s="34" t="s">
        <v>209</v>
      </c>
      <c r="AB7" s="34">
        <f>SUM(F7 * 1/'Raw Values'!$E7)</f>
        <v>102.0278605</v>
      </c>
      <c r="AC7" s="34">
        <f>SUM(H7 * 1/'Raw Values'!$E7)</f>
        <v>98.25062834</v>
      </c>
      <c r="AD7" s="34">
        <f>SUM(K7 * 1/'Raw Values'!$E7)</f>
        <v>92.84535302</v>
      </c>
      <c r="AE7" s="34">
        <f>SUM(Q7 * 1/'Raw Values'!$E7)</f>
        <v>82.91055889</v>
      </c>
    </row>
    <row r="8" ht="15.75" customHeight="1">
      <c r="A8" s="61" t="s">
        <v>127</v>
      </c>
      <c r="B8" s="30">
        <f>'Raw Values'!B8</f>
        <v>1.01</v>
      </c>
      <c r="C8" s="40">
        <f>'Raw Values'!C8</f>
        <v>35</v>
      </c>
      <c r="D8" s="34">
        <f>'Raw Values'!D8</f>
        <v>0.91</v>
      </c>
      <c r="E8" s="130"/>
      <c r="F8" s="34">
        <f>SUM('Raw Values'!$C8 * 'Raw Values'!$B8/2 * ('Raw Values'!$D8 ^ (100/500)))</f>
        <v>17.34473628</v>
      </c>
      <c r="G8" s="34">
        <f>SUM('Raw Values'!$C8 * 'Raw Values'!$B8/2 * ('Raw Values'!$D8 ^ (200/500)))</f>
        <v>17.02064365</v>
      </c>
      <c r="H8" s="34">
        <f>SUM('Raw Values'!$C8 * 'Raw Values'!$B8/2 * ('Raw Values'!$D8 ^ (300/500)))</f>
        <v>16.70260682</v>
      </c>
      <c r="I8" s="34">
        <f>SUM('Raw Values'!$C8 * 'Raw Values'!$B8/2 * ('Raw Values'!$D8 ^ (400/500)))</f>
        <v>16.39051261</v>
      </c>
      <c r="J8" s="34">
        <f>SUM('Raw Values'!$C8 * 'Raw Values'!$B8/2 * ('Raw Values'!$D8 ^ (500/500)))</f>
        <v>16.08425</v>
      </c>
      <c r="K8" s="34">
        <f>SUM('Raw Values'!$C8 * 'Raw Values'!$B8/2 * ('Raw Values'!$D8 ^ (600/500)))</f>
        <v>15.78371001</v>
      </c>
      <c r="L8" s="34">
        <f>SUM('Raw Values'!$C8 * 'Raw Values'!$B8/2 * ('Raw Values'!$D8 ^ (700/500)))</f>
        <v>15.48878573</v>
      </c>
      <c r="M8" s="34">
        <f>SUM('Raw Values'!$C8 * 'Raw Values'!$B8/2 * ('Raw Values'!$D8 ^ (800/500)))</f>
        <v>15.1993722</v>
      </c>
      <c r="N8" s="34">
        <f>SUM('Raw Values'!$C8 * 'Raw Values'!$B8/2 * ('Raw Values'!$D8 ^ (900/500)))</f>
        <v>14.91536648</v>
      </c>
      <c r="O8" s="34">
        <f>SUM('Raw Values'!$C8 * 'Raw Values'!$B8/2 * ('Raw Values'!$D8 ^ (1000/500)))</f>
        <v>14.6366675</v>
      </c>
      <c r="P8" s="34">
        <f>SUM('Raw Values'!$C8 * 'Raw Values'!$B8/2 * ('Raw Values'!$D8 ^ (1100/500)))</f>
        <v>14.36317611</v>
      </c>
      <c r="Q8" s="34">
        <f>SUM('Raw Values'!$C8 * 'Raw Values'!$B8/2 * ('Raw Values'!$D8 ^ (1200/500)))</f>
        <v>14.09479501</v>
      </c>
      <c r="R8" s="34">
        <f>SUM('Raw Values'!$C8 * 'Raw Values'!$B8/2 * ('Raw Values'!$D8 ^ (1300/500)))</f>
        <v>13.83142871</v>
      </c>
      <c r="S8" s="34">
        <f>SUM('Raw Values'!$C8 * 'Raw Values'!$B8/2 * ('Raw Values'!$D8 ^ (1400/500)))</f>
        <v>13.57298349</v>
      </c>
      <c r="T8" s="34">
        <f>SUM('Raw Values'!$C8 * 'Raw Values'!$B8/2 * ('Raw Values'!$D8 ^ (1500/500)))</f>
        <v>13.31936743</v>
      </c>
      <c r="U8" s="130"/>
      <c r="V8" s="34">
        <f>SUM('Raw Values'!$C8 * 'Raw Values'!$B8/2 * ('Raw Values'!$D8 ^ (2000/500)))</f>
        <v>12.12062436</v>
      </c>
      <c r="W8" s="34">
        <f>SUM('Raw Values'!$C8 * 'Raw Values'!$B8/2 * ('Raw Values'!$D8 ^ (2500/500)))</f>
        <v>11.02976816</v>
      </c>
      <c r="X8" s="34">
        <f>SUM('Raw Values'!$C8 * 'Raw Values'!$B8/2 * ('Raw Values'!$D8 ^ (3000/500)))</f>
        <v>10.03708903</v>
      </c>
      <c r="Y8" s="130"/>
      <c r="Z8" s="34">
        <f>SUM(500*(log(50/(C8*4*B8/2))/log('Raw Values'!$D8)))</f>
        <v>1836.603073</v>
      </c>
      <c r="AA8" s="34" t="s">
        <v>209</v>
      </c>
      <c r="AB8" s="34">
        <f>SUM(F8 * 1/'Raw Values'!$E8)</f>
        <v>102.0278605</v>
      </c>
      <c r="AC8" s="34">
        <f>SUM(H8 * 1/'Raw Values'!$E8)</f>
        <v>98.25062834</v>
      </c>
      <c r="AD8" s="34">
        <f>SUM(K8 * 1/'Raw Values'!$E8)</f>
        <v>92.84535302</v>
      </c>
      <c r="AE8" s="34">
        <f>SUM(Q8 * 1/'Raw Values'!$E8)</f>
        <v>82.91055889</v>
      </c>
    </row>
    <row r="9" ht="15.75" customHeight="1">
      <c r="A9" s="28" t="s">
        <v>129</v>
      </c>
      <c r="B9" s="30">
        <f>'Raw Values'!B9</f>
        <v>1.28</v>
      </c>
      <c r="C9" s="40">
        <f>'Raw Values'!C9</f>
        <v>38</v>
      </c>
      <c r="D9" s="34">
        <f>'Raw Values'!D9</f>
        <v>0.9</v>
      </c>
      <c r="E9" s="130"/>
      <c r="F9" s="34">
        <f>SUM('Raw Values'!$C9 * 'Raw Values'!$B9/2 * ('Raw Values'!$D9 ^ (100/500)))</f>
        <v>23.81288817</v>
      </c>
      <c r="G9" s="34">
        <f>SUM('Raw Values'!$C9 * 'Raw Values'!$B9/2 * ('Raw Values'!$D9 ^ (200/500)))</f>
        <v>23.31635046</v>
      </c>
      <c r="H9" s="34">
        <f>SUM('Raw Values'!$C9 * 'Raw Values'!$B9/2 * ('Raw Values'!$D9 ^ (300/500)))</f>
        <v>22.83016637</v>
      </c>
      <c r="I9" s="34">
        <f>SUM('Raw Values'!$C9 * 'Raw Values'!$B9/2 * ('Raw Values'!$D9 ^ (400/500)))</f>
        <v>22.35412001</v>
      </c>
      <c r="J9" s="34">
        <f>SUM('Raw Values'!$C9 * 'Raw Values'!$B9/2 * ('Raw Values'!$D9 ^ (500/500)))</f>
        <v>21.888</v>
      </c>
      <c r="K9" s="34">
        <f>SUM('Raw Values'!$C9 * 'Raw Values'!$B9/2 * ('Raw Values'!$D9 ^ (600/500)))</f>
        <v>21.43159936</v>
      </c>
      <c r="L9" s="34">
        <f>SUM('Raw Values'!$C9 * 'Raw Values'!$B9/2 * ('Raw Values'!$D9 ^ (700/500)))</f>
        <v>20.98471541</v>
      </c>
      <c r="M9" s="34">
        <f>SUM('Raw Values'!$C9 * 'Raw Values'!$B9/2 * ('Raw Values'!$D9 ^ (800/500)))</f>
        <v>20.54714973</v>
      </c>
      <c r="N9" s="34">
        <f>SUM('Raw Values'!$C9 * 'Raw Values'!$B9/2 * ('Raw Values'!$D9 ^ (900/500)))</f>
        <v>20.11870801</v>
      </c>
      <c r="O9" s="34">
        <f>SUM('Raw Values'!$C9 * 'Raw Values'!$B9/2 * ('Raw Values'!$D9 ^ (1000/500)))</f>
        <v>19.6992</v>
      </c>
      <c r="P9" s="34">
        <f>SUM('Raw Values'!$C9 * 'Raw Values'!$B9/2 * ('Raw Values'!$D9 ^ (1100/500)))</f>
        <v>19.28843942</v>
      </c>
      <c r="Q9" s="34">
        <f>SUM('Raw Values'!$C9 * 'Raw Values'!$B9/2 * ('Raw Values'!$D9 ^ (1200/500)))</f>
        <v>18.88624387</v>
      </c>
      <c r="R9" s="34">
        <f>SUM('Raw Values'!$C9 * 'Raw Values'!$B9/2 * ('Raw Values'!$D9 ^ (1300/500)))</f>
        <v>18.49243476</v>
      </c>
      <c r="S9" s="34">
        <f>SUM('Raw Values'!$C9 * 'Raw Values'!$B9/2 * ('Raw Values'!$D9 ^ (1400/500)))</f>
        <v>18.10683721</v>
      </c>
      <c r="T9" s="34">
        <f>SUM('Raw Values'!$C9 * 'Raw Values'!$B9/2 * ('Raw Values'!$D9 ^ (1500/500)))</f>
        <v>17.72928</v>
      </c>
      <c r="U9" s="130"/>
      <c r="V9" s="34">
        <f>SUM('Raw Values'!$C9 * 'Raw Values'!$B9/2 * ('Raw Values'!$D9 ^ (2000/500)))</f>
        <v>15.956352</v>
      </c>
      <c r="W9" s="34">
        <f>SUM('Raw Values'!$C9 * 'Raw Values'!$B9/2 * ('Raw Values'!$D9 ^ (2500/500)))</f>
        <v>14.3607168</v>
      </c>
      <c r="X9" s="34">
        <f>SUM('Raw Values'!$C9 * 'Raw Values'!$B9/2 * ('Raw Values'!$D9 ^ (3000/500)))</f>
        <v>12.92464512</v>
      </c>
      <c r="Y9" s="130"/>
      <c r="Z9" s="34">
        <f>SUM(500*(log(50/(C9*4*B9/2))/log('Raw Values'!$D9)))</f>
        <v>3158.538133</v>
      </c>
      <c r="AA9" s="34" t="s">
        <v>209</v>
      </c>
      <c r="AB9" s="34">
        <f>SUM(F9 * 1/'Raw Values'!$E9)</f>
        <v>158.7525878</v>
      </c>
      <c r="AC9" s="34">
        <f>SUM(H9 * 1/'Raw Values'!$E9)</f>
        <v>152.2011091</v>
      </c>
      <c r="AD9" s="34">
        <f>SUM(K9 * 1/'Raw Values'!$E9)</f>
        <v>142.877329</v>
      </c>
      <c r="AE9" s="34">
        <f>SUM(Q9 * 1/'Raw Values'!$E9)</f>
        <v>125.9082925</v>
      </c>
    </row>
    <row r="10" ht="15.75" customHeight="1">
      <c r="A10" s="28" t="s">
        <v>131</v>
      </c>
      <c r="B10" s="30">
        <f>'Raw Values'!B10</f>
        <v>1.553</v>
      </c>
      <c r="C10" s="40">
        <f>'Raw Values'!C10</f>
        <v>31</v>
      </c>
      <c r="D10" s="34">
        <f>'Raw Values'!D10</f>
        <v>0.85</v>
      </c>
      <c r="E10" s="130"/>
      <c r="F10" s="34">
        <f>SUM('Raw Values'!$C10 * 'Raw Values'!$B10/2 * ('Raw Values'!$D10 ^ (100/500)))</f>
        <v>23.30166418</v>
      </c>
      <c r="G10" s="34">
        <f>SUM('Raw Values'!$C10 * 'Raw Values'!$B10/2 * ('Raw Values'!$D10 ^ (200/500)))</f>
        <v>22.55644865</v>
      </c>
      <c r="H10" s="34">
        <f>SUM('Raw Values'!$C10 * 'Raw Values'!$B10/2 * ('Raw Values'!$D10 ^ (300/500)))</f>
        <v>21.83506602</v>
      </c>
      <c r="I10" s="34">
        <f>SUM('Raw Values'!$C10 * 'Raw Values'!$B10/2 * ('Raw Values'!$D10 ^ (400/500)))</f>
        <v>21.13675408</v>
      </c>
      <c r="J10" s="34">
        <f>SUM('Raw Values'!$C10 * 'Raw Values'!$B10/2 * ('Raw Values'!$D10 ^ (500/500)))</f>
        <v>20.460775</v>
      </c>
      <c r="K10" s="34">
        <f>SUM('Raw Values'!$C10 * 'Raw Values'!$B10/2 * ('Raw Values'!$D10 ^ (600/500)))</f>
        <v>19.80641456</v>
      </c>
      <c r="L10" s="34">
        <f>SUM('Raw Values'!$C10 * 'Raw Values'!$B10/2 * ('Raw Values'!$D10 ^ (700/500)))</f>
        <v>19.17298135</v>
      </c>
      <c r="M10" s="34">
        <f>SUM('Raw Values'!$C10 * 'Raw Values'!$B10/2 * ('Raw Values'!$D10 ^ (800/500)))</f>
        <v>18.55980611</v>
      </c>
      <c r="N10" s="34">
        <f>SUM('Raw Values'!$C10 * 'Raw Values'!$B10/2 * ('Raw Values'!$D10 ^ (900/500)))</f>
        <v>17.96624096</v>
      </c>
      <c r="O10" s="34">
        <f>SUM('Raw Values'!$C10 * 'Raw Values'!$B10/2 * ('Raw Values'!$D10 ^ (1000/500)))</f>
        <v>17.39165875</v>
      </c>
      <c r="P10" s="34">
        <f>SUM('Raw Values'!$C10 * 'Raw Values'!$B10/2 * ('Raw Values'!$D10 ^ (1100/500)))</f>
        <v>16.83545237</v>
      </c>
      <c r="Q10" s="34">
        <f>SUM('Raw Values'!$C10 * 'Raw Values'!$B10/2 * ('Raw Values'!$D10 ^ (1200/500)))</f>
        <v>16.29703415</v>
      </c>
      <c r="R10" s="34">
        <f>SUM('Raw Values'!$C10 * 'Raw Values'!$B10/2 * ('Raw Values'!$D10 ^ (1300/500)))</f>
        <v>15.7758352</v>
      </c>
      <c r="S10" s="34">
        <f>SUM('Raw Values'!$C10 * 'Raw Values'!$B10/2 * ('Raw Values'!$D10 ^ (1400/500)))</f>
        <v>15.27130482</v>
      </c>
      <c r="T10" s="34">
        <f>SUM('Raw Values'!$C10 * 'Raw Values'!$B10/2 * ('Raw Values'!$D10 ^ (1500/500)))</f>
        <v>14.78290994</v>
      </c>
      <c r="U10" s="130"/>
      <c r="V10" s="34">
        <f>SUM('Raw Values'!$C10 * 'Raw Values'!$B10/2 * ('Raw Values'!$D10 ^ (2000/500)))</f>
        <v>12.56547345</v>
      </c>
      <c r="W10" s="34">
        <f>SUM('Raw Values'!$C10 * 'Raw Values'!$B10/2 * ('Raw Values'!$D10 ^ (2500/500)))</f>
        <v>10.68065243</v>
      </c>
      <c r="X10" s="34">
        <f>SUM('Raw Values'!$C10 * 'Raw Values'!$B10/2 * ('Raw Values'!$D10 ^ (3000/500)))</f>
        <v>9.078554565</v>
      </c>
      <c r="Y10" s="130"/>
      <c r="Z10" s="34">
        <f>SUM(500*(log(50/(C10*4*B10/2))/log('Raw Values'!$D10)))</f>
        <v>2016.072607</v>
      </c>
      <c r="AA10" s="34" t="s">
        <v>209</v>
      </c>
      <c r="AB10" s="34">
        <f>SUM(F10 * 1/'Raw Values'!$E10)</f>
        <v>233.0166418</v>
      </c>
      <c r="AC10" s="34">
        <f>SUM(H10 * 1/'Raw Values'!$E10)</f>
        <v>218.3506602</v>
      </c>
      <c r="AD10" s="34">
        <f>SUM(K10 * 1/'Raw Values'!$E10)</f>
        <v>198.0641456</v>
      </c>
      <c r="AE10" s="34">
        <f>SUM(Q10 * 1/'Raw Values'!$E10)</f>
        <v>162.9703415</v>
      </c>
    </row>
    <row r="11" ht="15.75" customHeight="1">
      <c r="A11" s="66" t="s">
        <v>132</v>
      </c>
      <c r="B11" s="30">
        <f>'Raw Values'!B11</f>
        <v>1.812</v>
      </c>
      <c r="C11" s="40">
        <f>'Raw Values'!C11</f>
        <v>33</v>
      </c>
      <c r="D11" s="34">
        <f>'Raw Values'!D11</f>
        <v>0.79</v>
      </c>
      <c r="E11" s="130"/>
      <c r="F11" s="34">
        <f>SUM('Raw Values'!$C11 * 'Raw Values'!$B11/2 * ('Raw Values'!$D11 ^ (100/500)))</f>
        <v>28.52118435</v>
      </c>
      <c r="G11" s="34">
        <f>SUM('Raw Values'!$C11 * 'Raw Values'!$B11/2 * ('Raw Values'!$D11 ^ (200/500)))</f>
        <v>27.20777166</v>
      </c>
      <c r="H11" s="34">
        <f>SUM('Raw Values'!$C11 * 'Raw Values'!$B11/2 * ('Raw Values'!$D11 ^ (300/500)))</f>
        <v>25.95484217</v>
      </c>
      <c r="I11" s="34">
        <f>SUM('Raw Values'!$C11 * 'Raw Values'!$B11/2 * ('Raw Values'!$D11 ^ (400/500)))</f>
        <v>24.75961062</v>
      </c>
      <c r="J11" s="34">
        <f>SUM('Raw Values'!$C11 * 'Raw Values'!$B11/2 * ('Raw Values'!$D11 ^ (500/500)))</f>
        <v>23.61942</v>
      </c>
      <c r="K11" s="34">
        <f>SUM('Raw Values'!$C11 * 'Raw Values'!$B11/2 * ('Raw Values'!$D11 ^ (600/500)))</f>
        <v>22.53173564</v>
      </c>
      <c r="L11" s="34">
        <f>SUM('Raw Values'!$C11 * 'Raw Values'!$B11/2 * ('Raw Values'!$D11 ^ (700/500)))</f>
        <v>21.49413961</v>
      </c>
      <c r="M11" s="34">
        <f>SUM('Raw Values'!$C11 * 'Raw Values'!$B11/2 * ('Raw Values'!$D11 ^ (800/500)))</f>
        <v>20.50432532</v>
      </c>
      <c r="N11" s="34">
        <f>SUM('Raw Values'!$C11 * 'Raw Values'!$B11/2 * ('Raw Values'!$D11 ^ (900/500)))</f>
        <v>19.56009239</v>
      </c>
      <c r="O11" s="34">
        <f>SUM('Raw Values'!$C11 * 'Raw Values'!$B11/2 * ('Raw Values'!$D11 ^ (1000/500)))</f>
        <v>18.6593418</v>
      </c>
      <c r="P11" s="34">
        <f>SUM('Raw Values'!$C11 * 'Raw Values'!$B11/2 * ('Raw Values'!$D11 ^ (1100/500)))</f>
        <v>17.80007116</v>
      </c>
      <c r="Q11" s="34">
        <f>SUM('Raw Values'!$C11 * 'Raw Values'!$B11/2 * ('Raw Values'!$D11 ^ (1200/500)))</f>
        <v>16.98037029</v>
      </c>
      <c r="R11" s="34">
        <f>SUM('Raw Values'!$C11 * 'Raw Values'!$B11/2 * ('Raw Values'!$D11 ^ (1300/500)))</f>
        <v>16.198417</v>
      </c>
      <c r="S11" s="34">
        <f>SUM('Raw Values'!$C11 * 'Raw Values'!$B11/2 * ('Raw Values'!$D11 ^ (1400/500)))</f>
        <v>15.45247299</v>
      </c>
      <c r="T11" s="34">
        <f>SUM('Raw Values'!$C11 * 'Raw Values'!$B11/2 * ('Raw Values'!$D11 ^ (1500/500)))</f>
        <v>14.74088002</v>
      </c>
      <c r="U11" s="130"/>
      <c r="V11" s="34">
        <f>SUM('Raw Values'!$C11 * 'Raw Values'!$B11/2 * ('Raw Values'!$D11 ^ (2000/500)))</f>
        <v>11.64529522</v>
      </c>
      <c r="W11" s="34">
        <f>SUM('Raw Values'!$C11 * 'Raw Values'!$B11/2 * ('Raw Values'!$D11 ^ (2500/500)))</f>
        <v>9.199783222</v>
      </c>
      <c r="X11" s="34">
        <f>SUM('Raw Values'!$C11 * 'Raw Values'!$B11/2 * ('Raw Values'!$D11 ^ (3000/500)))</f>
        <v>7.267828745</v>
      </c>
      <c r="Y11" s="130"/>
      <c r="Z11" s="34">
        <f>SUM(500*(log(50/(C11*4*B11/2))/log('Raw Values'!$D11)))</f>
        <v>1849.767333</v>
      </c>
      <c r="AA11" s="34">
        <f>SUM(500*(log(100/(C11*4*B11/2)))/log('Raw Values'!$D11))</f>
        <v>379.5053294</v>
      </c>
      <c r="AB11" s="34">
        <f>SUM(F11 * 1/'Raw Values'!$E11)</f>
        <v>237.6765363</v>
      </c>
      <c r="AC11" s="34">
        <f>SUM(H11 * 1/'Raw Values'!$E11)</f>
        <v>216.2903514</v>
      </c>
      <c r="AD11" s="34">
        <f>SUM(K11 * 1/'Raw Values'!$E11)</f>
        <v>187.7644637</v>
      </c>
      <c r="AE11" s="34">
        <f>SUM(Q11 * 1/'Raw Values'!$E11)</f>
        <v>141.5030858</v>
      </c>
    </row>
    <row r="12" ht="15.75" customHeight="1">
      <c r="A12" s="75"/>
      <c r="B12" s="76"/>
      <c r="C12" s="163"/>
      <c r="D12" s="79"/>
      <c r="E12" s="133"/>
      <c r="F12" s="75"/>
      <c r="G12" s="75"/>
      <c r="H12" s="75"/>
      <c r="I12" s="75"/>
      <c r="J12" s="75"/>
      <c r="K12" s="75"/>
      <c r="L12" s="75"/>
      <c r="M12" s="75"/>
      <c r="N12" s="75"/>
      <c r="O12" s="75"/>
      <c r="P12" s="75"/>
      <c r="Q12" s="75"/>
      <c r="R12" s="75"/>
      <c r="S12" s="75"/>
      <c r="T12" s="75"/>
      <c r="U12" s="164"/>
      <c r="V12" s="75"/>
      <c r="W12" s="75"/>
      <c r="X12" s="75"/>
      <c r="Y12" s="133"/>
      <c r="Z12" s="79"/>
      <c r="AA12" s="79"/>
      <c r="AB12" s="79"/>
      <c r="AC12" s="79"/>
      <c r="AD12" s="79"/>
      <c r="AE12" s="79"/>
    </row>
    <row r="13" ht="15.75" customHeight="1">
      <c r="A13" s="5" t="s">
        <v>135</v>
      </c>
      <c r="B13" s="8" t="s">
        <v>246</v>
      </c>
      <c r="C13" s="161" t="s">
        <v>15</v>
      </c>
      <c r="D13" s="9" t="s">
        <v>18</v>
      </c>
      <c r="E13" s="158"/>
      <c r="F13" s="7" t="s">
        <v>223</v>
      </c>
      <c r="G13" s="7" t="s">
        <v>224</v>
      </c>
      <c r="H13" s="7" t="s">
        <v>225</v>
      </c>
      <c r="I13" s="7" t="s">
        <v>226</v>
      </c>
      <c r="J13" s="7" t="s">
        <v>227</v>
      </c>
      <c r="K13" s="7" t="s">
        <v>228</v>
      </c>
      <c r="L13" s="7" t="s">
        <v>229</v>
      </c>
      <c r="M13" s="7" t="s">
        <v>230</v>
      </c>
      <c r="N13" s="7" t="s">
        <v>231</v>
      </c>
      <c r="O13" s="7" t="s">
        <v>232</v>
      </c>
      <c r="P13" s="7" t="s">
        <v>233</v>
      </c>
      <c r="Q13" s="7" t="s">
        <v>234</v>
      </c>
      <c r="R13" s="7" t="s">
        <v>235</v>
      </c>
      <c r="S13" s="7" t="s">
        <v>236</v>
      </c>
      <c r="T13" s="7" t="s">
        <v>237</v>
      </c>
      <c r="U13" s="165"/>
      <c r="V13" s="159" t="s">
        <v>238</v>
      </c>
      <c r="W13" s="159" t="s">
        <v>239</v>
      </c>
      <c r="X13" s="159" t="s">
        <v>240</v>
      </c>
      <c r="Y13" s="125"/>
      <c r="Z13" s="9" t="s">
        <v>247</v>
      </c>
      <c r="AA13" s="7" t="s">
        <v>241</v>
      </c>
      <c r="AB13" s="9" t="s">
        <v>242</v>
      </c>
      <c r="AC13" s="9" t="s">
        <v>243</v>
      </c>
      <c r="AD13" s="9" t="s">
        <v>244</v>
      </c>
      <c r="AE13" s="9" t="s">
        <v>245</v>
      </c>
    </row>
    <row r="14" ht="15.75" customHeight="1">
      <c r="A14" s="61" t="s">
        <v>137</v>
      </c>
      <c r="B14" s="30">
        <f>'Raw Values'!B14</f>
        <v>1.5</v>
      </c>
      <c r="C14" s="40">
        <f>'Raw Values'!C14</f>
        <v>30</v>
      </c>
      <c r="D14" s="34">
        <f>'Raw Values'!D14</f>
        <v>0.45</v>
      </c>
      <c r="E14" s="130"/>
      <c r="F14" s="34">
        <f>SUM('Raw Values'!$C14 * 'Raw Values'!$B14/2 * ('Raw Values'!$D14 ^ (100/500)))</f>
        <v>19.17895856</v>
      </c>
      <c r="G14" s="34">
        <f>SUM('Raw Values'!$C14 * 'Raw Values'!$B14/2 * ('Raw Values'!$D14 ^ (200/500)))</f>
        <v>16.34810896</v>
      </c>
      <c r="H14" s="34">
        <f>SUM('Raw Values'!$C14 * 'Raw Values'!$B14/2 * ('Raw Values'!$D14 ^ (300/500)))</f>
        <v>13.93509797</v>
      </c>
      <c r="I14" s="34">
        <f>SUM('Raw Values'!$C14 * 'Raw Values'!$B14/2 * ('Raw Values'!$D14 ^ (400/500)))</f>
        <v>11.87825185</v>
      </c>
      <c r="J14" s="34">
        <f>SUM('Raw Values'!$C14 * 'Raw Values'!$B14/2 * ('Raw Values'!$D14 ^ (500/500)))</f>
        <v>10.125</v>
      </c>
      <c r="K14" s="34">
        <f>SUM('Raw Values'!$C14 * 'Raw Values'!$B14/2 * ('Raw Values'!$D14 ^ (600/500)))</f>
        <v>8.630531354</v>
      </c>
      <c r="L14" s="34">
        <f>SUM('Raw Values'!$C14 * 'Raw Values'!$B14/2 * ('Raw Values'!$D14 ^ (700/500)))</f>
        <v>7.356649032</v>
      </c>
      <c r="M14" s="34">
        <f>SUM('Raw Values'!$C14 * 'Raw Values'!$B14/2 * ('Raw Values'!$D14 ^ (800/500)))</f>
        <v>6.270794087</v>
      </c>
      <c r="N14" s="34">
        <f>SUM('Raw Values'!$C14 * 'Raw Values'!$B14/2 * ('Raw Values'!$D14 ^ (900/500)))</f>
        <v>5.345213331</v>
      </c>
      <c r="O14" s="34">
        <f>SUM('Raw Values'!$C14 * 'Raw Values'!$B14/2 * ('Raw Values'!$D14 ^ (1000/500)))</f>
        <v>4.55625</v>
      </c>
      <c r="P14" s="34">
        <f>SUM('Raw Values'!$C14 * 'Raw Values'!$B14/2 * ('Raw Values'!$D14 ^ (1100/500)))</f>
        <v>3.883739109</v>
      </c>
      <c r="Q14" s="34">
        <f>SUM('Raw Values'!$C14 * 'Raw Values'!$B14/2 * ('Raw Values'!$D14 ^ (1200/500)))</f>
        <v>3.310492064</v>
      </c>
      <c r="R14" s="34">
        <f>SUM('Raw Values'!$C14 * 'Raw Values'!$B14/2 * ('Raw Values'!$D14 ^ (1300/500)))</f>
        <v>2.821857339</v>
      </c>
      <c r="S14" s="34">
        <f>SUM('Raw Values'!$C14 * 'Raw Values'!$B14/2 * ('Raw Values'!$D14 ^ (1400/500)))</f>
        <v>2.405345999</v>
      </c>
      <c r="T14" s="34">
        <f>SUM('Raw Values'!$C14 * 'Raw Values'!$B14/2 * ('Raw Values'!$D14 ^ (1500/500)))</f>
        <v>2.0503125</v>
      </c>
      <c r="U14" s="130"/>
      <c r="V14" s="34"/>
      <c r="W14" s="34"/>
      <c r="X14" s="34"/>
      <c r="Y14" s="130"/>
      <c r="Z14" s="34">
        <f>SUM(500*(log(50/(C14*4*B14/2))/log('Raw Values'!$D14)))</f>
        <v>368.0532246</v>
      </c>
      <c r="AA14" s="34" t="s">
        <v>209</v>
      </c>
      <c r="AB14" s="34">
        <f>SUM(F14 * 'Raw Values'!N14/'Raw Values'!$E14)</f>
        <v>180.5078453</v>
      </c>
      <c r="AC14" s="34">
        <f>SUM(H14 * 'Raw Values'!N14/'Raw Values'!$E14)</f>
        <v>131.1538633</v>
      </c>
      <c r="AD14" s="34">
        <f>SUM(K14 * 'Raw Values'!N14/'Raw Values'!$E14)</f>
        <v>81.22853039</v>
      </c>
      <c r="AE14" s="34">
        <f>SUM(Q14 * 'Raw Values'!N14/'Raw Values'!$E14)</f>
        <v>31.15757237</v>
      </c>
    </row>
    <row r="15" ht="15.75" customHeight="1">
      <c r="A15" s="28" t="s">
        <v>140</v>
      </c>
      <c r="B15" s="30">
        <f>'Raw Values'!B15</f>
        <v>1</v>
      </c>
      <c r="C15" s="40">
        <f>'Raw Values'!C15</f>
        <v>26</v>
      </c>
      <c r="D15" s="34">
        <f>'Raw Values'!D15</f>
        <v>0.7</v>
      </c>
      <c r="E15" s="130"/>
      <c r="F15" s="34">
        <f>SUM('Raw Values'!$C15 * 'Raw Values'!$B15/2 * ('Raw Values'!$D15 ^ (100/500)))</f>
        <v>12.1049489</v>
      </c>
      <c r="G15" s="34">
        <f>SUM('Raw Values'!$C15 * 'Raw Values'!$B15/2 * ('Raw Values'!$D15 ^ (200/500)))</f>
        <v>11.27152214</v>
      </c>
      <c r="H15" s="34">
        <f>SUM('Raw Values'!$C15 * 'Raw Values'!$B15/2 * ('Raw Values'!$D15 ^ (300/500)))</f>
        <v>10.49547688</v>
      </c>
      <c r="I15" s="34">
        <f>SUM('Raw Values'!$C15 * 'Raw Values'!$B15/2 * ('Raw Values'!$D15 ^ (400/500)))</f>
        <v>9.772862406</v>
      </c>
      <c r="J15" s="34">
        <f>SUM('Raw Values'!$C15 * 'Raw Values'!$B15/2 * ('Raw Values'!$D15 ^ (500/500)))</f>
        <v>9.1</v>
      </c>
      <c r="K15" s="34">
        <f>SUM('Raw Values'!$C15 * 'Raw Values'!$B15/2 * ('Raw Values'!$D15 ^ (600/500)))</f>
        <v>8.473464227</v>
      </c>
      <c r="L15" s="34">
        <f>SUM('Raw Values'!$C15 * 'Raw Values'!$B15/2 * ('Raw Values'!$D15 ^ (700/500)))</f>
        <v>7.890065496</v>
      </c>
      <c r="M15" s="34">
        <f>SUM('Raw Values'!$C15 * 'Raw Values'!$B15/2 * ('Raw Values'!$D15 ^ (800/500)))</f>
        <v>7.346833817</v>
      </c>
      <c r="N15" s="34">
        <f>SUM('Raw Values'!$C15 * 'Raw Values'!$B15/2 * ('Raw Values'!$D15 ^ (900/500)))</f>
        <v>6.841003685</v>
      </c>
      <c r="O15" s="34">
        <f>SUM('Raw Values'!$C15 * 'Raw Values'!$B15/2 * ('Raw Values'!$D15 ^ (1000/500)))</f>
        <v>6.37</v>
      </c>
      <c r="P15" s="34">
        <f>SUM('Raw Values'!$C15 * 'Raw Values'!$B15/2 * ('Raw Values'!$D15 ^ (1100/500)))</f>
        <v>5.931424959</v>
      </c>
      <c r="Q15" s="34">
        <f>SUM('Raw Values'!$C15 * 'Raw Values'!$B15/2 * ('Raw Values'!$D15 ^ (1200/500)))</f>
        <v>5.523045847</v>
      </c>
      <c r="R15" s="34">
        <f>SUM('Raw Values'!$C15 * 'Raw Values'!$B15/2 * ('Raw Values'!$D15 ^ (1300/500)))</f>
        <v>5.142783672</v>
      </c>
      <c r="S15" s="34">
        <f>SUM('Raw Values'!$C15 * 'Raw Values'!$B15/2 * ('Raw Values'!$D15 ^ (1400/500)))</f>
        <v>4.788702579</v>
      </c>
      <c r="T15" s="34">
        <f>SUM('Raw Values'!$C15 * 'Raw Values'!$B15/2 * ('Raw Values'!$D15 ^ (1500/500)))</f>
        <v>4.459</v>
      </c>
      <c r="U15" s="130"/>
      <c r="V15" s="34">
        <f>SUM('Raw Values'!$C15 * 'Raw Values'!$B15/2 * ('Raw Values'!$D15 ^ (2000/500)))</f>
        <v>3.1213</v>
      </c>
      <c r="W15" s="34">
        <f>SUM('Raw Values'!$C15 * 'Raw Values'!$B15/2 * ('Raw Values'!$D15 ^ (2500/500)))</f>
        <v>2.18491</v>
      </c>
      <c r="X15" s="34">
        <f>SUM('Raw Values'!$C15 * 'Raw Values'!$B15/2 * ('Raw Values'!$D15 ^ (3000/500)))</f>
        <v>1.529437</v>
      </c>
      <c r="Y15" s="130"/>
      <c r="Z15" s="34">
        <f>SUM(500*(log(50/(C15*4*B15/2))/log('Raw Values'!$D15)))</f>
        <v>54.9810322</v>
      </c>
      <c r="AA15" s="34" t="s">
        <v>209</v>
      </c>
      <c r="AB15" s="34">
        <f>SUM(F15 * 'Raw Values'!N15/'Raw Values'!$E15)</f>
        <v>123.8006137</v>
      </c>
      <c r="AC15" s="34">
        <f>SUM(H15 * 'Raw Values'!N15/'Raw Values'!$E15)</f>
        <v>107.3401045</v>
      </c>
      <c r="AD15" s="34">
        <f>SUM(K15 * 'Raw Values'!N15/'Raw Values'!$E15)</f>
        <v>86.6604296</v>
      </c>
      <c r="AE15" s="34">
        <f>SUM(Q15 * 'Raw Values'!N15/'Raw Values'!$E15)</f>
        <v>56.48569616</v>
      </c>
    </row>
    <row r="16" ht="15.75" customHeight="1">
      <c r="A16" s="66" t="s">
        <v>142</v>
      </c>
      <c r="B16" s="30">
        <f>'Raw Values'!B16</f>
        <v>1.5</v>
      </c>
      <c r="C16" s="40">
        <f>'Raw Values'!C16</f>
        <v>32</v>
      </c>
      <c r="D16" s="34">
        <f>'Raw Values'!D16</f>
        <v>0.45</v>
      </c>
      <c r="E16" s="130"/>
      <c r="F16" s="34">
        <f>SUM('Raw Values'!$C16 * 'Raw Values'!$B16/2 * ('Raw Values'!$D16 ^ (100/500)))</f>
        <v>20.4575558</v>
      </c>
      <c r="G16" s="34">
        <f>SUM('Raw Values'!$C16 * 'Raw Values'!$B16/2 * ('Raw Values'!$D16 ^ (200/500)))</f>
        <v>17.43798289</v>
      </c>
      <c r="H16" s="34">
        <f>SUM('Raw Values'!$C16 * 'Raw Values'!$B16/2 * ('Raw Values'!$D16 ^ (300/500)))</f>
        <v>14.8641045</v>
      </c>
      <c r="I16" s="34">
        <f>SUM('Raw Values'!$C16 * 'Raw Values'!$B16/2 * ('Raw Values'!$D16 ^ (400/500)))</f>
        <v>12.6701353</v>
      </c>
      <c r="J16" s="34">
        <f>SUM('Raw Values'!$C16 * 'Raw Values'!$B16/2 * ('Raw Values'!$D16 ^ (500/500)))</f>
        <v>10.8</v>
      </c>
      <c r="K16" s="34">
        <f>SUM('Raw Values'!$C16 * 'Raw Values'!$B16/2 * ('Raw Values'!$D16 ^ (600/500)))</f>
        <v>9.205900111</v>
      </c>
      <c r="L16" s="34">
        <f>SUM('Raw Values'!$C16 * 'Raw Values'!$B16/2 * ('Raw Values'!$D16 ^ (700/500)))</f>
        <v>7.847092301</v>
      </c>
      <c r="M16" s="34">
        <f>SUM('Raw Values'!$C16 * 'Raw Values'!$B16/2 * ('Raw Values'!$D16 ^ (800/500)))</f>
        <v>6.688847026</v>
      </c>
      <c r="N16" s="34">
        <f>SUM('Raw Values'!$C16 * 'Raw Values'!$B16/2 * ('Raw Values'!$D16 ^ (900/500)))</f>
        <v>5.701560887</v>
      </c>
      <c r="O16" s="34">
        <f>SUM('Raw Values'!$C16 * 'Raw Values'!$B16/2 * ('Raw Values'!$D16 ^ (1000/500)))</f>
        <v>4.86</v>
      </c>
      <c r="P16" s="34">
        <f>SUM('Raw Values'!$C16 * 'Raw Values'!$B16/2 * ('Raw Values'!$D16 ^ (1100/500)))</f>
        <v>4.14265505</v>
      </c>
      <c r="Q16" s="34">
        <f>SUM('Raw Values'!$C16 * 'Raw Values'!$B16/2 * ('Raw Values'!$D16 ^ (1200/500)))</f>
        <v>3.531191535</v>
      </c>
      <c r="R16" s="34">
        <f>SUM('Raw Values'!$C16 * 'Raw Values'!$B16/2 * ('Raw Values'!$D16 ^ (1300/500)))</f>
        <v>3.009981162</v>
      </c>
      <c r="S16" s="34">
        <f>SUM('Raw Values'!$C16 * 'Raw Values'!$B16/2 * ('Raw Values'!$D16 ^ (1400/500)))</f>
        <v>2.565702399</v>
      </c>
      <c r="T16" s="34">
        <f>SUM('Raw Values'!$C16 * 'Raw Values'!$B16/2 * ('Raw Values'!$D16 ^ (1500/500)))</f>
        <v>2.187</v>
      </c>
      <c r="U16" s="130"/>
      <c r="V16" s="34"/>
      <c r="W16" s="34"/>
      <c r="X16" s="34"/>
      <c r="Y16" s="130"/>
      <c r="Z16" s="34">
        <f>SUM(500*(log(50/(C16*4*B16/2))/log('Raw Values'!$D16)))</f>
        <v>408.4651839</v>
      </c>
      <c r="AA16" s="34" t="s">
        <v>209</v>
      </c>
      <c r="AB16" s="34">
        <f>SUM(F16 * 'Raw Values'!N16/'Raw Values'!$E16)</f>
        <v>192.5417017</v>
      </c>
      <c r="AC16" s="34">
        <f>SUM(H16 * 'Raw Values'!N16/'Raw Values'!$E16)</f>
        <v>139.8974541</v>
      </c>
      <c r="AD16" s="34">
        <f>SUM(K16 * 'Raw Values'!N16/'Raw Values'!$E16)</f>
        <v>86.64376575</v>
      </c>
      <c r="AE16" s="34">
        <f>SUM(Q16 * 'Raw Values'!N16/'Raw Values'!$E16)</f>
        <v>33.23474386</v>
      </c>
    </row>
    <row r="17" ht="15.75" customHeight="1">
      <c r="A17" s="28" t="s">
        <v>143</v>
      </c>
      <c r="B17" s="30">
        <f>'Raw Values'!B17</f>
        <v>1.6</v>
      </c>
      <c r="C17" s="40">
        <f>'Raw Values'!C17</f>
        <v>20</v>
      </c>
      <c r="D17" s="34">
        <f>'Raw Values'!D17</f>
        <v>0.7</v>
      </c>
      <c r="E17" s="130"/>
      <c r="F17" s="34">
        <f>SUM('Raw Values'!$C17 * 'Raw Values'!$B17/2 * ('Raw Values'!$D17 ^ (100/500)))</f>
        <v>14.89839864</v>
      </c>
      <c r="G17" s="34">
        <f>SUM('Raw Values'!$C17 * 'Raw Values'!$B17/2 * ('Raw Values'!$D17 ^ (200/500)))</f>
        <v>13.87264263</v>
      </c>
      <c r="H17" s="34">
        <f>SUM('Raw Values'!$C17 * 'Raw Values'!$B17/2 * ('Raw Values'!$D17 ^ (300/500)))</f>
        <v>12.91751001</v>
      </c>
      <c r="I17" s="34">
        <f>SUM('Raw Values'!$C17 * 'Raw Values'!$B17/2 * ('Raw Values'!$D17 ^ (400/500)))</f>
        <v>12.02813835</v>
      </c>
      <c r="J17" s="34">
        <f>SUM('Raw Values'!$C17 * 'Raw Values'!$B17/2 * ('Raw Values'!$D17 ^ (500/500)))</f>
        <v>11.2</v>
      </c>
      <c r="K17" s="34">
        <f>SUM('Raw Values'!$C17 * 'Raw Values'!$B17/2 * ('Raw Values'!$D17 ^ (600/500)))</f>
        <v>10.42887905</v>
      </c>
      <c r="L17" s="34">
        <f>SUM('Raw Values'!$C17 * 'Raw Values'!$B17/2 * ('Raw Values'!$D17 ^ (700/500)))</f>
        <v>9.710849841</v>
      </c>
      <c r="M17" s="34">
        <f>SUM('Raw Values'!$C17 * 'Raw Values'!$B17/2 * ('Raw Values'!$D17 ^ (800/500)))</f>
        <v>9.042257005</v>
      </c>
      <c r="N17" s="34">
        <f>SUM('Raw Values'!$C17 * 'Raw Values'!$B17/2 * ('Raw Values'!$D17 ^ (900/500)))</f>
        <v>8.419696842</v>
      </c>
      <c r="O17" s="34">
        <f>SUM('Raw Values'!$C17 * 'Raw Values'!$B17/2 * ('Raw Values'!$D17 ^ (1000/500)))</f>
        <v>7.84</v>
      </c>
      <c r="P17" s="34">
        <f>SUM('Raw Values'!$C17 * 'Raw Values'!$B17/2 * ('Raw Values'!$D17 ^ (1100/500)))</f>
        <v>7.300215334</v>
      </c>
      <c r="Q17" s="34">
        <f>SUM('Raw Values'!$C17 * 'Raw Values'!$B17/2 * ('Raw Values'!$D17 ^ (1200/500)))</f>
        <v>6.797594889</v>
      </c>
      <c r="R17" s="34">
        <f>SUM('Raw Values'!$C17 * 'Raw Values'!$B17/2 * ('Raw Values'!$D17 ^ (1300/500)))</f>
        <v>6.329579904</v>
      </c>
      <c r="S17" s="34">
        <f>SUM('Raw Values'!$C17 * 'Raw Values'!$B17/2 * ('Raw Values'!$D17 ^ (1400/500)))</f>
        <v>5.89378779</v>
      </c>
      <c r="T17" s="34">
        <f>SUM('Raw Values'!$C17 * 'Raw Values'!$B17/2 * ('Raw Values'!$D17 ^ (1500/500)))</f>
        <v>5.488</v>
      </c>
      <c r="U17" s="130"/>
      <c r="V17" s="34">
        <f>SUM('Raw Values'!$C17 * 'Raw Values'!$B17/2 * ('Raw Values'!$D17 ^ (2000/500)))</f>
        <v>3.8416</v>
      </c>
      <c r="W17" s="34">
        <f>SUM('Raw Values'!$C17 * 'Raw Values'!$B17/2 * ('Raw Values'!$D17 ^ (2500/500)))</f>
        <v>2.68912</v>
      </c>
      <c r="X17" s="34">
        <f>SUM('Raw Values'!$C17 * 'Raw Values'!$B17/2 * ('Raw Values'!$D17 ^ (3000/500)))</f>
        <v>1.882384</v>
      </c>
      <c r="Y17" s="130"/>
      <c r="Z17" s="34">
        <f>SUM(500*(log(50/(C17*4*B17/2))/log('Raw Values'!$D17)))</f>
        <v>346.0574987</v>
      </c>
      <c r="AA17" s="34" t="s">
        <v>209</v>
      </c>
      <c r="AB17" s="34">
        <f>SUM(F17 * 'Raw Values'!N17/'Raw Values'!$E17)</f>
        <v>255.4011196</v>
      </c>
      <c r="AC17" s="34">
        <f>SUM(H17 * 'Raw Values'!N17/'Raw Values'!$E17)</f>
        <v>221.4430287</v>
      </c>
      <c r="AD17" s="34">
        <f>SUM(K17 * 'Raw Values'!N17/'Raw Values'!$E17)</f>
        <v>178.7807837</v>
      </c>
      <c r="AE17" s="34">
        <f>SUM(Q17 * 'Raw Values'!N17/'Raw Values'!$E17)</f>
        <v>116.5301981</v>
      </c>
    </row>
    <row r="18" ht="15.75" customHeight="1">
      <c r="A18" s="75"/>
      <c r="B18" s="76"/>
      <c r="C18" s="163"/>
      <c r="D18" s="79"/>
      <c r="E18" s="133"/>
      <c r="F18" s="75"/>
      <c r="G18" s="75"/>
      <c r="H18" s="75"/>
      <c r="I18" s="75"/>
      <c r="J18" s="75"/>
      <c r="K18" s="75"/>
      <c r="L18" s="75"/>
      <c r="M18" s="75"/>
      <c r="N18" s="75"/>
      <c r="O18" s="75"/>
      <c r="P18" s="75"/>
      <c r="Q18" s="75"/>
      <c r="R18" s="75"/>
      <c r="S18" s="75"/>
      <c r="T18" s="75"/>
      <c r="U18" s="164"/>
      <c r="V18" s="75"/>
      <c r="W18" s="75"/>
      <c r="X18" s="75"/>
      <c r="Y18" s="133"/>
      <c r="Z18" s="79"/>
      <c r="AA18" s="79"/>
      <c r="AB18" s="79"/>
      <c r="AC18" s="79"/>
      <c r="AD18" s="79"/>
      <c r="AE18" s="79"/>
    </row>
    <row r="19" ht="15.75" customHeight="1">
      <c r="A19" s="5" t="s">
        <v>145</v>
      </c>
      <c r="B19" s="8" t="s">
        <v>246</v>
      </c>
      <c r="C19" s="161" t="s">
        <v>15</v>
      </c>
      <c r="D19" s="9" t="s">
        <v>18</v>
      </c>
      <c r="E19" s="158"/>
      <c r="F19" s="7" t="s">
        <v>223</v>
      </c>
      <c r="G19" s="7" t="s">
        <v>224</v>
      </c>
      <c r="H19" s="7" t="s">
        <v>225</v>
      </c>
      <c r="I19" s="7" t="s">
        <v>226</v>
      </c>
      <c r="J19" s="7" t="s">
        <v>227</v>
      </c>
      <c r="K19" s="7" t="s">
        <v>228</v>
      </c>
      <c r="L19" s="7" t="s">
        <v>229</v>
      </c>
      <c r="M19" s="7" t="s">
        <v>230</v>
      </c>
      <c r="N19" s="7" t="s">
        <v>231</v>
      </c>
      <c r="O19" s="7" t="s">
        <v>232</v>
      </c>
      <c r="P19" s="7" t="s">
        <v>233</v>
      </c>
      <c r="Q19" s="7" t="s">
        <v>234</v>
      </c>
      <c r="R19" s="7" t="s">
        <v>235</v>
      </c>
      <c r="S19" s="7" t="s">
        <v>236</v>
      </c>
      <c r="T19" s="7" t="s">
        <v>237</v>
      </c>
      <c r="U19" s="165"/>
      <c r="V19" s="159" t="s">
        <v>238</v>
      </c>
      <c r="W19" s="159" t="s">
        <v>239</v>
      </c>
      <c r="X19" s="159" t="s">
        <v>240</v>
      </c>
      <c r="Y19" s="125"/>
      <c r="Z19" s="9" t="s">
        <v>247</v>
      </c>
      <c r="AA19" s="7" t="s">
        <v>241</v>
      </c>
      <c r="AB19" s="9" t="s">
        <v>242</v>
      </c>
      <c r="AC19" s="9" t="s">
        <v>243</v>
      </c>
      <c r="AD19" s="9" t="s">
        <v>244</v>
      </c>
      <c r="AE19" s="9" t="s">
        <v>245</v>
      </c>
    </row>
    <row r="20" ht="15.75" customHeight="1">
      <c r="A20" s="28" t="s">
        <v>147</v>
      </c>
      <c r="B20" s="30">
        <f>'Raw Values'!B20</f>
        <v>1.15</v>
      </c>
      <c r="C20" s="40">
        <f>'Raw Values'!C20</f>
        <v>27</v>
      </c>
      <c r="D20" s="34">
        <f>'Raw Values'!D20</f>
        <v>0.8</v>
      </c>
      <c r="E20" s="130"/>
      <c r="F20" s="34">
        <f>SUM('Raw Values'!$C20 * 'Raw Values'!$B20/2 * ('Raw Values'!$D20 ^ (100/500)))</f>
        <v>14.84737256</v>
      </c>
      <c r="G20" s="34">
        <f>SUM('Raw Values'!$C20 * 'Raw Values'!$B20/2 * ('Raw Values'!$D20 ^ (200/500)))</f>
        <v>14.19932186</v>
      </c>
      <c r="H20" s="34">
        <f>SUM('Raw Values'!$C20 * 'Raw Values'!$B20/2 * ('Raw Values'!$D20 ^ (300/500)))</f>
        <v>13.57955696</v>
      </c>
      <c r="I20" s="34">
        <f>SUM('Raw Values'!$C20 * 'Raw Values'!$B20/2 * ('Raw Values'!$D20 ^ (400/500)))</f>
        <v>12.98684324</v>
      </c>
      <c r="J20" s="34">
        <f>SUM('Raw Values'!$C20 * 'Raw Values'!$B20/2 * ('Raw Values'!$D20 ^ (500/500)))</f>
        <v>12.42</v>
      </c>
      <c r="K20" s="34">
        <f>SUM('Raw Values'!$C20 * 'Raw Values'!$B20/2 * ('Raw Values'!$D20 ^ (600/500)))</f>
        <v>11.87789805</v>
      </c>
      <c r="L20" s="34">
        <f>SUM('Raw Values'!$C20 * 'Raw Values'!$B20/2 * ('Raw Values'!$D20 ^ (700/500)))</f>
        <v>11.35945749</v>
      </c>
      <c r="M20" s="34">
        <f>SUM('Raw Values'!$C20 * 'Raw Values'!$B20/2 * ('Raw Values'!$D20 ^ (800/500)))</f>
        <v>10.86364557</v>
      </c>
      <c r="N20" s="34">
        <f>SUM('Raw Values'!$C20 * 'Raw Values'!$B20/2 * ('Raw Values'!$D20 ^ (900/500)))</f>
        <v>10.38947459</v>
      </c>
      <c r="O20" s="34">
        <f>SUM('Raw Values'!$C20 * 'Raw Values'!$B20/2 * ('Raw Values'!$D20 ^ (1000/500)))</f>
        <v>9.936</v>
      </c>
      <c r="P20" s="34">
        <f>SUM('Raw Values'!$C20 * 'Raw Values'!$B20/2 * ('Raw Values'!$D20 ^ (1100/500)))</f>
        <v>9.502318438</v>
      </c>
      <c r="Q20" s="34">
        <f>SUM('Raw Values'!$C20 * 'Raw Values'!$B20/2 * ('Raw Values'!$D20 ^ (1200/500)))</f>
        <v>9.087565992</v>
      </c>
      <c r="R20" s="34">
        <f>SUM('Raw Values'!$C20 * 'Raw Values'!$B20/2 * ('Raw Values'!$D20 ^ (1300/500)))</f>
        <v>8.690916453</v>
      </c>
      <c r="S20" s="34">
        <f>SUM('Raw Values'!$C20 * 'Raw Values'!$B20/2 * ('Raw Values'!$D20 ^ (1400/500)))</f>
        <v>8.311579676</v>
      </c>
      <c r="T20" s="34">
        <f>SUM('Raw Values'!$C20 * 'Raw Values'!$B20/2 * ('Raw Values'!$D20 ^ (1500/500)))</f>
        <v>7.9488</v>
      </c>
      <c r="U20" s="130"/>
      <c r="V20" s="34">
        <f>SUM('Raw Values'!$C20 * 'Raw Values'!$B20/2 * ('Raw Values'!$D20 ^ (2000/500)))</f>
        <v>6.35904</v>
      </c>
      <c r="W20" s="34">
        <f>SUM('Raw Values'!$C20 * 'Raw Values'!$B20/2 * ('Raw Values'!$D20 ^ (2500/500)))</f>
        <v>5.087232</v>
      </c>
      <c r="X20" s="34">
        <f>SUM('Raw Values'!$C20 * 'Raw Values'!$B20/2 * ('Raw Values'!$D20 ^ (3000/500)))</f>
        <v>4.0697856</v>
      </c>
      <c r="Y20" s="130"/>
      <c r="Z20" s="34">
        <f>SUM(500*(log(50/(C20*4*B20/2))/log('Raw Values'!$D20)))</f>
        <v>485.6133691</v>
      </c>
      <c r="AA20" s="34" t="s">
        <v>209</v>
      </c>
      <c r="AB20" s="34">
        <f>SUM(F20 * 1/'Raw Values'!$E20)</f>
        <v>185.592157</v>
      </c>
      <c r="AC20" s="34">
        <f>SUM(H20 * 1/'Raw Values'!$E20)</f>
        <v>169.744462</v>
      </c>
      <c r="AD20" s="34">
        <f>SUM(K20 * 1/'Raw Values'!$E20)</f>
        <v>148.4737256</v>
      </c>
      <c r="AE20" s="34">
        <f>SUM(Q20 * 1/'Raw Values'!$E20)</f>
        <v>113.5945749</v>
      </c>
    </row>
    <row r="21" ht="15.75" customHeight="1">
      <c r="A21" s="66" t="s">
        <v>150</v>
      </c>
      <c r="B21" s="30">
        <f>'Raw Values'!B21</f>
        <v>1.15</v>
      </c>
      <c r="C21" s="40">
        <f>'Raw Values'!C21</f>
        <v>29</v>
      </c>
      <c r="D21" s="34">
        <f>'Raw Values'!D21</f>
        <v>0.8</v>
      </c>
      <c r="E21" s="130"/>
      <c r="F21" s="34">
        <f>SUM('Raw Values'!$C21 * 'Raw Values'!$B21/2 * ('Raw Values'!$D21 ^ (100/500)))</f>
        <v>15.94717793</v>
      </c>
      <c r="G21" s="34">
        <f>SUM('Raw Values'!$C21 * 'Raw Values'!$B21/2 * ('Raw Values'!$D21 ^ (200/500)))</f>
        <v>15.25112348</v>
      </c>
      <c r="H21" s="34">
        <f>SUM('Raw Values'!$C21 * 'Raw Values'!$B21/2 * ('Raw Values'!$D21 ^ (300/500)))</f>
        <v>14.58545007</v>
      </c>
      <c r="I21" s="34">
        <f>SUM('Raw Values'!$C21 * 'Raw Values'!$B21/2 * ('Raw Values'!$D21 ^ (400/500)))</f>
        <v>13.94883163</v>
      </c>
      <c r="J21" s="34">
        <f>SUM('Raw Values'!$C21 * 'Raw Values'!$B21/2 * ('Raw Values'!$D21 ^ (500/500)))</f>
        <v>13.34</v>
      </c>
      <c r="K21" s="34">
        <f>SUM('Raw Values'!$C21 * 'Raw Values'!$B21/2 * ('Raw Values'!$D21 ^ (600/500)))</f>
        <v>12.75774235</v>
      </c>
      <c r="L21" s="34">
        <f>SUM('Raw Values'!$C21 * 'Raw Values'!$B21/2 * ('Raw Values'!$D21 ^ (700/500)))</f>
        <v>12.20089879</v>
      </c>
      <c r="M21" s="34">
        <f>SUM('Raw Values'!$C21 * 'Raw Values'!$B21/2 * ('Raw Values'!$D21 ^ (800/500)))</f>
        <v>11.66836005</v>
      </c>
      <c r="N21" s="34">
        <f>SUM('Raw Values'!$C21 * 'Raw Values'!$B21/2 * ('Raw Values'!$D21 ^ (900/500)))</f>
        <v>11.15906531</v>
      </c>
      <c r="O21" s="34">
        <f>SUM('Raw Values'!$C21 * 'Raw Values'!$B21/2 * ('Raw Values'!$D21 ^ (1000/500)))</f>
        <v>10.672</v>
      </c>
      <c r="P21" s="34">
        <f>SUM('Raw Values'!$C21 * 'Raw Values'!$B21/2 * ('Raw Values'!$D21 ^ (1100/500)))</f>
        <v>10.20619388</v>
      </c>
      <c r="Q21" s="34">
        <f>SUM('Raw Values'!$C21 * 'Raw Values'!$B21/2 * ('Raw Values'!$D21 ^ (1200/500)))</f>
        <v>9.760719028</v>
      </c>
      <c r="R21" s="34">
        <f>SUM('Raw Values'!$C21 * 'Raw Values'!$B21/2 * ('Raw Values'!$D21 ^ (1300/500)))</f>
        <v>9.334688042</v>
      </c>
      <c r="S21" s="34">
        <f>SUM('Raw Values'!$C21 * 'Raw Values'!$B21/2 * ('Raw Values'!$D21 ^ (1400/500)))</f>
        <v>8.927252244</v>
      </c>
      <c r="T21" s="34">
        <f>SUM('Raw Values'!$C21 * 'Raw Values'!$B21/2 * ('Raw Values'!$D21 ^ (1500/500)))</f>
        <v>8.5376</v>
      </c>
      <c r="U21" s="130"/>
      <c r="V21" s="34">
        <f>SUM('Raw Values'!$C21 * 'Raw Values'!$B21/2 * ('Raw Values'!$D21 ^ (2000/500)))</f>
        <v>6.83008</v>
      </c>
      <c r="W21" s="34">
        <f>SUM('Raw Values'!$C21 * 'Raw Values'!$B21/2 * ('Raw Values'!$D21 ^ (2500/500)))</f>
        <v>5.464064</v>
      </c>
      <c r="X21" s="34">
        <f>SUM('Raw Values'!$C21 * 'Raw Values'!$B21/2 * ('Raw Values'!$D21 ^ (3000/500)))</f>
        <v>4.3712512</v>
      </c>
      <c r="Y21" s="130"/>
      <c r="Z21" s="34">
        <f>SUM(500*(log(50/(C21*4*B21/2))/log('Raw Values'!$D21)))</f>
        <v>645.7321885</v>
      </c>
      <c r="AA21" s="34" t="s">
        <v>209</v>
      </c>
      <c r="AB21" s="34">
        <f>SUM(F21 * 1/'Raw Values'!$E21)</f>
        <v>212.6290391</v>
      </c>
      <c r="AC21" s="34">
        <f>SUM(H21 * 1/'Raw Values'!$E21)</f>
        <v>194.4726676</v>
      </c>
      <c r="AD21" s="34">
        <f>SUM(K21 * 1/'Raw Values'!$E21)</f>
        <v>170.1032313</v>
      </c>
      <c r="AE21" s="34">
        <f>SUM(Q21 * 1/'Raw Values'!$E21)</f>
        <v>130.1429204</v>
      </c>
    </row>
    <row r="22" ht="15.75" customHeight="1">
      <c r="A22" s="28" t="s">
        <v>152</v>
      </c>
      <c r="B22" s="30">
        <f>'Raw Values'!B22</f>
        <v>1.25</v>
      </c>
      <c r="C22" s="40">
        <f>'Raw Values'!C22</f>
        <v>29</v>
      </c>
      <c r="D22" s="34">
        <f>'Raw Values'!D22</f>
        <v>0.85</v>
      </c>
      <c r="E22" s="130"/>
      <c r="F22" s="34">
        <f>SUM('Raw Values'!$C22 * 'Raw Values'!$B22/2 * ('Raw Values'!$D22 ^ (100/500)))</f>
        <v>17.54534048</v>
      </c>
      <c r="G22" s="34">
        <f>SUM('Raw Values'!$C22 * 'Raw Values'!$B22/2 * ('Raw Values'!$D22 ^ (200/500)))</f>
        <v>16.98421917</v>
      </c>
      <c r="H22" s="34">
        <f>SUM('Raw Values'!$C22 * 'Raw Values'!$B22/2 * ('Raw Values'!$D22 ^ (300/500)))</f>
        <v>16.44104321</v>
      </c>
      <c r="I22" s="34">
        <f>SUM('Raw Values'!$C22 * 'Raw Values'!$B22/2 * ('Raw Values'!$D22 ^ (400/500)))</f>
        <v>15.91523867</v>
      </c>
      <c r="J22" s="34">
        <f>SUM('Raw Values'!$C22 * 'Raw Values'!$B22/2 * ('Raw Values'!$D22 ^ (500/500)))</f>
        <v>15.40625</v>
      </c>
      <c r="K22" s="34">
        <f>SUM('Raw Values'!$C22 * 'Raw Values'!$B22/2 * ('Raw Values'!$D22 ^ (600/500)))</f>
        <v>14.91353941</v>
      </c>
      <c r="L22" s="34">
        <f>SUM('Raw Values'!$C22 * 'Raw Values'!$B22/2 * ('Raw Values'!$D22 ^ (700/500)))</f>
        <v>14.4365863</v>
      </c>
      <c r="M22" s="34">
        <f>SUM('Raw Values'!$C22 * 'Raw Values'!$B22/2 * ('Raw Values'!$D22 ^ (800/500)))</f>
        <v>13.97488673</v>
      </c>
      <c r="N22" s="34">
        <f>SUM('Raw Values'!$C22 * 'Raw Values'!$B22/2 * ('Raw Values'!$D22 ^ (900/500)))</f>
        <v>13.52795287</v>
      </c>
      <c r="O22" s="34">
        <f>SUM('Raw Values'!$C22 * 'Raw Values'!$B22/2 * ('Raw Values'!$D22 ^ (1000/500)))</f>
        <v>13.0953125</v>
      </c>
      <c r="P22" s="34">
        <f>SUM('Raw Values'!$C22 * 'Raw Values'!$B22/2 * ('Raw Values'!$D22 ^ (1100/500)))</f>
        <v>12.6765085</v>
      </c>
      <c r="Q22" s="34">
        <f>SUM('Raw Values'!$C22 * 'Raw Values'!$B22/2 * ('Raw Values'!$D22 ^ (1200/500)))</f>
        <v>12.27109835</v>
      </c>
      <c r="R22" s="34">
        <f>SUM('Raw Values'!$C22 * 'Raw Values'!$B22/2 * ('Raw Values'!$D22 ^ (1300/500)))</f>
        <v>11.87865372</v>
      </c>
      <c r="S22" s="34">
        <f>SUM('Raw Values'!$C22 * 'Raw Values'!$B22/2 * ('Raw Values'!$D22 ^ (1400/500)))</f>
        <v>11.49875994</v>
      </c>
      <c r="T22" s="34">
        <f>SUM('Raw Values'!$C22 * 'Raw Values'!$B22/2 * ('Raw Values'!$D22 ^ (1500/500)))</f>
        <v>11.13101563</v>
      </c>
      <c r="U22" s="130"/>
      <c r="V22" s="34">
        <f>SUM('Raw Values'!$C22 * 'Raw Values'!$B22/2 * ('Raw Values'!$D22 ^ (2000/500)))</f>
        <v>9.461363281</v>
      </c>
      <c r="W22" s="34">
        <f>SUM('Raw Values'!$C22 * 'Raw Values'!$B22/2 * ('Raw Values'!$D22 ^ (2500/500)))</f>
        <v>8.042158789</v>
      </c>
      <c r="X22" s="34">
        <f>SUM('Raw Values'!$C22 * 'Raw Values'!$B22/2 * ('Raw Values'!$D22 ^ (3000/500)))</f>
        <v>6.835834971</v>
      </c>
      <c r="Y22" s="130"/>
      <c r="Z22" s="34">
        <f>SUM(500*(log(50/(C22*4*B22/2))/log('Raw Values'!$D22)))</f>
        <v>1143.139318</v>
      </c>
      <c r="AA22" s="34" t="s">
        <v>209</v>
      </c>
      <c r="AB22" s="34">
        <f>SUM(F22 * 1/'Raw Values'!$E22)</f>
        <v>219.316756</v>
      </c>
      <c r="AC22" s="34">
        <f>SUM(H22 * 1/'Raw Values'!$E22)</f>
        <v>205.5130401</v>
      </c>
      <c r="AD22" s="34">
        <f>SUM(K22 * 1/'Raw Values'!$E22)</f>
        <v>186.4192426</v>
      </c>
      <c r="AE22" s="34">
        <f>SUM(Q22 * 1/'Raw Values'!$E22)</f>
        <v>153.3887294</v>
      </c>
    </row>
    <row r="23" ht="15.75" customHeight="1">
      <c r="A23" s="28" t="s">
        <v>154</v>
      </c>
      <c r="B23" s="30">
        <f>'Raw Values'!B23</f>
        <v>1.25</v>
      </c>
      <c r="C23" s="40">
        <f>'Raw Values'!C23</f>
        <v>27</v>
      </c>
      <c r="D23" s="34">
        <f>'Raw Values'!D23</f>
        <v>0.85</v>
      </c>
      <c r="E23" s="130"/>
      <c r="F23" s="34">
        <f>SUM('Raw Values'!$C23 * 'Raw Values'!$B23/2 * ('Raw Values'!$D23 ^ (100/500)))</f>
        <v>16.335317</v>
      </c>
      <c r="G23" s="34">
        <f>SUM('Raw Values'!$C23 * 'Raw Values'!$B23/2 * ('Raw Values'!$D23 ^ (200/500)))</f>
        <v>15.81289371</v>
      </c>
      <c r="H23" s="34">
        <f>SUM('Raw Values'!$C23 * 'Raw Values'!$B23/2 * ('Raw Values'!$D23 ^ (300/500)))</f>
        <v>15.30717816</v>
      </c>
      <c r="I23" s="34">
        <f>SUM('Raw Values'!$C23 * 'Raw Values'!$B23/2 * ('Raw Values'!$D23 ^ (400/500)))</f>
        <v>14.817636</v>
      </c>
      <c r="J23" s="34">
        <f>SUM('Raw Values'!$C23 * 'Raw Values'!$B23/2 * ('Raw Values'!$D23 ^ (500/500)))</f>
        <v>14.34375</v>
      </c>
      <c r="K23" s="34">
        <f>SUM('Raw Values'!$C23 * 'Raw Values'!$B23/2 * ('Raw Values'!$D23 ^ (600/500)))</f>
        <v>13.88501945</v>
      </c>
      <c r="L23" s="34">
        <f>SUM('Raw Values'!$C23 * 'Raw Values'!$B23/2 * ('Raw Values'!$D23 ^ (700/500)))</f>
        <v>13.44095966</v>
      </c>
      <c r="M23" s="34">
        <f>SUM('Raw Values'!$C23 * 'Raw Values'!$B23/2 * ('Raw Values'!$D23 ^ (800/500)))</f>
        <v>13.01110143</v>
      </c>
      <c r="N23" s="34">
        <f>SUM('Raw Values'!$C23 * 'Raw Values'!$B23/2 * ('Raw Values'!$D23 ^ (900/500)))</f>
        <v>12.5949906</v>
      </c>
      <c r="O23" s="34">
        <f>SUM('Raw Values'!$C23 * 'Raw Values'!$B23/2 * ('Raw Values'!$D23 ^ (1000/500)))</f>
        <v>12.1921875</v>
      </c>
      <c r="P23" s="34">
        <f>SUM('Raw Values'!$C23 * 'Raw Values'!$B23/2 * ('Raw Values'!$D23 ^ (1100/500)))</f>
        <v>11.80226653</v>
      </c>
      <c r="Q23" s="34">
        <f>SUM('Raw Values'!$C23 * 'Raw Values'!$B23/2 * ('Raw Values'!$D23 ^ (1200/500)))</f>
        <v>11.42481571</v>
      </c>
      <c r="R23" s="34">
        <f>SUM('Raw Values'!$C23 * 'Raw Values'!$B23/2 * ('Raw Values'!$D23 ^ (1300/500)))</f>
        <v>11.05943622</v>
      </c>
      <c r="S23" s="34">
        <f>SUM('Raw Values'!$C23 * 'Raw Values'!$B23/2 * ('Raw Values'!$D23 ^ (1400/500)))</f>
        <v>10.70574201</v>
      </c>
      <c r="T23" s="34">
        <f>SUM('Raw Values'!$C23 * 'Raw Values'!$B23/2 * ('Raw Values'!$D23 ^ (1500/500)))</f>
        <v>10.36335938</v>
      </c>
      <c r="U23" s="130"/>
      <c r="V23" s="34">
        <f>SUM('Raw Values'!$C23 * 'Raw Values'!$B23/2 * ('Raw Values'!$D23 ^ (2000/500)))</f>
        <v>8.808855469</v>
      </c>
      <c r="W23" s="34">
        <f>SUM('Raw Values'!$C23 * 'Raw Values'!$B23/2 * ('Raw Values'!$D23 ^ (2500/500)))</f>
        <v>7.487527148</v>
      </c>
      <c r="X23" s="34">
        <f>SUM('Raw Values'!$C23 * 'Raw Values'!$B23/2 * ('Raw Values'!$D23 ^ (3000/500)))</f>
        <v>6.364398076</v>
      </c>
      <c r="Y23" s="130"/>
      <c r="Z23" s="34">
        <f>SUM(500*(log(50/(C23*4*B23/2))/log('Raw Values'!$D23)))</f>
        <v>923.2911925</v>
      </c>
      <c r="AA23" s="34" t="s">
        <v>209</v>
      </c>
      <c r="AB23" s="34">
        <f>SUM(F23 * 1/'Raw Values'!$E23)</f>
        <v>204.1914625</v>
      </c>
      <c r="AC23" s="34">
        <f>SUM(H23 * 1/'Raw Values'!$E23)</f>
        <v>191.339727</v>
      </c>
      <c r="AD23" s="34">
        <f>SUM(K23 * 1/'Raw Values'!$E23)</f>
        <v>173.5627431</v>
      </c>
      <c r="AE23" s="34">
        <f>SUM(Q23 * 1/'Raw Values'!$E23)</f>
        <v>142.8101963</v>
      </c>
    </row>
    <row r="24" ht="15.75" customHeight="1">
      <c r="A24" s="61" t="s">
        <v>156</v>
      </c>
      <c r="B24" s="30">
        <f>'Raw Values'!B24</f>
        <v>1.2</v>
      </c>
      <c r="C24" s="40">
        <f>'Raw Values'!C24</f>
        <v>26</v>
      </c>
      <c r="D24" s="34">
        <f>'Raw Values'!D24</f>
        <v>0.87</v>
      </c>
      <c r="E24" s="130"/>
      <c r="F24" s="34">
        <f>SUM('Raw Values'!$C24 * 'Raw Values'!$B24/2 * ('Raw Values'!$D24 ^ (100/500)))</f>
        <v>15.17149747</v>
      </c>
      <c r="G24" s="34">
        <f>SUM('Raw Values'!$C24 * 'Raw Values'!$B24/2 * ('Raw Values'!$D24 ^ (200/500)))</f>
        <v>14.75476509</v>
      </c>
      <c r="H24" s="34">
        <f>SUM('Raw Values'!$C24 * 'Raw Values'!$B24/2 * ('Raw Values'!$D24 ^ (300/500)))</f>
        <v>14.34947956</v>
      </c>
      <c r="I24" s="34">
        <f>SUM('Raw Values'!$C24 * 'Raw Values'!$B24/2 * ('Raw Values'!$D24 ^ (400/500)))</f>
        <v>13.95532646</v>
      </c>
      <c r="J24" s="34">
        <f>SUM('Raw Values'!$C24 * 'Raw Values'!$B24/2 * ('Raw Values'!$D24 ^ (500/500)))</f>
        <v>13.572</v>
      </c>
      <c r="K24" s="34">
        <f>SUM('Raw Values'!$C24 * 'Raw Values'!$B24/2 * ('Raw Values'!$D24 ^ (600/500)))</f>
        <v>13.1992028</v>
      </c>
      <c r="L24" s="34">
        <f>SUM('Raw Values'!$C24 * 'Raw Values'!$B24/2 * ('Raw Values'!$D24 ^ (700/500)))</f>
        <v>12.83664563</v>
      </c>
      <c r="M24" s="34">
        <f>SUM('Raw Values'!$C24 * 'Raw Values'!$B24/2 * ('Raw Values'!$D24 ^ (800/500)))</f>
        <v>12.48404722</v>
      </c>
      <c r="N24" s="34">
        <f>SUM('Raw Values'!$C24 * 'Raw Values'!$B24/2 * ('Raw Values'!$D24 ^ (900/500)))</f>
        <v>12.14113402</v>
      </c>
      <c r="O24" s="34">
        <f>SUM('Raw Values'!$C24 * 'Raw Values'!$B24/2 * ('Raw Values'!$D24 ^ (1000/500)))</f>
        <v>11.80764</v>
      </c>
      <c r="P24" s="34">
        <f>SUM('Raw Values'!$C24 * 'Raw Values'!$B24/2 * ('Raw Values'!$D24 ^ (1100/500)))</f>
        <v>11.48330643</v>
      </c>
      <c r="Q24" s="34">
        <f>SUM('Raw Values'!$C24 * 'Raw Values'!$B24/2 * ('Raw Values'!$D24 ^ (1200/500)))</f>
        <v>11.16788169</v>
      </c>
      <c r="R24" s="34">
        <f>SUM('Raw Values'!$C24 * 'Raw Values'!$B24/2 * ('Raw Values'!$D24 ^ (1300/500)))</f>
        <v>10.86112108</v>
      </c>
      <c r="S24" s="34">
        <f>SUM('Raw Values'!$C24 * 'Raw Values'!$B24/2 * ('Raw Values'!$D24 ^ (1400/500)))</f>
        <v>10.5627866</v>
      </c>
      <c r="T24" s="34">
        <f>SUM('Raw Values'!$C24 * 'Raw Values'!$B24/2 * ('Raw Values'!$D24 ^ (1500/500)))</f>
        <v>10.2726468</v>
      </c>
      <c r="U24" s="130"/>
      <c r="V24" s="34">
        <f>SUM('Raw Values'!$C24 * 'Raw Values'!$B24/2 * ('Raw Values'!$D24 ^ (2000/500)))</f>
        <v>8.937202716</v>
      </c>
      <c r="W24" s="34">
        <f>SUM('Raw Values'!$C24 * 'Raw Values'!$B24/2 * ('Raw Values'!$D24 ^ (2500/500)))</f>
        <v>7.775366363</v>
      </c>
      <c r="X24" s="34">
        <f>SUM('Raw Values'!$C24 * 'Raw Values'!$B24/2 * ('Raw Values'!$D24 ^ (3000/500)))</f>
        <v>6.764568736</v>
      </c>
      <c r="Y24" s="130"/>
      <c r="Z24" s="34">
        <f>SUM(500*(log(50/(C24*4*B24/2))/log('Raw Values'!$D24)))</f>
        <v>795.4149834</v>
      </c>
      <c r="AA24" s="34" t="s">
        <v>209</v>
      </c>
      <c r="AB24" s="34">
        <f>SUM(F24 * 1/'Raw Values'!$E24)</f>
        <v>216.7356781</v>
      </c>
      <c r="AC24" s="34">
        <f>SUM(H24 * 1/'Raw Values'!$E24)</f>
        <v>204.9925651</v>
      </c>
      <c r="AD24" s="34">
        <f>SUM(K24 * 1/'Raw Values'!$E24)</f>
        <v>188.5600399</v>
      </c>
      <c r="AE24" s="34">
        <f>SUM(Q24 * 1/'Raw Values'!$E24)</f>
        <v>159.5411671</v>
      </c>
    </row>
    <row r="25" ht="15.75" customHeight="1">
      <c r="A25" s="28" t="s">
        <v>158</v>
      </c>
      <c r="B25" s="30">
        <f>'Raw Values'!B25</f>
        <v>1.38</v>
      </c>
      <c r="C25" s="40">
        <f>'Raw Values'!C25</f>
        <v>26</v>
      </c>
      <c r="D25" s="34">
        <f>'Raw Values'!D25</f>
        <v>0.86</v>
      </c>
      <c r="E25" s="130"/>
      <c r="F25" s="34">
        <f>SUM('Raw Values'!$C25 * 'Raw Values'!$B25/2 * ('Raw Values'!$D25 ^ (100/500)))</f>
        <v>17.40692784</v>
      </c>
      <c r="G25" s="34">
        <f>SUM('Raw Values'!$C25 * 'Raw Values'!$B25/2 * ('Raw Values'!$D25 ^ (200/500)))</f>
        <v>16.88969547</v>
      </c>
      <c r="H25" s="34">
        <f>SUM('Raw Values'!$C25 * 'Raw Values'!$B25/2 * ('Raw Values'!$D25 ^ (300/500)))</f>
        <v>16.38783224</v>
      </c>
      <c r="I25" s="34">
        <f>SUM('Raw Values'!$C25 * 'Raw Values'!$B25/2 * ('Raw Values'!$D25 ^ (400/500)))</f>
        <v>15.90088145</v>
      </c>
      <c r="J25" s="34">
        <f>SUM('Raw Values'!$C25 * 'Raw Values'!$B25/2 * ('Raw Values'!$D25 ^ (500/500)))</f>
        <v>15.4284</v>
      </c>
      <c r="K25" s="34">
        <f>SUM('Raw Values'!$C25 * 'Raw Values'!$B25/2 * ('Raw Values'!$D25 ^ (600/500)))</f>
        <v>14.96995794</v>
      </c>
      <c r="L25" s="34">
        <f>SUM('Raw Values'!$C25 * 'Raw Values'!$B25/2 * ('Raw Values'!$D25 ^ (700/500)))</f>
        <v>14.52513811</v>
      </c>
      <c r="M25" s="34">
        <f>SUM('Raw Values'!$C25 * 'Raw Values'!$B25/2 * ('Raw Values'!$D25 ^ (800/500)))</f>
        <v>14.09353573</v>
      </c>
      <c r="N25" s="34">
        <f>SUM('Raw Values'!$C25 * 'Raw Values'!$B25/2 * ('Raw Values'!$D25 ^ (900/500)))</f>
        <v>13.67475805</v>
      </c>
      <c r="O25" s="34">
        <f>SUM('Raw Values'!$C25 * 'Raw Values'!$B25/2 * ('Raw Values'!$D25 ^ (1000/500)))</f>
        <v>13.268424</v>
      </c>
      <c r="P25" s="34">
        <f>SUM('Raw Values'!$C25 * 'Raw Values'!$B25/2 * ('Raw Values'!$D25 ^ (1100/500)))</f>
        <v>12.87416383</v>
      </c>
      <c r="Q25" s="34">
        <f>SUM('Raw Values'!$C25 * 'Raw Values'!$B25/2 * ('Raw Values'!$D25 ^ (1200/500)))</f>
        <v>12.49161877</v>
      </c>
      <c r="R25" s="34">
        <f>SUM('Raw Values'!$C25 * 'Raw Values'!$B25/2 * ('Raw Values'!$D25 ^ (1300/500)))</f>
        <v>12.12044072</v>
      </c>
      <c r="S25" s="34">
        <f>SUM('Raw Values'!$C25 * 'Raw Values'!$B25/2 * ('Raw Values'!$D25 ^ (1400/500)))</f>
        <v>11.76029192</v>
      </c>
      <c r="T25" s="34">
        <f>SUM('Raw Values'!$C25 * 'Raw Values'!$B25/2 * ('Raw Values'!$D25 ^ (1500/500)))</f>
        <v>11.41084464</v>
      </c>
      <c r="U25" s="130"/>
      <c r="V25" s="34">
        <f>SUM('Raw Values'!$C25 * 'Raw Values'!$B25/2 * ('Raw Values'!$D25 ^ (2000/500)))</f>
        <v>9.81332639</v>
      </c>
      <c r="W25" s="34">
        <f>SUM('Raw Values'!$C25 * 'Raw Values'!$B25/2 * ('Raw Values'!$D25 ^ (2500/500)))</f>
        <v>8.439460696</v>
      </c>
      <c r="X25" s="34">
        <f>SUM('Raw Values'!$C25 * 'Raw Values'!$B25/2 * ('Raw Values'!$D25 ^ (3000/500)))</f>
        <v>7.257936198</v>
      </c>
      <c r="Y25" s="130"/>
      <c r="Z25" s="34">
        <f>SUM(500*(log(50/(C25*4*B25/2))/log('Raw Values'!$D25)))</f>
        <v>1197.776455</v>
      </c>
      <c r="AA25" s="34" t="s">
        <v>209</v>
      </c>
      <c r="AB25" s="34">
        <f>SUM(F25 * 1/'Raw Values'!$E25)</f>
        <v>248.6703977</v>
      </c>
      <c r="AC25" s="34">
        <f>SUM(H25 * 1/'Raw Values'!$E25)</f>
        <v>234.1118891</v>
      </c>
      <c r="AD25" s="34">
        <f>SUM(K25 * 1/'Raw Values'!$E25)</f>
        <v>213.856542</v>
      </c>
      <c r="AE25" s="34">
        <f>SUM(Q25 * 1/'Raw Values'!$E25)</f>
        <v>178.4516968</v>
      </c>
    </row>
    <row r="26" ht="15.75" customHeight="1">
      <c r="A26" s="28" t="s">
        <v>160</v>
      </c>
      <c r="B26" s="30">
        <f>'Raw Values'!B26</f>
        <v>1.3</v>
      </c>
      <c r="C26" s="40">
        <f>'Raw Values'!C26</f>
        <v>35</v>
      </c>
      <c r="D26" s="34">
        <f>'Raw Values'!D26</f>
        <v>0.75</v>
      </c>
      <c r="E26" s="130"/>
      <c r="F26" s="34">
        <f>SUM('Raw Values'!$C26 * 'Raw Values'!$B26/2 * ('Raw Values'!$D26 ^ (100/500)))</f>
        <v>21.47799088</v>
      </c>
      <c r="G26" s="34">
        <f>SUM('Raw Values'!$C26 * 'Raw Values'!$B26/2 * ('Raw Values'!$D26 ^ (200/500)))</f>
        <v>20.27710296</v>
      </c>
      <c r="H26" s="34">
        <f>SUM('Raw Values'!$C26 * 'Raw Values'!$B26/2 * ('Raw Values'!$D26 ^ (300/500)))</f>
        <v>19.14335967</v>
      </c>
      <c r="I26" s="34">
        <f>SUM('Raw Values'!$C26 * 'Raw Values'!$B26/2 * ('Raw Values'!$D26 ^ (400/500)))</f>
        <v>18.07300679</v>
      </c>
      <c r="J26" s="34">
        <f>SUM('Raw Values'!$C26 * 'Raw Values'!$B26/2 * ('Raw Values'!$D26 ^ (500/500)))</f>
        <v>17.0625</v>
      </c>
      <c r="K26" s="34">
        <f>SUM('Raw Values'!$C26 * 'Raw Values'!$B26/2 * ('Raw Values'!$D26 ^ (600/500)))</f>
        <v>16.10849316</v>
      </c>
      <c r="L26" s="34">
        <f>SUM('Raw Values'!$C26 * 'Raw Values'!$B26/2 * ('Raw Values'!$D26 ^ (700/500)))</f>
        <v>15.20782722</v>
      </c>
      <c r="M26" s="34">
        <f>SUM('Raw Values'!$C26 * 'Raw Values'!$B26/2 * ('Raw Values'!$D26 ^ (800/500)))</f>
        <v>14.35751975</v>
      </c>
      <c r="N26" s="34">
        <f>SUM('Raw Values'!$C26 * 'Raw Values'!$B26/2 * ('Raw Values'!$D26 ^ (900/500)))</f>
        <v>13.55475509</v>
      </c>
      <c r="O26" s="34">
        <f>SUM('Raw Values'!$C26 * 'Raw Values'!$B26/2 * ('Raw Values'!$D26 ^ (1000/500)))</f>
        <v>12.796875</v>
      </c>
      <c r="P26" s="34">
        <f>SUM('Raw Values'!$C26 * 'Raw Values'!$B26/2 * ('Raw Values'!$D26 ^ (1100/500)))</f>
        <v>12.08136987</v>
      </c>
      <c r="Q26" s="34">
        <f>SUM('Raw Values'!$C26 * 'Raw Values'!$B26/2 * ('Raw Values'!$D26 ^ (1200/500)))</f>
        <v>11.40587041</v>
      </c>
      <c r="R26" s="34">
        <f>SUM('Raw Values'!$C26 * 'Raw Values'!$B26/2 * ('Raw Values'!$D26 ^ (1300/500)))</f>
        <v>10.76813981</v>
      </c>
      <c r="S26" s="34">
        <f>SUM('Raw Values'!$C26 * 'Raw Values'!$B26/2 * ('Raw Values'!$D26 ^ (1400/500)))</f>
        <v>10.16606632</v>
      </c>
      <c r="T26" s="34">
        <f>SUM('Raw Values'!$C26 * 'Raw Values'!$B26/2 * ('Raw Values'!$D26 ^ (1500/500)))</f>
        <v>9.59765625</v>
      </c>
      <c r="U26" s="130"/>
      <c r="V26" s="34">
        <f>SUM('Raw Values'!$C26 * 'Raw Values'!$B26/2 * ('Raw Values'!$D26 ^ (2000/500)))</f>
        <v>7.198242188</v>
      </c>
      <c r="W26" s="34">
        <f>SUM('Raw Values'!$C26 * 'Raw Values'!$B26/2 * ('Raw Values'!$D26 ^ (2500/500)))</f>
        <v>5.398681641</v>
      </c>
      <c r="X26" s="34">
        <f>SUM('Raw Values'!$C26 * 'Raw Values'!$B26/2 * ('Raw Values'!$D26 ^ (3000/500)))</f>
        <v>4.04901123</v>
      </c>
      <c r="Y26" s="130"/>
      <c r="Z26" s="34">
        <f>SUM(500*(log(50/(C26*4*B26/2))/log('Raw Values'!$D26)))</f>
        <v>1040.795653</v>
      </c>
      <c r="AA26" s="34" t="s">
        <v>209</v>
      </c>
      <c r="AB26" s="34">
        <f>SUM(F26 * 1/'Raw Values'!$E26)</f>
        <v>238.6443431</v>
      </c>
      <c r="AC26" s="34">
        <f>SUM(H26 * 1/'Raw Values'!$E26)</f>
        <v>212.7039963</v>
      </c>
      <c r="AD26" s="34">
        <f>SUM(K26 * 1/'Raw Values'!$E26)</f>
        <v>178.9832573</v>
      </c>
      <c r="AE26" s="34">
        <f>SUM(Q26 * 1/'Raw Values'!$E26)</f>
        <v>126.7318935</v>
      </c>
    </row>
    <row r="27" ht="15.75" customHeight="1">
      <c r="A27" s="75"/>
      <c r="B27" s="76"/>
      <c r="C27" s="163"/>
      <c r="D27" s="79"/>
      <c r="E27" s="133"/>
      <c r="F27" s="75"/>
      <c r="G27" s="75"/>
      <c r="H27" s="75"/>
      <c r="I27" s="75"/>
      <c r="J27" s="75"/>
      <c r="K27" s="75"/>
      <c r="L27" s="75"/>
      <c r="M27" s="75"/>
      <c r="N27" s="75"/>
      <c r="O27" s="75"/>
      <c r="P27" s="75"/>
      <c r="Q27" s="75"/>
      <c r="R27" s="75"/>
      <c r="S27" s="75"/>
      <c r="T27" s="75"/>
      <c r="U27" s="164"/>
      <c r="V27" s="75"/>
      <c r="W27" s="75"/>
      <c r="X27" s="75"/>
      <c r="Y27" s="133"/>
      <c r="Z27" s="134"/>
      <c r="AA27" s="79"/>
      <c r="AB27" s="79"/>
      <c r="AC27" s="79"/>
      <c r="AD27" s="79"/>
      <c r="AE27" s="79"/>
    </row>
    <row r="28" ht="15.75" customHeight="1">
      <c r="A28" s="5" t="s">
        <v>161</v>
      </c>
      <c r="B28" s="8" t="s">
        <v>246</v>
      </c>
      <c r="C28" s="161" t="s">
        <v>15</v>
      </c>
      <c r="D28" s="9" t="s">
        <v>18</v>
      </c>
      <c r="E28" s="158"/>
      <c r="F28" s="7" t="s">
        <v>223</v>
      </c>
      <c r="G28" s="7" t="s">
        <v>224</v>
      </c>
      <c r="H28" s="7" t="s">
        <v>225</v>
      </c>
      <c r="I28" s="7" t="s">
        <v>226</v>
      </c>
      <c r="J28" s="7" t="s">
        <v>227</v>
      </c>
      <c r="K28" s="7" t="s">
        <v>228</v>
      </c>
      <c r="L28" s="7" t="s">
        <v>229</v>
      </c>
      <c r="M28" s="7" t="s">
        <v>230</v>
      </c>
      <c r="N28" s="7" t="s">
        <v>231</v>
      </c>
      <c r="O28" s="7" t="s">
        <v>232</v>
      </c>
      <c r="P28" s="7" t="s">
        <v>233</v>
      </c>
      <c r="Q28" s="7" t="s">
        <v>234</v>
      </c>
      <c r="R28" s="7" t="s">
        <v>235</v>
      </c>
      <c r="S28" s="7" t="s">
        <v>236</v>
      </c>
      <c r="T28" s="7" t="s">
        <v>237</v>
      </c>
      <c r="U28" s="165"/>
      <c r="V28" s="159" t="s">
        <v>238</v>
      </c>
      <c r="W28" s="159" t="s">
        <v>239</v>
      </c>
      <c r="X28" s="159" t="s">
        <v>240</v>
      </c>
      <c r="Y28" s="177"/>
      <c r="Z28" s="179"/>
      <c r="AA28" s="7" t="s">
        <v>241</v>
      </c>
      <c r="AB28" s="9" t="s">
        <v>242</v>
      </c>
      <c r="AC28" s="9" t="s">
        <v>243</v>
      </c>
      <c r="AD28" s="9" t="s">
        <v>244</v>
      </c>
      <c r="AE28" s="9" t="s">
        <v>245</v>
      </c>
    </row>
    <row r="29" ht="15.75" customHeight="1">
      <c r="A29" s="66" t="s">
        <v>164</v>
      </c>
      <c r="B29" s="30">
        <f>'Raw Values'!B29</f>
        <v>1.55</v>
      </c>
      <c r="C29" s="40">
        <f>'Raw Values'!C29</f>
        <v>36</v>
      </c>
      <c r="D29" s="34">
        <f>'Raw Values'!D29</f>
        <v>0.98</v>
      </c>
      <c r="E29" s="130"/>
      <c r="F29" s="34">
        <f>SUM('Raw Values'!$C29 * 'Raw Values'!$B29/2 * ('Raw Values'!$D29 ^ (100/500)))</f>
        <v>27.78749633</v>
      </c>
      <c r="G29" s="34">
        <f>SUM('Raw Values'!$C29 * 'Raw Values'!$B29/2 * ('Raw Values'!$D29 ^ (200/500)))</f>
        <v>27.67544633</v>
      </c>
      <c r="H29" s="34">
        <f>SUM('Raw Values'!$C29 * 'Raw Values'!$B29/2 * ('Raw Values'!$D29 ^ (300/500)))</f>
        <v>27.56384815</v>
      </c>
      <c r="I29" s="34">
        <f>SUM('Raw Values'!$C29 * 'Raw Values'!$B29/2 * ('Raw Values'!$D29 ^ (400/500)))</f>
        <v>27.45269998</v>
      </c>
      <c r="J29" s="34">
        <f>SUM('Raw Values'!$C29 * 'Raw Values'!$B29/2 * ('Raw Values'!$D29 ^ (500/500)))</f>
        <v>27.342</v>
      </c>
      <c r="K29" s="34">
        <f>SUM('Raw Values'!$C29 * 'Raw Values'!$B29/2 * ('Raw Values'!$D29 ^ (600/500)))</f>
        <v>27.23174641</v>
      </c>
      <c r="L29" s="34">
        <f>SUM('Raw Values'!$C29 * 'Raw Values'!$B29/2 * ('Raw Values'!$D29 ^ (700/500)))</f>
        <v>27.1219374</v>
      </c>
      <c r="M29" s="34">
        <f>SUM('Raw Values'!$C29 * 'Raw Values'!$B29/2 * ('Raw Values'!$D29 ^ (800/500)))</f>
        <v>27.01257119</v>
      </c>
      <c r="N29" s="34">
        <f>SUM('Raw Values'!$C29 * 'Raw Values'!$B29/2 * ('Raw Values'!$D29 ^ (900/500)))</f>
        <v>26.90364598</v>
      </c>
      <c r="O29" s="34">
        <f>SUM('Raw Values'!$C29 * 'Raw Values'!$B29/2 * ('Raw Values'!$D29 ^ (1000/500)))</f>
        <v>26.79516</v>
      </c>
      <c r="P29" s="34">
        <f>SUM('Raw Values'!$C29 * 'Raw Values'!$B29/2 * ('Raw Values'!$D29 ^ (1100/500)))</f>
        <v>26.68711148</v>
      </c>
      <c r="Q29" s="34">
        <f>SUM('Raw Values'!$C29 * 'Raw Values'!$B29/2 * ('Raw Values'!$D29 ^ (1200/500)))</f>
        <v>26.57949865</v>
      </c>
      <c r="R29" s="34">
        <f>SUM('Raw Values'!$C29 * 'Raw Values'!$B29/2 * ('Raw Values'!$D29 ^ (1300/500)))</f>
        <v>26.47231976</v>
      </c>
      <c r="S29" s="34">
        <f>SUM('Raw Values'!$C29 * 'Raw Values'!$B29/2 * ('Raw Values'!$D29 ^ (1400/500)))</f>
        <v>26.36557306</v>
      </c>
      <c r="T29" s="34">
        <f>SUM('Raw Values'!$C29 * 'Raw Values'!$B29/2 * ('Raw Values'!$D29 ^ (1500/500)))</f>
        <v>26.2592568</v>
      </c>
      <c r="U29" s="130"/>
      <c r="V29" s="34">
        <f>SUM('Raw Values'!$C29 * 'Raw Values'!$B29/2 * ('Raw Values'!$D29 ^ (2000/500)))</f>
        <v>25.73407166</v>
      </c>
      <c r="W29" s="34">
        <f>SUM('Raw Values'!$C29 * 'Raw Values'!$B29/2 * ('Raw Values'!$D29 ^ (2500/500)))</f>
        <v>25.21939023</v>
      </c>
      <c r="X29" s="34">
        <f>SUM('Raw Values'!$C29 * 'Raw Values'!$B29/2 * ('Raw Values'!$D29 ^ (3000/500)))</f>
        <v>24.71500243</v>
      </c>
      <c r="Y29" s="150"/>
      <c r="Z29" s="180"/>
      <c r="AA29" s="34">
        <f>SUM(500*(log(100/(C29*4*B29/2)))/log('Raw Values'!$D29))</f>
        <v>2716.241498</v>
      </c>
      <c r="AB29" s="34">
        <f>SUM(F29 * 1/'Raw Values'!$E29)</f>
        <v>277.8749633</v>
      </c>
      <c r="AC29" s="34">
        <f>SUM(H29 * 1/'Raw Values'!$E29)</f>
        <v>275.6384815</v>
      </c>
      <c r="AD29" s="34">
        <f>SUM(K29 * 1/'Raw Values'!$E29)</f>
        <v>272.3174641</v>
      </c>
      <c r="AE29" s="34">
        <f>SUM(Q29 * 1/'Raw Values'!$E29)</f>
        <v>265.7949865</v>
      </c>
    </row>
    <row r="30" ht="15.75" customHeight="1">
      <c r="A30" s="61" t="s">
        <v>166</v>
      </c>
      <c r="B30" s="30">
        <f>'Raw Values'!B30</f>
        <v>1.8</v>
      </c>
      <c r="C30" s="40">
        <f>'Raw Values'!C30</f>
        <v>28</v>
      </c>
      <c r="D30" s="34">
        <f>'Raw Values'!D30</f>
        <v>0.98</v>
      </c>
      <c r="E30" s="130"/>
      <c r="F30" s="34">
        <f>SUM('Raw Values'!$C30 * 'Raw Values'!$B30/2 * ('Raw Values'!$D30 ^ (100/500)))</f>
        <v>25.09838379</v>
      </c>
      <c r="G30" s="34">
        <f>SUM('Raw Values'!$C30 * 'Raw Values'!$B30/2 * ('Raw Values'!$D30 ^ (200/500)))</f>
        <v>24.99717733</v>
      </c>
      <c r="H30" s="34">
        <f>SUM('Raw Values'!$C30 * 'Raw Values'!$B30/2 * ('Raw Values'!$D30 ^ (300/500)))</f>
        <v>24.89637897</v>
      </c>
      <c r="I30" s="34">
        <f>SUM('Raw Values'!$C30 * 'Raw Values'!$B30/2 * ('Raw Values'!$D30 ^ (400/500)))</f>
        <v>24.79598708</v>
      </c>
      <c r="J30" s="34">
        <f>SUM('Raw Values'!$C30 * 'Raw Values'!$B30/2 * ('Raw Values'!$D30 ^ (500/500)))</f>
        <v>24.696</v>
      </c>
      <c r="K30" s="34">
        <f>SUM('Raw Values'!$C30 * 'Raw Values'!$B30/2 * ('Raw Values'!$D30 ^ (600/500)))</f>
        <v>24.59641611</v>
      </c>
      <c r="L30" s="34">
        <f>SUM('Raw Values'!$C30 * 'Raw Values'!$B30/2 * ('Raw Values'!$D30 ^ (700/500)))</f>
        <v>24.49723378</v>
      </c>
      <c r="M30" s="34">
        <f>SUM('Raw Values'!$C30 * 'Raw Values'!$B30/2 * ('Raw Values'!$D30 ^ (800/500)))</f>
        <v>24.39845139</v>
      </c>
      <c r="N30" s="34">
        <f>SUM('Raw Values'!$C30 * 'Raw Values'!$B30/2 * ('Raw Values'!$D30 ^ (900/500)))</f>
        <v>24.30006734</v>
      </c>
      <c r="O30" s="34">
        <f>SUM('Raw Values'!$C30 * 'Raw Values'!$B30/2 * ('Raw Values'!$D30 ^ (1000/500)))</f>
        <v>24.20208</v>
      </c>
      <c r="P30" s="34">
        <f>SUM('Raw Values'!$C30 * 'Raw Values'!$B30/2 * ('Raw Values'!$D30 ^ (1100/500)))</f>
        <v>24.10448779</v>
      </c>
      <c r="Q30" s="34">
        <f>SUM('Raw Values'!$C30 * 'Raw Values'!$B30/2 * ('Raw Values'!$D30 ^ (1200/500)))</f>
        <v>24.00728911</v>
      </c>
      <c r="R30" s="34">
        <f>SUM('Raw Values'!$C30 * 'Raw Values'!$B30/2 * ('Raw Values'!$D30 ^ (1300/500)))</f>
        <v>23.91048237</v>
      </c>
      <c r="S30" s="34">
        <f>SUM('Raw Values'!$C30 * 'Raw Values'!$B30/2 * ('Raw Values'!$D30 ^ (1400/500)))</f>
        <v>23.81406599</v>
      </c>
      <c r="T30" s="34">
        <f>SUM('Raw Values'!$C30 * 'Raw Values'!$B30/2 * ('Raw Values'!$D30 ^ (1500/500)))</f>
        <v>23.7180384</v>
      </c>
      <c r="U30" s="130"/>
      <c r="V30" s="34">
        <f>SUM('Raw Values'!$C30 * 'Raw Values'!$B30/2 * ('Raw Values'!$D30 ^ (2000/500)))</f>
        <v>23.24367763</v>
      </c>
      <c r="W30" s="34">
        <f>SUM('Raw Values'!$C30 * 'Raw Values'!$B30/2 * ('Raw Values'!$D30 ^ (2500/500)))</f>
        <v>22.77880408</v>
      </c>
      <c r="X30" s="34">
        <f>SUM('Raw Values'!$C30 * 'Raw Values'!$B30/2 * ('Raw Values'!$D30 ^ (3000/500)))</f>
        <v>22.323228</v>
      </c>
      <c r="Y30" s="150"/>
      <c r="Z30" s="180"/>
      <c r="AA30" s="34">
        <f>SUM(500*(log(100/(C30*4*B30/2)))/log('Raw Values'!$D30))</f>
        <v>197.2054914</v>
      </c>
      <c r="AB30" s="34">
        <f>SUM(F30 * 1/'Raw Values'!$E30)</f>
        <v>250.9838379</v>
      </c>
      <c r="AC30" s="34">
        <f>SUM(H30 * 1/'Raw Values'!$E30)</f>
        <v>248.9637897</v>
      </c>
      <c r="AD30" s="34">
        <f>SUM(K30 * 1/'Raw Values'!$E30)</f>
        <v>245.9641611</v>
      </c>
      <c r="AE30" s="34">
        <f>SUM(Q30 * 1/'Raw Values'!$E30)</f>
        <v>240.0728911</v>
      </c>
    </row>
    <row r="31" ht="15.75" customHeight="1">
      <c r="A31" s="61" t="s">
        <v>168</v>
      </c>
      <c r="B31" s="30">
        <f>'Raw Values'!B31</f>
        <v>1.4</v>
      </c>
      <c r="C31" s="40">
        <f>'Raw Values'!C31</f>
        <v>30</v>
      </c>
      <c r="D31" s="34">
        <f>'Raw Values'!D31</f>
        <v>0.96</v>
      </c>
      <c r="E31" s="130"/>
      <c r="F31" s="34">
        <f>SUM('Raw Values'!$C31 * 'Raw Values'!$B31/2 * ('Raw Values'!$D31 ^ (100/500)))</f>
        <v>20.82924562</v>
      </c>
      <c r="G31" s="34">
        <f>SUM('Raw Values'!$C31 * 'Raw Values'!$B31/2 * ('Raw Values'!$D31 ^ (200/500)))</f>
        <v>20.65987968</v>
      </c>
      <c r="H31" s="34">
        <f>SUM('Raw Values'!$C31 * 'Raw Values'!$B31/2 * ('Raw Values'!$D31 ^ (300/500)))</f>
        <v>20.49189088</v>
      </c>
      <c r="I31" s="34">
        <f>SUM('Raw Values'!$C31 * 'Raw Values'!$B31/2 * ('Raw Values'!$D31 ^ (400/500)))</f>
        <v>20.32526802</v>
      </c>
      <c r="J31" s="34">
        <f>SUM('Raw Values'!$C31 * 'Raw Values'!$B31/2 * ('Raw Values'!$D31 ^ (500/500)))</f>
        <v>20.16</v>
      </c>
      <c r="K31" s="34">
        <f>SUM('Raw Values'!$C31 * 'Raw Values'!$B31/2 * ('Raw Values'!$D31 ^ (600/500)))</f>
        <v>19.9960758</v>
      </c>
      <c r="L31" s="34">
        <f>SUM('Raw Values'!$C31 * 'Raw Values'!$B31/2 * ('Raw Values'!$D31 ^ (700/500)))</f>
        <v>19.83348449</v>
      </c>
      <c r="M31" s="34">
        <f>SUM('Raw Values'!$C31 * 'Raw Values'!$B31/2 * ('Raw Values'!$D31 ^ (800/500)))</f>
        <v>19.67221524</v>
      </c>
      <c r="N31" s="34">
        <f>SUM('Raw Values'!$C31 * 'Raw Values'!$B31/2 * ('Raw Values'!$D31 ^ (900/500)))</f>
        <v>19.5122573</v>
      </c>
      <c r="O31" s="34">
        <f>SUM('Raw Values'!$C31 * 'Raw Values'!$B31/2 * ('Raw Values'!$D31 ^ (1000/500)))</f>
        <v>19.3536</v>
      </c>
      <c r="P31" s="34">
        <f>SUM('Raw Values'!$C31 * 'Raw Values'!$B31/2 * ('Raw Values'!$D31 ^ (1100/500)))</f>
        <v>19.19623277</v>
      </c>
      <c r="Q31" s="34">
        <f>SUM('Raw Values'!$C31 * 'Raw Values'!$B31/2 * ('Raw Values'!$D31 ^ (1200/500)))</f>
        <v>19.04014511</v>
      </c>
      <c r="R31" s="34">
        <f>SUM('Raw Values'!$C31 * 'Raw Values'!$B31/2 * ('Raw Values'!$D31 ^ (1300/500)))</f>
        <v>18.88532663</v>
      </c>
      <c r="S31" s="34">
        <f>SUM('Raw Values'!$C31 * 'Raw Values'!$B31/2 * ('Raw Values'!$D31 ^ (1400/500)))</f>
        <v>18.73176701</v>
      </c>
      <c r="T31" s="34">
        <f>SUM('Raw Values'!$C31 * 'Raw Values'!$B31/2 * ('Raw Values'!$D31 ^ (1500/500)))</f>
        <v>18.579456</v>
      </c>
      <c r="U31" s="130"/>
      <c r="V31" s="34">
        <f>SUM('Raw Values'!$C31 * 'Raw Values'!$B31/2 * ('Raw Values'!$D31 ^ (2000/500)))</f>
        <v>17.83627776</v>
      </c>
      <c r="W31" s="34">
        <f>SUM('Raw Values'!$C31 * 'Raw Values'!$B31/2 * ('Raw Values'!$D31 ^ (2500/500)))</f>
        <v>17.12282665</v>
      </c>
      <c r="X31" s="34">
        <f>SUM('Raw Values'!$C31 * 'Raw Values'!$B31/2 * ('Raw Values'!$D31 ^ (3000/500)))</f>
        <v>16.43791358</v>
      </c>
      <c r="Y31" s="150"/>
      <c r="Z31" s="180"/>
      <c r="AA31" s="34" t="s">
        <v>209</v>
      </c>
      <c r="AB31" s="34">
        <f>SUM(F31 * 1/'Raw Values'!$E31)</f>
        <v>231.4360625</v>
      </c>
      <c r="AC31" s="34">
        <f>SUM(H31 * 1/'Raw Values'!$E31)</f>
        <v>227.6876764</v>
      </c>
      <c r="AD31" s="34">
        <f>SUM(K31 * 1/'Raw Values'!$E31)</f>
        <v>222.17862</v>
      </c>
      <c r="AE31" s="34">
        <f>SUM(Q31 * 1/'Raw Values'!$E31)</f>
        <v>211.5571679</v>
      </c>
    </row>
    <row r="32" ht="15.75" customHeight="1">
      <c r="A32" s="66" t="s">
        <v>170</v>
      </c>
      <c r="B32" s="30">
        <f>'Raw Values'!B32</f>
        <v>1.55</v>
      </c>
      <c r="C32" s="40">
        <f>'Raw Values'!C32</f>
        <v>30</v>
      </c>
      <c r="D32" s="34">
        <f>'Raw Values'!D32</f>
        <v>0.98</v>
      </c>
      <c r="E32" s="130"/>
      <c r="F32" s="34">
        <f>SUM('Raw Values'!$C32 * 'Raw Values'!$B32/2 * ('Raw Values'!$D32 ^ (100/500)))</f>
        <v>23.15624695</v>
      </c>
      <c r="G32" s="34">
        <f>SUM('Raw Values'!$C32 * 'Raw Values'!$B32/2 * ('Raw Values'!$D32 ^ (200/500)))</f>
        <v>23.06287194</v>
      </c>
      <c r="H32" s="34">
        <f>SUM('Raw Values'!$C32 * 'Raw Values'!$B32/2 * ('Raw Values'!$D32 ^ (300/500)))</f>
        <v>22.96987346</v>
      </c>
      <c r="I32" s="34">
        <f>SUM('Raw Values'!$C32 * 'Raw Values'!$B32/2 * ('Raw Values'!$D32 ^ (400/500)))</f>
        <v>22.87724998</v>
      </c>
      <c r="J32" s="34">
        <f>SUM('Raw Values'!$C32 * 'Raw Values'!$B32/2 * ('Raw Values'!$D32 ^ (500/500)))</f>
        <v>22.785</v>
      </c>
      <c r="K32" s="34">
        <f>SUM('Raw Values'!$C32 * 'Raw Values'!$B32/2 * ('Raw Values'!$D32 ^ (600/500)))</f>
        <v>22.69312201</v>
      </c>
      <c r="L32" s="34">
        <f>SUM('Raw Values'!$C32 * 'Raw Values'!$B32/2 * ('Raw Values'!$D32 ^ (700/500)))</f>
        <v>22.6016145</v>
      </c>
      <c r="M32" s="34">
        <f>SUM('Raw Values'!$C32 * 'Raw Values'!$B32/2 * ('Raw Values'!$D32 ^ (800/500)))</f>
        <v>22.51047599</v>
      </c>
      <c r="N32" s="34">
        <f>SUM('Raw Values'!$C32 * 'Raw Values'!$B32/2 * ('Raw Values'!$D32 ^ (900/500)))</f>
        <v>22.41970498</v>
      </c>
      <c r="O32" s="34">
        <f>SUM('Raw Values'!$C32 * 'Raw Values'!$B32/2 * ('Raw Values'!$D32 ^ (1000/500)))</f>
        <v>22.3293</v>
      </c>
      <c r="P32" s="34">
        <f>SUM('Raw Values'!$C32 * 'Raw Values'!$B32/2 * ('Raw Values'!$D32 ^ (1100/500)))</f>
        <v>22.23925957</v>
      </c>
      <c r="Q32" s="34">
        <f>SUM('Raw Values'!$C32 * 'Raw Values'!$B32/2 * ('Raw Values'!$D32 ^ (1200/500)))</f>
        <v>22.14958221</v>
      </c>
      <c r="R32" s="34">
        <f>SUM('Raw Values'!$C32 * 'Raw Values'!$B32/2 * ('Raw Values'!$D32 ^ (1300/500)))</f>
        <v>22.06026647</v>
      </c>
      <c r="S32" s="34">
        <f>SUM('Raw Values'!$C32 * 'Raw Values'!$B32/2 * ('Raw Values'!$D32 ^ (1400/500)))</f>
        <v>21.97131088</v>
      </c>
      <c r="T32" s="34">
        <f>SUM('Raw Values'!$C32 * 'Raw Values'!$B32/2 * ('Raw Values'!$D32 ^ (1500/500)))</f>
        <v>21.882714</v>
      </c>
      <c r="U32" s="130"/>
      <c r="V32" s="34">
        <f>SUM('Raw Values'!$C32 * 'Raw Values'!$B32/2 * ('Raw Values'!$D32 ^ (2000/500)))</f>
        <v>21.44505972</v>
      </c>
      <c r="W32" s="34">
        <f>SUM('Raw Values'!$C32 * 'Raw Values'!$B32/2 * ('Raw Values'!$D32 ^ (2500/500)))</f>
        <v>21.01615853</v>
      </c>
      <c r="X32" s="34">
        <f>SUM('Raw Values'!$C32 * 'Raw Values'!$B32/2 * ('Raw Values'!$D32 ^ (3000/500)))</f>
        <v>20.59583536</v>
      </c>
      <c r="Y32" s="150"/>
      <c r="Z32" s="180"/>
      <c r="AA32" s="34" t="s">
        <v>209</v>
      </c>
      <c r="AB32" s="34">
        <f>SUM(F32 * 1/'Raw Values'!$E32)</f>
        <v>257.2916327</v>
      </c>
      <c r="AC32" s="34">
        <f>SUM(H32 * 1/'Raw Values'!$E32)</f>
        <v>255.2208162</v>
      </c>
      <c r="AD32" s="34">
        <f>SUM(K32 * 1/'Raw Values'!$E32)</f>
        <v>252.1458001</v>
      </c>
      <c r="AE32" s="34">
        <f>SUM(Q32 * 1/'Raw Values'!$E32)</f>
        <v>246.106469</v>
      </c>
    </row>
    <row r="33" ht="15.75" customHeight="1">
      <c r="A33" s="61" t="s">
        <v>171</v>
      </c>
      <c r="B33" s="30">
        <f>'Raw Values'!B33</f>
        <v>1.4</v>
      </c>
      <c r="C33" s="40">
        <f>'Raw Values'!C33</f>
        <v>33</v>
      </c>
      <c r="D33" s="34">
        <f>'Raw Values'!D33</f>
        <v>0.97</v>
      </c>
      <c r="E33" s="130"/>
      <c r="F33" s="34">
        <f>SUM('Raw Values'!$C33 * 'Raw Values'!$B33/2 * ('Raw Values'!$D33 ^ (100/500)))</f>
        <v>22.95970622</v>
      </c>
      <c r="G33" s="34">
        <f>SUM('Raw Values'!$C33 * 'Raw Values'!$B33/2 * ('Raw Values'!$D33 ^ (200/500)))</f>
        <v>22.82026449</v>
      </c>
      <c r="H33" s="34">
        <f>SUM('Raw Values'!$C33 * 'Raw Values'!$B33/2 * ('Raw Values'!$D33 ^ (300/500)))</f>
        <v>22.68166963</v>
      </c>
      <c r="I33" s="34">
        <f>SUM('Raw Values'!$C33 * 'Raw Values'!$B33/2 * ('Raw Values'!$D33 ^ (400/500)))</f>
        <v>22.54391651</v>
      </c>
      <c r="J33" s="34">
        <f>SUM('Raw Values'!$C33 * 'Raw Values'!$B33/2 * ('Raw Values'!$D33 ^ (500/500)))</f>
        <v>22.407</v>
      </c>
      <c r="K33" s="34">
        <f>SUM('Raw Values'!$C33 * 'Raw Values'!$B33/2 * ('Raw Values'!$D33 ^ (600/500)))</f>
        <v>22.27091503</v>
      </c>
      <c r="L33" s="34">
        <f>SUM('Raw Values'!$C33 * 'Raw Values'!$B33/2 * ('Raw Values'!$D33 ^ (700/500)))</f>
        <v>22.13565655</v>
      </c>
      <c r="M33" s="34">
        <f>SUM('Raw Values'!$C33 * 'Raw Values'!$B33/2 * ('Raw Values'!$D33 ^ (800/500)))</f>
        <v>22.00121954</v>
      </c>
      <c r="N33" s="34">
        <f>SUM('Raw Values'!$C33 * 'Raw Values'!$B33/2 * ('Raw Values'!$D33 ^ (900/500)))</f>
        <v>21.86759901</v>
      </c>
      <c r="O33" s="34">
        <f>SUM('Raw Values'!$C33 * 'Raw Values'!$B33/2 * ('Raw Values'!$D33 ^ (1000/500)))</f>
        <v>21.73479</v>
      </c>
      <c r="P33" s="34">
        <f>SUM('Raw Values'!$C33 * 'Raw Values'!$B33/2 * ('Raw Values'!$D33 ^ (1100/500)))</f>
        <v>21.60278758</v>
      </c>
      <c r="Q33" s="34">
        <f>SUM('Raw Values'!$C33 * 'Raw Values'!$B33/2 * ('Raw Values'!$D33 ^ (1200/500)))</f>
        <v>21.47158686</v>
      </c>
      <c r="R33" s="34">
        <f>SUM('Raw Values'!$C33 * 'Raw Values'!$B33/2 * ('Raw Values'!$D33 ^ (1300/500)))</f>
        <v>21.34118296</v>
      </c>
      <c r="S33" s="34">
        <f>SUM('Raw Values'!$C33 * 'Raw Values'!$B33/2 * ('Raw Values'!$D33 ^ (1400/500)))</f>
        <v>21.21157104</v>
      </c>
      <c r="T33" s="34">
        <f>SUM('Raw Values'!$C33 * 'Raw Values'!$B33/2 * ('Raw Values'!$D33 ^ (1500/500)))</f>
        <v>21.0827463</v>
      </c>
      <c r="U33" s="130"/>
      <c r="V33" s="34">
        <f>SUM('Raw Values'!$C33 * 'Raw Values'!$B33/2 * ('Raw Values'!$D33 ^ (2000/500)))</f>
        <v>20.45026391</v>
      </c>
      <c r="W33" s="34">
        <f>SUM('Raw Values'!$C33 * 'Raw Values'!$B33/2 * ('Raw Values'!$D33 ^ (2500/500)))</f>
        <v>19.83675599</v>
      </c>
      <c r="X33" s="34">
        <f>SUM('Raw Values'!$C33 * 'Raw Values'!$B33/2 * ('Raw Values'!$D33 ^ (3000/500)))</f>
        <v>19.24165331</v>
      </c>
      <c r="Y33" s="150"/>
      <c r="Z33" s="180"/>
      <c r="AA33" s="34" t="s">
        <v>209</v>
      </c>
      <c r="AB33" s="34">
        <f>SUM(F33 * 1/'Raw Values'!$E33)</f>
        <v>255.1078469</v>
      </c>
      <c r="AC33" s="34">
        <f>SUM(H33 * 1/'Raw Values'!$E33)</f>
        <v>252.0185515</v>
      </c>
      <c r="AD33" s="34">
        <f>SUM(K33 * 1/'Raw Values'!$E33)</f>
        <v>247.4546115</v>
      </c>
      <c r="AE33" s="34">
        <f>SUM(Q33 * 1/'Raw Values'!$E33)</f>
        <v>238.5731873</v>
      </c>
    </row>
    <row r="34" ht="15.75" customHeight="1">
      <c r="A34" s="61" t="s">
        <v>173</v>
      </c>
      <c r="B34" s="30">
        <f>'Raw Values'!B34</f>
        <v>1.4</v>
      </c>
      <c r="C34" s="40">
        <f>'Raw Values'!C34</f>
        <v>33</v>
      </c>
      <c r="D34" s="34">
        <f>'Raw Values'!D34</f>
        <v>0.99</v>
      </c>
      <c r="E34" s="130"/>
      <c r="F34" s="34">
        <f>SUM('Raw Values'!$C34 * 'Raw Values'!$B34/2 * ('Raw Values'!$D34 ^ (100/500)))</f>
        <v>23.05361408</v>
      </c>
      <c r="G34" s="34">
        <f>SUM('Raw Values'!$C34 * 'Raw Values'!$B34/2 * ('Raw Values'!$D34 ^ (200/500)))</f>
        <v>23.00732131</v>
      </c>
      <c r="H34" s="34">
        <f>SUM('Raw Values'!$C34 * 'Raw Values'!$B34/2 * ('Raw Values'!$D34 ^ (300/500)))</f>
        <v>22.9611215</v>
      </c>
      <c r="I34" s="34">
        <f>SUM('Raw Values'!$C34 * 'Raw Values'!$B34/2 * ('Raw Values'!$D34 ^ (400/500)))</f>
        <v>22.91501446</v>
      </c>
      <c r="J34" s="34">
        <f>SUM('Raw Values'!$C34 * 'Raw Values'!$B34/2 * ('Raw Values'!$D34 ^ (500/500)))</f>
        <v>22.869</v>
      </c>
      <c r="K34" s="34">
        <f>SUM('Raw Values'!$C34 * 'Raw Values'!$B34/2 * ('Raw Values'!$D34 ^ (600/500)))</f>
        <v>22.82307794</v>
      </c>
      <c r="L34" s="34">
        <f>SUM('Raw Values'!$C34 * 'Raw Values'!$B34/2 * ('Raw Values'!$D34 ^ (700/500)))</f>
        <v>22.7772481</v>
      </c>
      <c r="M34" s="34">
        <f>SUM('Raw Values'!$C34 * 'Raw Values'!$B34/2 * ('Raw Values'!$D34 ^ (800/500)))</f>
        <v>22.73151028</v>
      </c>
      <c r="N34" s="34">
        <f>SUM('Raw Values'!$C34 * 'Raw Values'!$B34/2 * ('Raw Values'!$D34 ^ (900/500)))</f>
        <v>22.68586431</v>
      </c>
      <c r="O34" s="34">
        <f>SUM('Raw Values'!$C34 * 'Raw Values'!$B34/2 * ('Raw Values'!$D34 ^ (1000/500)))</f>
        <v>22.64031</v>
      </c>
      <c r="P34" s="34">
        <f>SUM('Raw Values'!$C34 * 'Raw Values'!$B34/2 * ('Raw Values'!$D34 ^ (1100/500)))</f>
        <v>22.59484716</v>
      </c>
      <c r="Q34" s="34">
        <f>SUM('Raw Values'!$C34 * 'Raw Values'!$B34/2 * ('Raw Values'!$D34 ^ (1200/500)))</f>
        <v>22.54947562</v>
      </c>
      <c r="R34" s="34">
        <f>SUM('Raw Values'!$C34 * 'Raw Values'!$B34/2 * ('Raw Values'!$D34 ^ (1300/500)))</f>
        <v>22.50419518</v>
      </c>
      <c r="S34" s="34">
        <f>SUM('Raw Values'!$C34 * 'Raw Values'!$B34/2 * ('Raw Values'!$D34 ^ (1400/500)))</f>
        <v>22.45900567</v>
      </c>
      <c r="T34" s="34">
        <f>SUM('Raw Values'!$C34 * 'Raw Values'!$B34/2 * ('Raw Values'!$D34 ^ (1500/500)))</f>
        <v>22.4139069</v>
      </c>
      <c r="U34" s="130"/>
      <c r="V34" s="34">
        <f>SUM('Raw Values'!$C34 * 'Raw Values'!$B34/2 * ('Raw Values'!$D34 ^ (2000/500)))</f>
        <v>22.18976783</v>
      </c>
      <c r="W34" s="34">
        <f>SUM('Raw Values'!$C34 * 'Raw Values'!$B34/2 * ('Raw Values'!$D34 ^ (2500/500)))</f>
        <v>21.96787015</v>
      </c>
      <c r="X34" s="34">
        <f>SUM('Raw Values'!$C34 * 'Raw Values'!$B34/2 * ('Raw Values'!$D34 ^ (3000/500)))</f>
        <v>21.74819145</v>
      </c>
      <c r="Y34" s="150"/>
      <c r="Z34" s="180"/>
      <c r="AA34" s="34" t="s">
        <v>209</v>
      </c>
      <c r="AB34" s="34">
        <f>SUM(F34 * 1/'Raw Values'!$E34)</f>
        <v>230.5361408</v>
      </c>
      <c r="AC34" s="34">
        <f>SUM(H34 * 1/'Raw Values'!$E34)</f>
        <v>229.611215</v>
      </c>
      <c r="AD34" s="34">
        <f>SUM(K34 * 1/'Raw Values'!$E34)</f>
        <v>228.2307794</v>
      </c>
      <c r="AE34" s="34">
        <f>SUM(Q34 * 1/'Raw Values'!$E34)</f>
        <v>225.4947562</v>
      </c>
    </row>
    <row r="35" ht="15.75" customHeight="1">
      <c r="A35" s="66" t="s">
        <v>175</v>
      </c>
      <c r="B35" s="30">
        <f>'Raw Values'!B35</f>
        <v>2</v>
      </c>
      <c r="C35" s="40">
        <f>'Raw Values'!C35</f>
        <v>30</v>
      </c>
      <c r="D35" s="34">
        <f>'Raw Values'!D35</f>
        <v>0.98</v>
      </c>
      <c r="E35" s="130"/>
      <c r="F35" s="34">
        <f>SUM('Raw Values'!$C35 * 'Raw Values'!$B35/2 * ('Raw Values'!$D35 ^ (100/500)))</f>
        <v>29.87902832</v>
      </c>
      <c r="G35" s="34">
        <f>SUM('Raw Values'!$C35 * 'Raw Values'!$B35/2 * ('Raw Values'!$D35 ^ (200/500)))</f>
        <v>29.75854444</v>
      </c>
      <c r="H35" s="34">
        <f>SUM('Raw Values'!$C35 * 'Raw Values'!$B35/2 * ('Raw Values'!$D35 ^ (300/500)))</f>
        <v>29.6385464</v>
      </c>
      <c r="I35" s="34">
        <f>SUM('Raw Values'!$C35 * 'Raw Values'!$B35/2 * ('Raw Values'!$D35 ^ (400/500)))</f>
        <v>29.51903223</v>
      </c>
      <c r="J35" s="34">
        <f>SUM('Raw Values'!$C35 * 'Raw Values'!$B35/2 * ('Raw Values'!$D35 ^ (500/500)))</f>
        <v>29.4</v>
      </c>
      <c r="K35" s="34">
        <f>SUM('Raw Values'!$C35 * 'Raw Values'!$B35/2 * ('Raw Values'!$D35 ^ (600/500)))</f>
        <v>29.28144775</v>
      </c>
      <c r="L35" s="34">
        <f>SUM('Raw Values'!$C35 * 'Raw Values'!$B35/2 * ('Raw Values'!$D35 ^ (700/500)))</f>
        <v>29.16337355</v>
      </c>
      <c r="M35" s="34">
        <f>SUM('Raw Values'!$C35 * 'Raw Values'!$B35/2 * ('Raw Values'!$D35 ^ (800/500)))</f>
        <v>29.04577547</v>
      </c>
      <c r="N35" s="34">
        <f>SUM('Raw Values'!$C35 * 'Raw Values'!$B35/2 * ('Raw Values'!$D35 ^ (900/500)))</f>
        <v>28.92865159</v>
      </c>
      <c r="O35" s="34">
        <f>SUM('Raw Values'!$C35 * 'Raw Values'!$B35/2 * ('Raw Values'!$D35 ^ (1000/500)))</f>
        <v>28.812</v>
      </c>
      <c r="P35" s="34">
        <f>SUM('Raw Values'!$C35 * 'Raw Values'!$B35/2 * ('Raw Values'!$D35 ^ (1100/500)))</f>
        <v>28.69581879</v>
      </c>
      <c r="Q35" s="34">
        <f>SUM('Raw Values'!$C35 * 'Raw Values'!$B35/2 * ('Raw Values'!$D35 ^ (1200/500)))</f>
        <v>28.58010608</v>
      </c>
      <c r="R35" s="34">
        <f>SUM('Raw Values'!$C35 * 'Raw Values'!$B35/2 * ('Raw Values'!$D35 ^ (1300/500)))</f>
        <v>28.46485996</v>
      </c>
      <c r="S35" s="34">
        <f>SUM('Raw Values'!$C35 * 'Raw Values'!$B35/2 * ('Raw Values'!$D35 ^ (1400/500)))</f>
        <v>28.35007856</v>
      </c>
      <c r="T35" s="34">
        <f>SUM('Raw Values'!$C35 * 'Raw Values'!$B35/2 * ('Raw Values'!$D35 ^ (1500/500)))</f>
        <v>28.23576</v>
      </c>
      <c r="U35" s="130"/>
      <c r="V35" s="34">
        <f>SUM('Raw Values'!$C35 * 'Raw Values'!$B35/2 * ('Raw Values'!$D35 ^ (2000/500)))</f>
        <v>27.6710448</v>
      </c>
      <c r="W35" s="34">
        <f>SUM('Raw Values'!$C35 * 'Raw Values'!$B35/2 * ('Raw Values'!$D35 ^ (2500/500)))</f>
        <v>27.1176239</v>
      </c>
      <c r="X35" s="34">
        <f>SUM('Raw Values'!$C35 * 'Raw Values'!$B35/2 * ('Raw Values'!$D35 ^ (3000/500)))</f>
        <v>26.57527143</v>
      </c>
      <c r="Y35" s="150"/>
      <c r="Z35" s="180"/>
      <c r="AA35" s="34">
        <f>SUM(500*(log(100/(C35*4*B35/2)))/log('Raw Values'!$D35))</f>
        <v>4512.305057</v>
      </c>
      <c r="AB35" s="34">
        <f>SUM(F35 * 1/'Raw Values'!$E35)</f>
        <v>331.9892035</v>
      </c>
      <c r="AC35" s="34">
        <f>SUM(H35 * 1/'Raw Values'!$E35)</f>
        <v>329.3171822</v>
      </c>
      <c r="AD35" s="34">
        <f>SUM(K35 * 1/'Raw Values'!$E35)</f>
        <v>325.3494194</v>
      </c>
      <c r="AE35" s="34">
        <f>SUM(Q35 * 1/'Raw Values'!$E35)</f>
        <v>317.5567342</v>
      </c>
    </row>
    <row r="36" ht="15.75" customHeight="1">
      <c r="A36" s="75"/>
      <c r="B36" s="76"/>
      <c r="C36" s="163"/>
      <c r="D36" s="79"/>
      <c r="E36" s="133"/>
      <c r="F36" s="75"/>
      <c r="G36" s="75"/>
      <c r="H36" s="75"/>
      <c r="I36" s="75"/>
      <c r="J36" s="75"/>
      <c r="K36" s="75"/>
      <c r="L36" s="75"/>
      <c r="M36" s="75"/>
      <c r="N36" s="75"/>
      <c r="O36" s="75"/>
      <c r="P36" s="75"/>
      <c r="Q36" s="75"/>
      <c r="R36" s="75"/>
      <c r="S36" s="75"/>
      <c r="T36" s="75"/>
      <c r="U36" s="164"/>
      <c r="V36" s="75"/>
      <c r="W36" s="75"/>
      <c r="X36" s="75"/>
      <c r="Y36" s="133"/>
      <c r="Z36" s="131"/>
      <c r="AA36" s="79"/>
      <c r="AB36" s="79"/>
      <c r="AC36" s="79"/>
      <c r="AD36" s="79"/>
      <c r="AE36" s="79"/>
    </row>
    <row r="37" ht="15.75" customHeight="1">
      <c r="A37" s="5" t="s">
        <v>177</v>
      </c>
      <c r="B37" s="8" t="s">
        <v>246</v>
      </c>
      <c r="C37" s="161" t="s">
        <v>15</v>
      </c>
      <c r="D37" s="9" t="s">
        <v>18</v>
      </c>
      <c r="E37" s="158"/>
      <c r="F37" s="7" t="s">
        <v>223</v>
      </c>
      <c r="G37" s="7" t="s">
        <v>224</v>
      </c>
      <c r="H37" s="7" t="s">
        <v>225</v>
      </c>
      <c r="I37" s="7" t="s">
        <v>226</v>
      </c>
      <c r="J37" s="7" t="s">
        <v>227</v>
      </c>
      <c r="K37" s="7" t="s">
        <v>228</v>
      </c>
      <c r="L37" s="7" t="s">
        <v>229</v>
      </c>
      <c r="M37" s="7" t="s">
        <v>230</v>
      </c>
      <c r="N37" s="7" t="s">
        <v>231</v>
      </c>
      <c r="O37" s="7" t="s">
        <v>232</v>
      </c>
      <c r="P37" s="7" t="s">
        <v>233</v>
      </c>
      <c r="Q37" s="7" t="s">
        <v>234</v>
      </c>
      <c r="R37" s="7" t="s">
        <v>235</v>
      </c>
      <c r="S37" s="7" t="s">
        <v>236</v>
      </c>
      <c r="T37" s="7" t="s">
        <v>237</v>
      </c>
      <c r="U37" s="165"/>
      <c r="V37" s="159" t="s">
        <v>238</v>
      </c>
      <c r="W37" s="159" t="s">
        <v>239</v>
      </c>
      <c r="X37" s="159" t="s">
        <v>240</v>
      </c>
      <c r="Y37" s="177"/>
      <c r="Z37" s="179"/>
      <c r="AA37" s="7" t="s">
        <v>241</v>
      </c>
      <c r="AB37" s="9" t="s">
        <v>242</v>
      </c>
      <c r="AC37" s="9" t="s">
        <v>243</v>
      </c>
      <c r="AD37" s="9" t="s">
        <v>244</v>
      </c>
      <c r="AE37" s="9" t="s">
        <v>245</v>
      </c>
    </row>
    <row r="38" ht="15.75" customHeight="1">
      <c r="A38" s="28" t="s">
        <v>179</v>
      </c>
      <c r="B38" s="30">
        <f>'Raw Values'!B38</f>
        <v>1.6</v>
      </c>
      <c r="C38" s="40">
        <f>'Raw Values'!C38</f>
        <v>32</v>
      </c>
      <c r="D38" s="34">
        <f>'Raw Values'!D38</f>
        <v>0.97</v>
      </c>
      <c r="E38" s="130"/>
      <c r="F38" s="34">
        <f>SUM('Raw Values'!$C38 * 'Raw Values'!$B38/2 * ('Raw Values'!$D38 ^ (100/500)))</f>
        <v>25.44452291</v>
      </c>
      <c r="G38" s="34">
        <f>SUM('Raw Values'!$C38 * 'Raw Values'!$B38/2 * ('Raw Values'!$D38 ^ (200/500)))</f>
        <v>25.28999008</v>
      </c>
      <c r="H38" s="34">
        <f>SUM('Raw Values'!$C38 * 'Raw Values'!$B38/2 * ('Raw Values'!$D38 ^ (300/500)))</f>
        <v>25.13639578</v>
      </c>
      <c r="I38" s="34">
        <f>SUM('Raw Values'!$C38 * 'Raw Values'!$B38/2 * ('Raw Values'!$D38 ^ (400/500)))</f>
        <v>24.98373431</v>
      </c>
      <c r="J38" s="34">
        <f>SUM('Raw Values'!$C38 * 'Raw Values'!$B38/2 * ('Raw Values'!$D38 ^ (500/500)))</f>
        <v>24.832</v>
      </c>
      <c r="K38" s="34">
        <f>SUM('Raw Values'!$C38 * 'Raw Values'!$B38/2 * ('Raw Values'!$D38 ^ (600/500)))</f>
        <v>24.68118722</v>
      </c>
      <c r="L38" s="34">
        <f>SUM('Raw Values'!$C38 * 'Raw Values'!$B38/2 * ('Raw Values'!$D38 ^ (700/500)))</f>
        <v>24.53129038</v>
      </c>
      <c r="M38" s="34">
        <f>SUM('Raw Values'!$C38 * 'Raw Values'!$B38/2 * ('Raw Values'!$D38 ^ (800/500)))</f>
        <v>24.38230391</v>
      </c>
      <c r="N38" s="34">
        <f>SUM('Raw Values'!$C38 * 'Raw Values'!$B38/2 * ('Raw Values'!$D38 ^ (900/500)))</f>
        <v>24.23422228</v>
      </c>
      <c r="O38" s="34">
        <f>SUM('Raw Values'!$C38 * 'Raw Values'!$B38/2 * ('Raw Values'!$D38 ^ (1000/500)))</f>
        <v>24.08704</v>
      </c>
      <c r="P38" s="34">
        <f>SUM('Raw Values'!$C38 * 'Raw Values'!$B38/2 * ('Raw Values'!$D38 ^ (1100/500)))</f>
        <v>23.94075161</v>
      </c>
      <c r="Q38" s="34">
        <f>SUM('Raw Values'!$C38 * 'Raw Values'!$B38/2 * ('Raw Values'!$D38 ^ (1200/500)))</f>
        <v>23.79535167</v>
      </c>
      <c r="R38" s="34">
        <f>SUM('Raw Values'!$C38 * 'Raw Values'!$B38/2 * ('Raw Values'!$D38 ^ (1300/500)))</f>
        <v>23.65083479</v>
      </c>
      <c r="S38" s="34">
        <f>SUM('Raw Values'!$C38 * 'Raw Values'!$B38/2 * ('Raw Values'!$D38 ^ (1400/500)))</f>
        <v>23.50719561</v>
      </c>
      <c r="T38" s="34">
        <f>SUM('Raw Values'!$C38 * 'Raw Values'!$B38/2 * ('Raw Values'!$D38 ^ (1500/500)))</f>
        <v>23.3644288</v>
      </c>
      <c r="U38" s="130"/>
      <c r="V38" s="34">
        <f>SUM('Raw Values'!$C38 * 'Raw Values'!$B38/2 * ('Raw Values'!$D38 ^ (2000/500)))</f>
        <v>22.66349594</v>
      </c>
      <c r="W38" s="34">
        <f>SUM('Raw Values'!$C38 * 'Raw Values'!$B38/2 * ('Raw Values'!$D38 ^ (2500/500)))</f>
        <v>21.98359106</v>
      </c>
      <c r="X38" s="34">
        <f>SUM('Raw Values'!$C38 * 'Raw Values'!$B38/2 * ('Raw Values'!$D38 ^ (3000/500)))</f>
        <v>21.32408333</v>
      </c>
      <c r="Y38" s="150"/>
      <c r="Z38" s="180"/>
      <c r="AA38" s="34">
        <f>SUM(500*(log(100/(C38*4*B38/2)))/log('Raw Values'!$D38))</f>
        <v>389.316213</v>
      </c>
      <c r="AB38" s="34">
        <f>SUM(F38 * 1/'Raw Values'!$E38)</f>
        <v>318.0565364</v>
      </c>
      <c r="AC38" s="34">
        <f>SUM(H38 * 1/'Raw Values'!$E38)</f>
        <v>314.2049473</v>
      </c>
      <c r="AD38" s="34">
        <f>SUM(K38 * 1/'Raw Values'!$E38)</f>
        <v>308.5148403</v>
      </c>
      <c r="AE38" s="34">
        <f>SUM(Q38 * 1/'Raw Values'!$E38)</f>
        <v>297.4418958</v>
      </c>
    </row>
    <row r="39" ht="15.75" customHeight="1">
      <c r="A39" s="28" t="s">
        <v>181</v>
      </c>
      <c r="B39" s="30">
        <f>'Raw Values'!B39</f>
        <v>1.42</v>
      </c>
      <c r="C39" s="40">
        <f>'Raw Values'!C39</f>
        <v>35</v>
      </c>
      <c r="D39" s="34">
        <f>'Raw Values'!D39</f>
        <v>0.97</v>
      </c>
      <c r="E39" s="130"/>
      <c r="F39" s="34">
        <f>SUM('Raw Values'!$C39 * 'Raw Values'!$B39/2 * ('Raw Values'!$D39 ^ (100/500)))</f>
        <v>24.6990779</v>
      </c>
      <c r="G39" s="34">
        <f>SUM('Raw Values'!$C39 * 'Raw Values'!$B39/2 * ('Raw Values'!$D39 ^ (200/500)))</f>
        <v>24.5490724</v>
      </c>
      <c r="H39" s="34">
        <f>SUM('Raw Values'!$C39 * 'Raw Values'!$B39/2 * ('Raw Values'!$D39 ^ (300/500)))</f>
        <v>24.39997794</v>
      </c>
      <c r="I39" s="34">
        <f>SUM('Raw Values'!$C39 * 'Raw Values'!$B39/2 * ('Raw Values'!$D39 ^ (400/500)))</f>
        <v>24.25178897</v>
      </c>
      <c r="J39" s="34">
        <f>SUM('Raw Values'!$C39 * 'Raw Values'!$B39/2 * ('Raw Values'!$D39 ^ (500/500)))</f>
        <v>24.1045</v>
      </c>
      <c r="K39" s="34">
        <f>SUM('Raw Values'!$C39 * 'Raw Values'!$B39/2 * ('Raw Values'!$D39 ^ (600/500)))</f>
        <v>23.95810557</v>
      </c>
      <c r="L39" s="34">
        <f>SUM('Raw Values'!$C39 * 'Raw Values'!$B39/2 * ('Raw Values'!$D39 ^ (700/500)))</f>
        <v>23.81260023</v>
      </c>
      <c r="M39" s="34">
        <f>SUM('Raw Values'!$C39 * 'Raw Values'!$B39/2 * ('Raw Values'!$D39 ^ (800/500)))</f>
        <v>23.6679786</v>
      </c>
      <c r="N39" s="34">
        <f>SUM('Raw Values'!$C39 * 'Raw Values'!$B39/2 * ('Raw Values'!$D39 ^ (900/500)))</f>
        <v>23.5242353</v>
      </c>
      <c r="O39" s="34">
        <f>SUM('Raw Values'!$C39 * 'Raw Values'!$B39/2 * ('Raw Values'!$D39 ^ (1000/500)))</f>
        <v>23.381365</v>
      </c>
      <c r="P39" s="34">
        <f>SUM('Raw Values'!$C39 * 'Raw Values'!$B39/2 * ('Raw Values'!$D39 ^ (1100/500)))</f>
        <v>23.2393624</v>
      </c>
      <c r="Q39" s="34">
        <f>SUM('Raw Values'!$C39 * 'Raw Values'!$B39/2 * ('Raw Values'!$D39 ^ (1200/500)))</f>
        <v>23.09822222</v>
      </c>
      <c r="R39" s="34">
        <f>SUM('Raw Values'!$C39 * 'Raw Values'!$B39/2 * ('Raw Values'!$D39 ^ (1300/500)))</f>
        <v>22.95793924</v>
      </c>
      <c r="S39" s="34">
        <f>SUM('Raw Values'!$C39 * 'Raw Values'!$B39/2 * ('Raw Values'!$D39 ^ (1400/500)))</f>
        <v>22.81850824</v>
      </c>
      <c r="T39" s="34">
        <f>SUM('Raw Values'!$C39 * 'Raw Values'!$B39/2 * ('Raw Values'!$D39 ^ (1500/500)))</f>
        <v>22.67992405</v>
      </c>
      <c r="U39" s="130"/>
      <c r="V39" s="34">
        <f>SUM('Raw Values'!$C39 * 'Raw Values'!$B39/2 * ('Raw Values'!$D39 ^ (2000/500)))</f>
        <v>21.99952633</v>
      </c>
      <c r="W39" s="34">
        <f>SUM('Raw Values'!$C39 * 'Raw Values'!$B39/2 * ('Raw Values'!$D39 ^ (2500/500)))</f>
        <v>21.33954054</v>
      </c>
      <c r="X39" s="34">
        <f>SUM('Raw Values'!$C39 * 'Raw Values'!$B39/2 * ('Raw Values'!$D39 ^ (3000/500)))</f>
        <v>20.69935432</v>
      </c>
      <c r="Y39" s="150"/>
      <c r="Z39" s="180"/>
      <c r="AA39" s="34" t="s">
        <v>209</v>
      </c>
      <c r="AB39" s="34">
        <f>SUM(F39 * 1/'Raw Values'!$E39)</f>
        <v>329.3210387</v>
      </c>
      <c r="AC39" s="34">
        <f>SUM(H39 * 1/'Raw Values'!$E39)</f>
        <v>325.3330392</v>
      </c>
      <c r="AD39" s="34">
        <f>SUM(K39 * 1/'Raw Values'!$E39)</f>
        <v>319.4414075</v>
      </c>
      <c r="AE39" s="34">
        <f>SUM(Q39 * 1/'Raw Values'!$E39)</f>
        <v>307.9762963</v>
      </c>
    </row>
    <row r="40" ht="15.75" customHeight="1">
      <c r="A40" s="75"/>
      <c r="B40" s="76"/>
      <c r="C40" s="163"/>
      <c r="D40" s="79"/>
      <c r="E40" s="133"/>
      <c r="F40" s="75"/>
      <c r="G40" s="75"/>
      <c r="H40" s="75"/>
      <c r="I40" s="75"/>
      <c r="J40" s="75"/>
      <c r="K40" s="75"/>
      <c r="L40" s="75"/>
      <c r="M40" s="75"/>
      <c r="N40" s="75"/>
      <c r="O40" s="75"/>
      <c r="P40" s="75"/>
      <c r="Q40" s="75"/>
      <c r="R40" s="75"/>
      <c r="S40" s="75"/>
      <c r="T40" s="75"/>
      <c r="U40" s="164"/>
      <c r="V40" s="75"/>
      <c r="W40" s="75"/>
      <c r="X40" s="75"/>
      <c r="Y40" s="133"/>
      <c r="Z40" s="131"/>
      <c r="AA40" s="79"/>
      <c r="AB40" s="79"/>
      <c r="AC40" s="79"/>
      <c r="AD40" s="79"/>
      <c r="AE40" s="79"/>
    </row>
    <row r="41" ht="15.75" customHeight="1">
      <c r="A41" s="5" t="s">
        <v>184</v>
      </c>
      <c r="B41" s="8" t="s">
        <v>246</v>
      </c>
      <c r="C41" s="161" t="s">
        <v>15</v>
      </c>
      <c r="D41" s="9" t="s">
        <v>18</v>
      </c>
      <c r="E41" s="158"/>
      <c r="F41" s="7" t="s">
        <v>223</v>
      </c>
      <c r="G41" s="7" t="s">
        <v>224</v>
      </c>
      <c r="H41" s="7" t="s">
        <v>225</v>
      </c>
      <c r="I41" s="7" t="s">
        <v>226</v>
      </c>
      <c r="J41" s="7" t="s">
        <v>227</v>
      </c>
      <c r="K41" s="7" t="s">
        <v>228</v>
      </c>
      <c r="L41" s="7" t="s">
        <v>229</v>
      </c>
      <c r="M41" s="7" t="s">
        <v>230</v>
      </c>
      <c r="N41" s="7" t="s">
        <v>231</v>
      </c>
      <c r="O41" s="7" t="s">
        <v>232</v>
      </c>
      <c r="P41" s="7" t="s">
        <v>233</v>
      </c>
      <c r="Q41" s="7" t="s">
        <v>234</v>
      </c>
      <c r="R41" s="7" t="s">
        <v>235</v>
      </c>
      <c r="S41" s="7" t="s">
        <v>236</v>
      </c>
      <c r="T41" s="7" t="s">
        <v>237</v>
      </c>
      <c r="U41" s="165"/>
      <c r="V41" s="159" t="s">
        <v>238</v>
      </c>
      <c r="W41" s="159" t="s">
        <v>239</v>
      </c>
      <c r="X41" s="159" t="s">
        <v>240</v>
      </c>
      <c r="Y41" s="177"/>
      <c r="Z41" s="179"/>
      <c r="AA41" s="7" t="s">
        <v>241</v>
      </c>
      <c r="AB41" s="9" t="s">
        <v>242</v>
      </c>
      <c r="AC41" s="9" t="s">
        <v>243</v>
      </c>
      <c r="AD41" s="9" t="s">
        <v>244</v>
      </c>
      <c r="AE41" s="9" t="s">
        <v>245</v>
      </c>
    </row>
    <row r="42" ht="15.75" customHeight="1">
      <c r="A42" s="28" t="s">
        <v>186</v>
      </c>
      <c r="B42" s="30">
        <f>'Raw Values'!B42</f>
        <v>1.95</v>
      </c>
      <c r="C42" s="40">
        <f>'Raw Values'!C42</f>
        <v>115</v>
      </c>
      <c r="D42" s="34">
        <f>'Raw Values'!D42</f>
        <v>0.99</v>
      </c>
      <c r="E42" s="130"/>
      <c r="F42" s="34">
        <f>SUM('Raw Values'!$C42 * 'Raw Values'!$B42/2 * ('Raw Values'!$D42 ^ (100/500)))</f>
        <v>111.8998476</v>
      </c>
      <c r="G42" s="34">
        <f>SUM('Raw Values'!$C42 * 'Raw Values'!$B42/2 * ('Raw Values'!$D42 ^ (200/500)))</f>
        <v>111.6751473</v>
      </c>
      <c r="H42" s="34">
        <f>SUM('Raw Values'!$C42 * 'Raw Values'!$B42/2 * ('Raw Values'!$D42 ^ (300/500)))</f>
        <v>111.4508982</v>
      </c>
      <c r="I42" s="34">
        <f>SUM('Raw Values'!$C42 * 'Raw Values'!$B42/2 * ('Raw Values'!$D42 ^ (400/500)))</f>
        <v>111.2270994</v>
      </c>
      <c r="J42" s="34">
        <f>SUM('Raw Values'!$C42 * 'Raw Values'!$B42/2 * ('Raw Values'!$D42 ^ (500/500)))</f>
        <v>111.00375</v>
      </c>
      <c r="K42" s="34">
        <f>SUM('Raw Values'!$C42 * 'Raw Values'!$B42/2 * ('Raw Values'!$D42 ^ (600/500)))</f>
        <v>110.7808491</v>
      </c>
      <c r="L42" s="34">
        <f>SUM('Raw Values'!$C42 * 'Raw Values'!$B42/2 * ('Raw Values'!$D42 ^ (700/500)))</f>
        <v>110.5583958</v>
      </c>
      <c r="M42" s="34">
        <f>SUM('Raw Values'!$C42 * 'Raw Values'!$B42/2 * ('Raw Values'!$D42 ^ (800/500)))</f>
        <v>110.3363892</v>
      </c>
      <c r="N42" s="34">
        <f>SUM('Raw Values'!$C42 * 'Raw Values'!$B42/2 * ('Raw Values'!$D42 ^ (900/500)))</f>
        <v>110.1148284</v>
      </c>
      <c r="O42" s="34">
        <f>SUM('Raw Values'!$C42 * 'Raw Values'!$B42/2 * ('Raw Values'!$D42 ^ (1000/500)))</f>
        <v>109.8937125</v>
      </c>
      <c r="P42" s="34">
        <f>SUM('Raw Values'!$C42 * 'Raw Values'!$B42/2 * ('Raw Values'!$D42 ^ (1100/500)))</f>
        <v>109.6730406</v>
      </c>
      <c r="Q42" s="34">
        <f>SUM('Raw Values'!$C42 * 'Raw Values'!$B42/2 * ('Raw Values'!$D42 ^ (1200/500)))</f>
        <v>109.4528118</v>
      </c>
      <c r="R42" s="34">
        <f>SUM('Raw Values'!$C42 * 'Raw Values'!$B42/2 * ('Raw Values'!$D42 ^ (1300/500)))</f>
        <v>109.2330253</v>
      </c>
      <c r="S42" s="34">
        <f>SUM('Raw Values'!$C42 * 'Raw Values'!$B42/2 * ('Raw Values'!$D42 ^ (1400/500)))</f>
        <v>109.0136801</v>
      </c>
      <c r="T42" s="34">
        <f>SUM('Raw Values'!$C42 * 'Raw Values'!$B42/2 * ('Raw Values'!$D42 ^ (1500/500)))</f>
        <v>108.7947754</v>
      </c>
      <c r="U42" s="130"/>
      <c r="V42" s="34">
        <f>SUM('Raw Values'!$C42 * 'Raw Values'!$B42/2 * ('Raw Values'!$D42 ^ (2000/500)))</f>
        <v>107.7068276</v>
      </c>
      <c r="W42" s="34">
        <f>SUM('Raw Values'!$C42 * 'Raw Values'!$B42/2 * ('Raw Values'!$D42 ^ (2500/500)))</f>
        <v>106.6297593</v>
      </c>
      <c r="X42" s="34">
        <f>SUM('Raw Values'!$C42 * 'Raw Values'!$B42/2 * ('Raw Values'!$D42 ^ (3000/500)))</f>
        <v>105.5634618</v>
      </c>
      <c r="Y42" s="150"/>
      <c r="Z42" s="180"/>
      <c r="AA42" s="34">
        <f>SUM(500*(log(100/(C42*4*B42/2)))/log('Raw Values'!$D42))</f>
        <v>74661.1117</v>
      </c>
      <c r="AB42" s="34">
        <f>SUM(F42 * 1/'Raw Values'!$E42)</f>
        <v>76.90711174</v>
      </c>
      <c r="AC42" s="34">
        <f>SUM(H42 * 1/'Raw Values'!$E42)</f>
        <v>76.59855545</v>
      </c>
      <c r="AD42" s="34">
        <f>SUM(K42 * 1/'Raw Values'!$E42)</f>
        <v>76.13804062</v>
      </c>
      <c r="AE42" s="34">
        <f>SUM(Q42 * 1/'Raw Values'!$E42)</f>
        <v>75.22530024</v>
      </c>
    </row>
    <row r="43" ht="15.75" customHeight="1">
      <c r="A43" s="66" t="s">
        <v>188</v>
      </c>
      <c r="B43" s="30">
        <f>'Raw Values'!B43</f>
        <v>1.65</v>
      </c>
      <c r="C43" s="40">
        <f>'Raw Values'!C43</f>
        <v>80</v>
      </c>
      <c r="D43" s="34">
        <f>'Raw Values'!D43</f>
        <v>0.98</v>
      </c>
      <c r="E43" s="130"/>
      <c r="F43" s="34">
        <f>SUM('Raw Values'!$C43 * 'Raw Values'!$B43/2 * ('Raw Values'!$D43 ^ (100/500)))</f>
        <v>65.7338623</v>
      </c>
      <c r="G43" s="34">
        <f>SUM('Raw Values'!$C43 * 'Raw Values'!$B43/2 * ('Raw Values'!$D43 ^ (200/500)))</f>
        <v>65.46879776</v>
      </c>
      <c r="H43" s="34">
        <f>SUM('Raw Values'!$C43 * 'Raw Values'!$B43/2 * ('Raw Values'!$D43 ^ (300/500)))</f>
        <v>65.20480207</v>
      </c>
      <c r="I43" s="34">
        <f>SUM('Raw Values'!$C43 * 'Raw Values'!$B43/2 * ('Raw Values'!$D43 ^ (400/500)))</f>
        <v>64.94187092</v>
      </c>
      <c r="J43" s="34">
        <f>SUM('Raw Values'!$C43 * 'Raw Values'!$B43/2 * ('Raw Values'!$D43 ^ (500/500)))</f>
        <v>64.68</v>
      </c>
      <c r="K43" s="34">
        <f>SUM('Raw Values'!$C43 * 'Raw Values'!$B43/2 * ('Raw Values'!$D43 ^ (600/500)))</f>
        <v>64.41918505</v>
      </c>
      <c r="L43" s="34">
        <f>SUM('Raw Values'!$C43 * 'Raw Values'!$B43/2 * ('Raw Values'!$D43 ^ (700/500)))</f>
        <v>64.15942181</v>
      </c>
      <c r="M43" s="34">
        <f>SUM('Raw Values'!$C43 * 'Raw Values'!$B43/2 * ('Raw Values'!$D43 ^ (800/500)))</f>
        <v>63.90070603</v>
      </c>
      <c r="N43" s="34">
        <f>SUM('Raw Values'!$C43 * 'Raw Values'!$B43/2 * ('Raw Values'!$D43 ^ (900/500)))</f>
        <v>63.6430335</v>
      </c>
      <c r="O43" s="34">
        <f>SUM('Raw Values'!$C43 * 'Raw Values'!$B43/2 * ('Raw Values'!$D43 ^ (1000/500)))</f>
        <v>63.3864</v>
      </c>
      <c r="P43" s="34">
        <f>SUM('Raw Values'!$C43 * 'Raw Values'!$B43/2 * ('Raw Values'!$D43 ^ (1100/500)))</f>
        <v>63.13080135</v>
      </c>
      <c r="Q43" s="34">
        <f>SUM('Raw Values'!$C43 * 'Raw Values'!$B43/2 * ('Raw Values'!$D43 ^ (1200/500)))</f>
        <v>62.87623337</v>
      </c>
      <c r="R43" s="34">
        <f>SUM('Raw Values'!$C43 * 'Raw Values'!$B43/2 * ('Raw Values'!$D43 ^ (1300/500)))</f>
        <v>62.62269191</v>
      </c>
      <c r="S43" s="34">
        <f>SUM('Raw Values'!$C43 * 'Raw Values'!$B43/2 * ('Raw Values'!$D43 ^ (1400/500)))</f>
        <v>62.37017283</v>
      </c>
      <c r="T43" s="34">
        <f>SUM('Raw Values'!$C43 * 'Raw Values'!$B43/2 * ('Raw Values'!$D43 ^ (1500/500)))</f>
        <v>62.118672</v>
      </c>
      <c r="U43" s="130"/>
      <c r="V43" s="34">
        <f>SUM('Raw Values'!$C43 * 'Raw Values'!$B43/2 * ('Raw Values'!$D43 ^ (2000/500)))</f>
        <v>60.87629856</v>
      </c>
      <c r="W43" s="34">
        <f>SUM('Raw Values'!$C43 * 'Raw Values'!$B43/2 * ('Raw Values'!$D43 ^ (2500/500)))</f>
        <v>59.65877259</v>
      </c>
      <c r="X43" s="34">
        <f>SUM('Raw Values'!$C43 * 'Raw Values'!$B43/2 * ('Raw Values'!$D43 ^ (3000/500)))</f>
        <v>58.46559714</v>
      </c>
      <c r="Y43" s="150"/>
      <c r="Z43" s="180"/>
      <c r="AA43" s="34">
        <f>SUM(500*(log(100/(C43*4*B43/2)))/log('Raw Values'!$D43))</f>
        <v>24025.96102</v>
      </c>
      <c r="AB43" s="34">
        <f>SUM(F43 * 1/'Raw Values'!$E43)</f>
        <v>262.9354492</v>
      </c>
      <c r="AC43" s="34">
        <f>SUM(H43 * 1/'Raw Values'!$E43)</f>
        <v>260.8192083</v>
      </c>
      <c r="AD43" s="34">
        <f>SUM(K43 * 1/'Raw Values'!$E43)</f>
        <v>257.6767402</v>
      </c>
      <c r="AE43" s="34">
        <f>SUM(Q43 * 1/'Raw Values'!$E43)</f>
        <v>251.5049335</v>
      </c>
    </row>
    <row r="44" ht="15.75" customHeight="1">
      <c r="A44" s="61" t="s">
        <v>190</v>
      </c>
      <c r="B44" s="30">
        <f>'Raw Values'!B44</f>
        <v>1.65</v>
      </c>
      <c r="C44" s="40">
        <f>'Raw Values'!C44</f>
        <v>80</v>
      </c>
      <c r="D44" s="34">
        <f>'Raw Values'!D44</f>
        <v>0.98</v>
      </c>
      <c r="E44" s="130"/>
      <c r="F44" s="34">
        <f>SUM('Raw Values'!$C44 * 'Raw Values'!$B44/2 * ('Raw Values'!$D44 ^ (100/500)))</f>
        <v>65.7338623</v>
      </c>
      <c r="G44" s="34">
        <f>SUM('Raw Values'!$C44 * 'Raw Values'!$B44/2 * ('Raw Values'!$D44 ^ (200/500)))</f>
        <v>65.46879776</v>
      </c>
      <c r="H44" s="34">
        <f>SUM('Raw Values'!$C44 * 'Raw Values'!$B44/2 * ('Raw Values'!$D44 ^ (300/500)))</f>
        <v>65.20480207</v>
      </c>
      <c r="I44" s="34">
        <f>SUM('Raw Values'!$C44 * 'Raw Values'!$B44/2 * ('Raw Values'!$D44 ^ (400/500)))</f>
        <v>64.94187092</v>
      </c>
      <c r="J44" s="34">
        <f>SUM('Raw Values'!$C44 * 'Raw Values'!$B44/2 * ('Raw Values'!$D44 ^ (500/500)))</f>
        <v>64.68</v>
      </c>
      <c r="K44" s="34">
        <f>SUM('Raw Values'!$C44 * 'Raw Values'!$B44/2 * ('Raw Values'!$D44 ^ (600/500)))</f>
        <v>64.41918505</v>
      </c>
      <c r="L44" s="34">
        <f>SUM('Raw Values'!$C44 * 'Raw Values'!$B44/2 * ('Raw Values'!$D44 ^ (700/500)))</f>
        <v>64.15942181</v>
      </c>
      <c r="M44" s="34">
        <f>SUM('Raw Values'!$C44 * 'Raw Values'!$B44/2 * ('Raw Values'!$D44 ^ (800/500)))</f>
        <v>63.90070603</v>
      </c>
      <c r="N44" s="34">
        <f>SUM('Raw Values'!$C44 * 'Raw Values'!$B44/2 * ('Raw Values'!$D44 ^ (900/500)))</f>
        <v>63.6430335</v>
      </c>
      <c r="O44" s="34">
        <f>SUM('Raw Values'!$C44 * 'Raw Values'!$B44/2 * ('Raw Values'!$D44 ^ (1000/500)))</f>
        <v>63.3864</v>
      </c>
      <c r="P44" s="34">
        <f>SUM('Raw Values'!$C44 * 'Raw Values'!$B44/2 * ('Raw Values'!$D44 ^ (1100/500)))</f>
        <v>63.13080135</v>
      </c>
      <c r="Q44" s="34">
        <f>SUM('Raw Values'!$C44 * 'Raw Values'!$B44/2 * ('Raw Values'!$D44 ^ (1200/500)))</f>
        <v>62.87623337</v>
      </c>
      <c r="R44" s="34">
        <f>SUM('Raw Values'!$C44 * 'Raw Values'!$B44/2 * ('Raw Values'!$D44 ^ (1300/500)))</f>
        <v>62.62269191</v>
      </c>
      <c r="S44" s="34">
        <f>SUM('Raw Values'!$C44 * 'Raw Values'!$B44/2 * ('Raw Values'!$D44 ^ (1400/500)))</f>
        <v>62.37017283</v>
      </c>
      <c r="T44" s="34">
        <f>SUM('Raw Values'!$C44 * 'Raw Values'!$B44/2 * ('Raw Values'!$D44 ^ (1500/500)))</f>
        <v>62.118672</v>
      </c>
      <c r="U44" s="130"/>
      <c r="V44" s="34">
        <f>SUM('Raw Values'!$C44 * 'Raw Values'!$B44/2 * ('Raw Values'!$D44 ^ (2000/500)))</f>
        <v>60.87629856</v>
      </c>
      <c r="W44" s="34">
        <f>SUM('Raw Values'!$C44 * 'Raw Values'!$B44/2 * ('Raw Values'!$D44 ^ (2500/500)))</f>
        <v>59.65877259</v>
      </c>
      <c r="X44" s="34">
        <f>SUM('Raw Values'!$C44 * 'Raw Values'!$B44/2 * ('Raw Values'!$D44 ^ (3000/500)))</f>
        <v>58.46559714</v>
      </c>
      <c r="Y44" s="150"/>
      <c r="Z44" s="180"/>
      <c r="AA44" s="34">
        <f>SUM(500*(log(100/(C44*4*B44/2)))/log('Raw Values'!$D44))</f>
        <v>24025.96102</v>
      </c>
      <c r="AB44" s="34">
        <f>SUM(F44 * 1/'Raw Values'!$E44)</f>
        <v>262.9354492</v>
      </c>
      <c r="AC44" s="34">
        <f>SUM(H44 * 1/'Raw Values'!$E44)</f>
        <v>260.8192083</v>
      </c>
      <c r="AD44" s="34">
        <f>SUM(K44 * 1/'Raw Values'!$E44)</f>
        <v>257.6767402</v>
      </c>
      <c r="AE44" s="34">
        <f>SUM(Q44 * 1/'Raw Values'!$E44)</f>
        <v>251.5049335</v>
      </c>
    </row>
    <row r="45" ht="15.75" customHeight="1">
      <c r="A45" s="28" t="s">
        <v>192</v>
      </c>
      <c r="B45" s="30">
        <f>'Raw Values'!B45</f>
        <v>1.7</v>
      </c>
      <c r="C45" s="40">
        <f>'Raw Values'!C45</f>
        <v>88</v>
      </c>
      <c r="D45" s="34">
        <f>'Raw Values'!D45</f>
        <v>0.98</v>
      </c>
      <c r="E45" s="130"/>
      <c r="F45" s="34">
        <f>SUM('Raw Values'!$C45 * 'Raw Values'!$B45/2 * ('Raw Values'!$D45 ^ (100/500)))</f>
        <v>74.49837727</v>
      </c>
      <c r="G45" s="34">
        <f>SUM('Raw Values'!$C45 * 'Raw Values'!$B45/2 * ('Raw Values'!$D45 ^ (200/500)))</f>
        <v>74.1979708</v>
      </c>
      <c r="H45" s="34">
        <f>SUM('Raw Values'!$C45 * 'Raw Values'!$B45/2 * ('Raw Values'!$D45 ^ (300/500)))</f>
        <v>73.89877568</v>
      </c>
      <c r="I45" s="34">
        <f>SUM('Raw Values'!$C45 * 'Raw Values'!$B45/2 * ('Raw Values'!$D45 ^ (400/500)))</f>
        <v>73.60078704</v>
      </c>
      <c r="J45" s="34">
        <f>SUM('Raw Values'!$C45 * 'Raw Values'!$B45/2 * ('Raw Values'!$D45 ^ (500/500)))</f>
        <v>73.304</v>
      </c>
      <c r="K45" s="34">
        <f>SUM('Raw Values'!$C45 * 'Raw Values'!$B45/2 * ('Raw Values'!$D45 ^ (600/500)))</f>
        <v>73.00840972</v>
      </c>
      <c r="L45" s="34">
        <f>SUM('Raw Values'!$C45 * 'Raw Values'!$B45/2 * ('Raw Values'!$D45 ^ (700/500)))</f>
        <v>72.71401138</v>
      </c>
      <c r="M45" s="34">
        <f>SUM('Raw Values'!$C45 * 'Raw Values'!$B45/2 * ('Raw Values'!$D45 ^ (800/500)))</f>
        <v>72.42080017</v>
      </c>
      <c r="N45" s="34">
        <f>SUM('Raw Values'!$C45 * 'Raw Values'!$B45/2 * ('Raw Values'!$D45 ^ (900/500)))</f>
        <v>72.1287713</v>
      </c>
      <c r="O45" s="34">
        <f>SUM('Raw Values'!$C45 * 'Raw Values'!$B45/2 * ('Raw Values'!$D45 ^ (1000/500)))</f>
        <v>71.83792</v>
      </c>
      <c r="P45" s="34">
        <f>SUM('Raw Values'!$C45 * 'Raw Values'!$B45/2 * ('Raw Values'!$D45 ^ (1100/500)))</f>
        <v>71.54824153</v>
      </c>
      <c r="Q45" s="34">
        <f>SUM('Raw Values'!$C45 * 'Raw Values'!$B45/2 * ('Raw Values'!$D45 ^ (1200/500)))</f>
        <v>71.25973115</v>
      </c>
      <c r="R45" s="34">
        <f>SUM('Raw Values'!$C45 * 'Raw Values'!$B45/2 * ('Raw Values'!$D45 ^ (1300/500)))</f>
        <v>70.97238416</v>
      </c>
      <c r="S45" s="34">
        <f>SUM('Raw Values'!$C45 * 'Raw Values'!$B45/2 * ('Raw Values'!$D45 ^ (1400/500)))</f>
        <v>70.68619587</v>
      </c>
      <c r="T45" s="34">
        <f>SUM('Raw Values'!$C45 * 'Raw Values'!$B45/2 * ('Raw Values'!$D45 ^ (1500/500)))</f>
        <v>70.4011616</v>
      </c>
      <c r="U45" s="130"/>
      <c r="V45" s="34">
        <f>SUM('Raw Values'!$C45 * 'Raw Values'!$B45/2 * ('Raw Values'!$D45 ^ (2000/500)))</f>
        <v>68.99313837</v>
      </c>
      <c r="W45" s="34">
        <f>SUM('Raw Values'!$C45 * 'Raw Values'!$B45/2 * ('Raw Values'!$D45 ^ (2500/500)))</f>
        <v>67.6132756</v>
      </c>
      <c r="X45" s="34">
        <f>SUM('Raw Values'!$C45 * 'Raw Values'!$B45/2 * ('Raw Values'!$D45 ^ (3000/500)))</f>
        <v>66.26101009</v>
      </c>
      <c r="Y45" s="150"/>
      <c r="Z45" s="180"/>
      <c r="AA45" s="34">
        <f>SUM(500*(log(100/(C45*4*B45/2)))/log('Raw Values'!$D45))</f>
        <v>27123.64345</v>
      </c>
      <c r="AB45" s="34">
        <f>SUM(F45 * 1/'Raw Values'!$E45)</f>
        <v>59.59870181</v>
      </c>
      <c r="AC45" s="34">
        <f>SUM(H45 * 1/'Raw Values'!$E45)</f>
        <v>59.11902055</v>
      </c>
      <c r="AD45" s="34">
        <f>SUM(K45 * 1/'Raw Values'!$E45)</f>
        <v>58.40672778</v>
      </c>
      <c r="AE45" s="34">
        <f>SUM(Q45 * 1/'Raw Values'!$E45)</f>
        <v>57.00778492</v>
      </c>
    </row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0"/>
  <cols>
    <col customWidth="1" min="1" max="1" width="14.57"/>
    <col customWidth="1" min="2" max="5" width="11.71"/>
    <col customWidth="1" min="6" max="6" width="4.57"/>
    <col customWidth="1" min="7" max="21" width="11.71"/>
    <col customWidth="1" min="22" max="22" width="4.57"/>
    <col customWidth="1" min="23" max="25" width="11.71"/>
    <col customWidth="1" min="26" max="26" width="4.57"/>
    <col customWidth="1" min="27" max="30" width="11.71"/>
  </cols>
  <sheetData>
    <row r="1" ht="15.75" customHeight="1">
      <c r="A1" s="5" t="s">
        <v>1</v>
      </c>
      <c r="B1" s="8" t="s">
        <v>246</v>
      </c>
      <c r="C1" s="161" t="s">
        <v>15</v>
      </c>
      <c r="D1" s="9" t="s">
        <v>18</v>
      </c>
      <c r="E1" s="11" t="s">
        <v>19</v>
      </c>
      <c r="F1" s="158"/>
      <c r="G1" s="24" t="s">
        <v>248</v>
      </c>
      <c r="H1" s="24" t="s">
        <v>249</v>
      </c>
      <c r="I1" s="24" t="s">
        <v>250</v>
      </c>
      <c r="J1" s="24" t="s">
        <v>251</v>
      </c>
      <c r="K1" s="24" t="s">
        <v>252</v>
      </c>
      <c r="L1" s="24" t="s">
        <v>253</v>
      </c>
      <c r="M1" s="24" t="s">
        <v>254</v>
      </c>
      <c r="N1" s="24" t="s">
        <v>255</v>
      </c>
      <c r="O1" s="24" t="s">
        <v>256</v>
      </c>
      <c r="P1" s="24" t="s">
        <v>257</v>
      </c>
      <c r="Q1" s="24" t="s">
        <v>258</v>
      </c>
      <c r="R1" s="24" t="s">
        <v>259</v>
      </c>
      <c r="S1" s="24" t="s">
        <v>260</v>
      </c>
      <c r="T1" s="24" t="s">
        <v>261</v>
      </c>
      <c r="U1" s="24" t="s">
        <v>262</v>
      </c>
      <c r="V1" s="166"/>
      <c r="W1" s="167" t="s">
        <v>263</v>
      </c>
      <c r="X1" s="167" t="s">
        <v>264</v>
      </c>
      <c r="Y1" s="167" t="s">
        <v>265</v>
      </c>
      <c r="Z1" s="125"/>
      <c r="AA1" s="9" t="s">
        <v>266</v>
      </c>
      <c r="AB1" s="9" t="s">
        <v>267</v>
      </c>
      <c r="AC1" s="9" t="s">
        <v>268</v>
      </c>
      <c r="AD1" s="9" t="s">
        <v>269</v>
      </c>
    </row>
    <row r="2" ht="15.75" customHeight="1">
      <c r="A2" s="28" t="s">
        <v>104</v>
      </c>
      <c r="B2" s="30">
        <f>'Raw Values'!B2</f>
        <v>1.864</v>
      </c>
      <c r="C2" s="40">
        <f>'Raw Values'!C2</f>
        <v>63</v>
      </c>
      <c r="D2" s="34">
        <f>'Raw Values'!D2</f>
        <v>0.81</v>
      </c>
      <c r="E2" s="34">
        <f>'Raw Values'!E2</f>
        <v>0.225</v>
      </c>
      <c r="F2" s="130"/>
      <c r="G2" s="49">
        <f>CEILING(100/('Damage @Range(Armor)'!F2))</f>
        <v>2</v>
      </c>
      <c r="H2" s="49">
        <f>CEILING(100/('Damage @Range(Armor)'!G2))</f>
        <v>2</v>
      </c>
      <c r="I2" s="49">
        <f>CEILING(100/('Damage @Range(Armor)'!H2))</f>
        <v>2</v>
      </c>
      <c r="J2" s="49">
        <f>CEILING(100/('Damage @Range(Armor)'!I2))</f>
        <v>3</v>
      </c>
      <c r="K2" s="49">
        <f>CEILING(100/('Damage @Range(Armor)'!J2))</f>
        <v>3</v>
      </c>
      <c r="L2" s="49">
        <f>CEILING(100/('Damage @Range(Armor)'!K2))</f>
        <v>3</v>
      </c>
      <c r="M2" s="49">
        <f>CEILING(100/('Damage @Range(Armor)'!L2))</f>
        <v>3</v>
      </c>
      <c r="N2" s="49">
        <f>CEILING(100/('Damage @Range(Armor)'!M2))</f>
        <v>3</v>
      </c>
      <c r="O2" s="49">
        <f>CEILING(100/('Damage @Range(Armor)'!N2))</f>
        <v>3</v>
      </c>
      <c r="P2" s="49">
        <f>CEILING(100/('Damage @Range(Armor)'!O2))</f>
        <v>3</v>
      </c>
      <c r="Q2" s="49">
        <f>CEILING(100/('Damage @Range(Armor)'!P2))</f>
        <v>3</v>
      </c>
      <c r="R2" s="49">
        <f>CEILING(100/('Damage @Range(Armor)'!Q2))</f>
        <v>3</v>
      </c>
      <c r="S2" s="49">
        <f>CEILING(100/('Damage @Range(Armor)'!R2))</f>
        <v>3</v>
      </c>
      <c r="T2" s="49">
        <f>CEILING(100/('Damage @Range(Armor)'!S2))</f>
        <v>4</v>
      </c>
      <c r="U2" s="49">
        <f>CEILING(100/('Damage @Range(Armor)'!T2))</f>
        <v>4</v>
      </c>
      <c r="V2" s="168"/>
      <c r="W2" s="49">
        <f>CEILING(100/('Damage @Range(Armor)'!V2))</f>
        <v>4</v>
      </c>
      <c r="X2" s="49">
        <f>CEILING(100/('Damage @Range(Armor)'!W2))</f>
        <v>5</v>
      </c>
      <c r="Y2" s="49">
        <f>CEILING(100/('Damage @Range(Armor)'!X2))</f>
        <v>7</v>
      </c>
      <c r="Z2" s="130"/>
      <c r="AA2" s="34">
        <f>SUM((G2-1)*'Raw Values'!E2)</f>
        <v>0.225</v>
      </c>
      <c r="AB2" s="34">
        <f>SUM((I2-1)*'Raw Values'!E2)</f>
        <v>0.225</v>
      </c>
      <c r="AC2" s="34">
        <f>SUM((L2-1)*'Raw Values'!E2)</f>
        <v>0.45</v>
      </c>
      <c r="AD2" s="34">
        <f>SUM((R2-1)*'Raw Values'!E2)</f>
        <v>0.45</v>
      </c>
    </row>
    <row r="3" ht="15.75" customHeight="1">
      <c r="A3" s="28" t="s">
        <v>118</v>
      </c>
      <c r="B3" s="30">
        <f>'Raw Values'!B3</f>
        <v>1.864</v>
      </c>
      <c r="C3" s="40">
        <f>'Raw Values'!C3</f>
        <v>86</v>
      </c>
      <c r="D3" s="34">
        <f>'Raw Values'!D3</f>
        <v>0.94</v>
      </c>
      <c r="E3" s="34">
        <f>'Raw Values'!E3</f>
        <v>0.5</v>
      </c>
      <c r="F3" s="130"/>
      <c r="G3" s="49">
        <f>CEILING(100/('Damage @Range(Armor)'!F3))</f>
        <v>2</v>
      </c>
      <c r="H3" s="49">
        <f>CEILING(100/('Damage @Range(Armor)'!G3))</f>
        <v>2</v>
      </c>
      <c r="I3" s="49">
        <f>CEILING(100/('Damage @Range(Armor)'!H3))</f>
        <v>2</v>
      </c>
      <c r="J3" s="49">
        <f>CEILING(100/('Damage @Range(Armor)'!I3))</f>
        <v>2</v>
      </c>
      <c r="K3" s="49">
        <f>CEILING(100/('Damage @Range(Armor)'!J3))</f>
        <v>2</v>
      </c>
      <c r="L3" s="49">
        <f>CEILING(100/('Damage @Range(Armor)'!K3))</f>
        <v>2</v>
      </c>
      <c r="M3" s="49">
        <f>CEILING(100/('Damage @Range(Armor)'!L3))</f>
        <v>2</v>
      </c>
      <c r="N3" s="49">
        <f>CEILING(100/('Damage @Range(Armor)'!M3))</f>
        <v>2</v>
      </c>
      <c r="O3" s="49">
        <f>CEILING(100/('Damage @Range(Armor)'!N3))</f>
        <v>2</v>
      </c>
      <c r="P3" s="49">
        <f>CEILING(100/('Damage @Range(Armor)'!O3))</f>
        <v>2</v>
      </c>
      <c r="Q3" s="49">
        <f>CEILING(100/('Damage @Range(Armor)'!P3))</f>
        <v>2</v>
      </c>
      <c r="R3" s="49">
        <f>CEILING(100/('Damage @Range(Armor)'!Q3))</f>
        <v>2</v>
      </c>
      <c r="S3" s="49">
        <f>CEILING(100/('Damage @Range(Armor)'!R3))</f>
        <v>2</v>
      </c>
      <c r="T3" s="49">
        <f>CEILING(100/('Damage @Range(Armor)'!S3))</f>
        <v>2</v>
      </c>
      <c r="U3" s="49">
        <f>CEILING(100/('Damage @Range(Armor)'!T3))</f>
        <v>2</v>
      </c>
      <c r="V3" s="168"/>
      <c r="W3" s="49">
        <f>CEILING(100/('Damage @Range(Armor)'!V3))</f>
        <v>2</v>
      </c>
      <c r="X3" s="49">
        <f>CEILING(100/('Damage @Range(Armor)'!W3))</f>
        <v>2</v>
      </c>
      <c r="Y3" s="49">
        <f>CEILING(100/('Damage @Range(Armor)'!X3))</f>
        <v>2</v>
      </c>
      <c r="Z3" s="130"/>
      <c r="AA3" s="34">
        <f>SUM((G3-1)*'Raw Values'!E3)</f>
        <v>0.5</v>
      </c>
      <c r="AB3" s="34">
        <f>SUM((I3-1)*'Raw Values'!E3)</f>
        <v>0.5</v>
      </c>
      <c r="AC3" s="34">
        <f>SUM((L3-1)*'Raw Values'!E3)</f>
        <v>0.5</v>
      </c>
      <c r="AD3" s="34">
        <f>SUM((R3-1)*'Raw Values'!E3)</f>
        <v>0.5</v>
      </c>
    </row>
    <row r="4" ht="15.75" customHeight="1">
      <c r="A4" s="28" t="s">
        <v>120</v>
      </c>
      <c r="B4" s="30">
        <f>'Raw Values'!B4</f>
        <v>1.15</v>
      </c>
      <c r="C4" s="40">
        <f>'Raw Values'!C4</f>
        <v>38</v>
      </c>
      <c r="D4" s="34">
        <f>'Raw Values'!D4</f>
        <v>0.79</v>
      </c>
      <c r="E4" s="34">
        <f>'Raw Values'!E4</f>
        <v>0.12</v>
      </c>
      <c r="F4" s="130"/>
      <c r="G4" s="49">
        <f>CEILING(100/('Damage @Range(Armor)'!F4))</f>
        <v>5</v>
      </c>
      <c r="H4" s="49">
        <f>CEILING(100/('Damage @Range(Armor)'!G4))</f>
        <v>6</v>
      </c>
      <c r="I4" s="49">
        <f>CEILING(100/('Damage @Range(Armor)'!H4))</f>
        <v>6</v>
      </c>
      <c r="J4" s="49">
        <f>CEILING(100/('Damage @Range(Armor)'!I4))</f>
        <v>6</v>
      </c>
      <c r="K4" s="49">
        <f>CEILING(100/('Damage @Range(Armor)'!J4))</f>
        <v>6</v>
      </c>
      <c r="L4" s="49">
        <f>CEILING(100/('Damage @Range(Armor)'!K4))</f>
        <v>7</v>
      </c>
      <c r="M4" s="49">
        <f>CEILING(100/('Damage @Range(Armor)'!L4))</f>
        <v>7</v>
      </c>
      <c r="N4" s="49">
        <f>CEILING(100/('Damage @Range(Armor)'!M4))</f>
        <v>7</v>
      </c>
      <c r="O4" s="49">
        <f>CEILING(100/('Damage @Range(Armor)'!N4))</f>
        <v>7</v>
      </c>
      <c r="P4" s="49">
        <f>CEILING(100/('Damage @Range(Armor)'!O4))</f>
        <v>8</v>
      </c>
      <c r="Q4" s="49">
        <f>CEILING(100/('Damage @Range(Armor)'!P4))</f>
        <v>8</v>
      </c>
      <c r="R4" s="49">
        <f>CEILING(100/('Damage @Range(Armor)'!Q4))</f>
        <v>9</v>
      </c>
      <c r="S4" s="49">
        <f>CEILING(100/('Damage @Range(Armor)'!R4))</f>
        <v>9</v>
      </c>
      <c r="T4" s="49">
        <f>CEILING(100/('Damage @Range(Armor)'!S4))</f>
        <v>9</v>
      </c>
      <c r="U4" s="49">
        <f>CEILING(100/('Damage @Range(Armor)'!T4))</f>
        <v>10</v>
      </c>
      <c r="V4" s="168"/>
      <c r="W4" s="49">
        <f>CEILING(100/('Damage @Range(Armor)'!V4))</f>
        <v>12</v>
      </c>
      <c r="X4" s="49">
        <f>CEILING(100/('Damage @Range(Armor)'!W4))</f>
        <v>15</v>
      </c>
      <c r="Y4" s="49">
        <f>CEILING(100/('Damage @Range(Armor)'!X4))</f>
        <v>19</v>
      </c>
      <c r="Z4" s="130"/>
      <c r="AA4" s="34">
        <f>SUM((G4-1)*'Raw Values'!E4)</f>
        <v>0.48</v>
      </c>
      <c r="AB4" s="34">
        <f>SUM((I4-1)*'Raw Values'!E4)</f>
        <v>0.6</v>
      </c>
      <c r="AC4" s="34">
        <f>SUM((L4-1)*'Raw Values'!E4)</f>
        <v>0.72</v>
      </c>
      <c r="AD4" s="34">
        <f>SUM((R4-1)*'Raw Values'!E4)</f>
        <v>0.96</v>
      </c>
    </row>
    <row r="5" ht="15.75" customHeight="1">
      <c r="A5" s="61" t="s">
        <v>122</v>
      </c>
      <c r="B5" s="30">
        <f>'Raw Values'!B5</f>
        <v>1.823</v>
      </c>
      <c r="C5" s="40">
        <f>'Raw Values'!C5</f>
        <v>32</v>
      </c>
      <c r="D5" s="34">
        <f>'Raw Values'!D5</f>
        <v>0.81</v>
      </c>
      <c r="E5" s="34">
        <f>'Raw Values'!E5</f>
        <v>0.15</v>
      </c>
      <c r="F5" s="130"/>
      <c r="G5" s="49">
        <f>CEILING(100/('Damage @Range(Armor)'!F5))</f>
        <v>4</v>
      </c>
      <c r="H5" s="49">
        <f>CEILING(100/('Damage @Range(Armor)'!G5))</f>
        <v>4</v>
      </c>
      <c r="I5" s="49">
        <f>CEILING(100/('Damage @Range(Armor)'!H5))</f>
        <v>4</v>
      </c>
      <c r="J5" s="49">
        <f>CEILING(100/('Damage @Range(Armor)'!I5))</f>
        <v>5</v>
      </c>
      <c r="K5" s="49">
        <f>CEILING(100/('Damage @Range(Armor)'!J5))</f>
        <v>5</v>
      </c>
      <c r="L5" s="49">
        <f>CEILING(100/('Damage @Range(Armor)'!K5))</f>
        <v>5</v>
      </c>
      <c r="M5" s="49">
        <f>CEILING(100/('Damage @Range(Armor)'!L5))</f>
        <v>5</v>
      </c>
      <c r="N5" s="49">
        <f>CEILING(100/('Damage @Range(Armor)'!M5))</f>
        <v>5</v>
      </c>
      <c r="O5" s="49">
        <f>CEILING(100/('Damage @Range(Armor)'!N5))</f>
        <v>6</v>
      </c>
      <c r="P5" s="49">
        <f>CEILING(100/('Damage @Range(Armor)'!O5))</f>
        <v>6</v>
      </c>
      <c r="Q5" s="49">
        <f>CEILING(100/('Damage @Range(Armor)'!P5))</f>
        <v>6</v>
      </c>
      <c r="R5" s="49">
        <f>CEILING(100/('Damage @Range(Armor)'!Q5))</f>
        <v>6</v>
      </c>
      <c r="S5" s="49">
        <f>CEILING(100/('Damage @Range(Armor)'!R5))</f>
        <v>6</v>
      </c>
      <c r="T5" s="49">
        <f>CEILING(100/('Damage @Range(Armor)'!S5))</f>
        <v>7</v>
      </c>
      <c r="U5" s="49">
        <f>CEILING(100/('Damage @Range(Armor)'!T5))</f>
        <v>7</v>
      </c>
      <c r="V5" s="168"/>
      <c r="W5" s="49">
        <f>CEILING(100/('Damage @Range(Armor)'!V5))</f>
        <v>8</v>
      </c>
      <c r="X5" s="49">
        <f>CEILING(100/('Damage @Range(Armor)'!W5))</f>
        <v>10</v>
      </c>
      <c r="Y5" s="49">
        <f>CEILING(100/('Damage @Range(Armor)'!X5))</f>
        <v>13</v>
      </c>
      <c r="Z5" s="130"/>
      <c r="AA5" s="34">
        <f>SUM((G5-1)*'Raw Values'!E5)</f>
        <v>0.45</v>
      </c>
      <c r="AB5" s="34">
        <f>SUM((I5-1)*'Raw Values'!E5)</f>
        <v>0.45</v>
      </c>
      <c r="AC5" s="34">
        <f>SUM((L5-1)*'Raw Values'!E5)</f>
        <v>0.6</v>
      </c>
      <c r="AD5" s="34">
        <f>SUM((R5-1)*'Raw Values'!E5)</f>
        <v>0.75</v>
      </c>
    </row>
    <row r="6" ht="15.75" customHeight="1">
      <c r="A6" s="66" t="s">
        <v>124</v>
      </c>
      <c r="B6" s="30">
        <f>'Raw Values'!B6</f>
        <v>0.94</v>
      </c>
      <c r="C6" s="40">
        <f>'Raw Values'!C6</f>
        <v>30</v>
      </c>
      <c r="D6" s="34">
        <f>'Raw Values'!D6</f>
        <v>0.85</v>
      </c>
      <c r="E6" s="34">
        <f>'Raw Values'!E6</f>
        <v>0.15</v>
      </c>
      <c r="F6" s="130"/>
      <c r="G6" s="49">
        <f>CEILING(100/('Damage @Range(Armor)'!F6))</f>
        <v>8</v>
      </c>
      <c r="H6" s="49">
        <f>CEILING(100/('Damage @Range(Armor)'!G6))</f>
        <v>8</v>
      </c>
      <c r="I6" s="49">
        <f>CEILING(100/('Damage @Range(Armor)'!H6))</f>
        <v>8</v>
      </c>
      <c r="J6" s="49">
        <f>CEILING(100/('Damage @Range(Armor)'!I6))</f>
        <v>9</v>
      </c>
      <c r="K6" s="49">
        <f>CEILING(100/('Damage @Range(Armor)'!J6))</f>
        <v>9</v>
      </c>
      <c r="L6" s="49">
        <f>CEILING(100/('Damage @Range(Armor)'!K6))</f>
        <v>9</v>
      </c>
      <c r="M6" s="49">
        <f>CEILING(100/('Damage @Range(Armor)'!L6))</f>
        <v>9</v>
      </c>
      <c r="N6" s="49">
        <f>CEILING(100/('Damage @Range(Armor)'!M6))</f>
        <v>10</v>
      </c>
      <c r="O6" s="49">
        <f>CEILING(100/('Damage @Range(Armor)'!N6))</f>
        <v>10</v>
      </c>
      <c r="P6" s="49">
        <f>CEILING(100/('Damage @Range(Armor)'!O6))</f>
        <v>10</v>
      </c>
      <c r="Q6" s="49">
        <f>CEILING(100/('Damage @Range(Armor)'!P6))</f>
        <v>11</v>
      </c>
      <c r="R6" s="49">
        <f>CEILING(100/('Damage @Range(Armor)'!Q6))</f>
        <v>11</v>
      </c>
      <c r="S6" s="49">
        <f>CEILING(100/('Damage @Range(Armor)'!R6))</f>
        <v>11</v>
      </c>
      <c r="T6" s="49">
        <f>CEILING(100/('Damage @Range(Armor)'!S6))</f>
        <v>12</v>
      </c>
      <c r="U6" s="49">
        <f>CEILING(100/('Damage @Range(Armor)'!T6))</f>
        <v>12</v>
      </c>
      <c r="V6" s="168"/>
      <c r="W6" s="49">
        <f>CEILING(100/('Damage @Range(Armor)'!V6))</f>
        <v>14</v>
      </c>
      <c r="X6" s="49">
        <f>CEILING(100/('Damage @Range(Armor)'!W6))</f>
        <v>16</v>
      </c>
      <c r="Y6" s="49">
        <f>CEILING(100/('Damage @Range(Armor)'!X6))</f>
        <v>19</v>
      </c>
      <c r="Z6" s="130"/>
      <c r="AA6" s="34">
        <f>SUM((G6-1)*'Raw Values'!E6)</f>
        <v>1.05</v>
      </c>
      <c r="AB6" s="34">
        <f>SUM((I6-1)*'Raw Values'!E6)</f>
        <v>1.05</v>
      </c>
      <c r="AC6" s="34">
        <f>SUM((L6-1)*'Raw Values'!E6)</f>
        <v>1.2</v>
      </c>
      <c r="AD6" s="34">
        <f>SUM((R6-1)*'Raw Values'!E6)</f>
        <v>1.5</v>
      </c>
    </row>
    <row r="7" ht="15.75" customHeight="1">
      <c r="A7" s="61" t="s">
        <v>125</v>
      </c>
      <c r="B7" s="30">
        <f>'Raw Values'!B7</f>
        <v>1.01</v>
      </c>
      <c r="C7" s="40">
        <f>'Raw Values'!C7</f>
        <v>35</v>
      </c>
      <c r="D7" s="34">
        <f>'Raw Values'!D7</f>
        <v>0.91</v>
      </c>
      <c r="E7" s="34">
        <f>'Raw Values'!E7</f>
        <v>0.17</v>
      </c>
      <c r="F7" s="130"/>
      <c r="G7" s="49">
        <f>CEILING(100/('Damage @Range(Armor)'!F7))</f>
        <v>6</v>
      </c>
      <c r="H7" s="49">
        <f>CEILING(100/('Damage @Range(Armor)'!G7))</f>
        <v>6</v>
      </c>
      <c r="I7" s="49">
        <f>CEILING(100/('Damage @Range(Armor)'!H7))</f>
        <v>6</v>
      </c>
      <c r="J7" s="49">
        <f>CEILING(100/('Damage @Range(Armor)'!I7))</f>
        <v>7</v>
      </c>
      <c r="K7" s="49">
        <f>CEILING(100/('Damage @Range(Armor)'!J7))</f>
        <v>7</v>
      </c>
      <c r="L7" s="49">
        <f>CEILING(100/('Damage @Range(Armor)'!K7))</f>
        <v>7</v>
      </c>
      <c r="M7" s="49">
        <f>CEILING(100/('Damage @Range(Armor)'!L7))</f>
        <v>7</v>
      </c>
      <c r="N7" s="49">
        <f>CEILING(100/('Damage @Range(Armor)'!M7))</f>
        <v>7</v>
      </c>
      <c r="O7" s="49">
        <f>CEILING(100/('Damage @Range(Armor)'!N7))</f>
        <v>7</v>
      </c>
      <c r="P7" s="49">
        <f>CEILING(100/('Damage @Range(Armor)'!O7))</f>
        <v>7</v>
      </c>
      <c r="Q7" s="49">
        <f>CEILING(100/('Damage @Range(Armor)'!P7))</f>
        <v>7</v>
      </c>
      <c r="R7" s="49">
        <f>CEILING(100/('Damage @Range(Armor)'!Q7))</f>
        <v>8</v>
      </c>
      <c r="S7" s="49">
        <f>CEILING(100/('Damage @Range(Armor)'!R7))</f>
        <v>8</v>
      </c>
      <c r="T7" s="49">
        <f>CEILING(100/('Damage @Range(Armor)'!S7))</f>
        <v>8</v>
      </c>
      <c r="U7" s="49">
        <f>CEILING(100/('Damage @Range(Armor)'!T7))</f>
        <v>8</v>
      </c>
      <c r="V7" s="168"/>
      <c r="W7" s="49">
        <f>CEILING(100/('Damage @Range(Armor)'!V7))</f>
        <v>9</v>
      </c>
      <c r="X7" s="49">
        <f>CEILING(100/('Damage @Range(Armor)'!W7))</f>
        <v>10</v>
      </c>
      <c r="Y7" s="49">
        <f>CEILING(100/('Damage @Range(Armor)'!X7))</f>
        <v>10</v>
      </c>
      <c r="Z7" s="130"/>
      <c r="AA7" s="34">
        <f>SUM((G7-1)*'Raw Values'!E7)</f>
        <v>0.85</v>
      </c>
      <c r="AB7" s="34">
        <f>SUM((I7-1)*'Raw Values'!E7)</f>
        <v>0.85</v>
      </c>
      <c r="AC7" s="34">
        <f>SUM((L7-1)*'Raw Values'!E7)</f>
        <v>1.02</v>
      </c>
      <c r="AD7" s="34">
        <f>SUM((R7-1)*'Raw Values'!E7)</f>
        <v>1.19</v>
      </c>
    </row>
    <row r="8" ht="15.75" customHeight="1">
      <c r="A8" s="61" t="s">
        <v>127</v>
      </c>
      <c r="B8" s="30">
        <f>'Raw Values'!B8</f>
        <v>1.01</v>
      </c>
      <c r="C8" s="40">
        <f>'Raw Values'!C8</f>
        <v>35</v>
      </c>
      <c r="D8" s="34">
        <f>'Raw Values'!D8</f>
        <v>0.91</v>
      </c>
      <c r="E8" s="34">
        <f>'Raw Values'!E8</f>
        <v>0.17</v>
      </c>
      <c r="F8" s="130"/>
      <c r="G8" s="49">
        <f>CEILING(100/('Damage @Range(Armor)'!F8))</f>
        <v>6</v>
      </c>
      <c r="H8" s="49">
        <f>CEILING(100/('Damage @Range(Armor)'!G8))</f>
        <v>6</v>
      </c>
      <c r="I8" s="49">
        <f>CEILING(100/('Damage @Range(Armor)'!H8))</f>
        <v>6</v>
      </c>
      <c r="J8" s="49">
        <f>CEILING(100/('Damage @Range(Armor)'!I8))</f>
        <v>7</v>
      </c>
      <c r="K8" s="49">
        <f>CEILING(100/('Damage @Range(Armor)'!J8))</f>
        <v>7</v>
      </c>
      <c r="L8" s="49">
        <f>CEILING(100/('Damage @Range(Armor)'!K8))</f>
        <v>7</v>
      </c>
      <c r="M8" s="49">
        <f>CEILING(100/('Damage @Range(Armor)'!L8))</f>
        <v>7</v>
      </c>
      <c r="N8" s="49">
        <f>CEILING(100/('Damage @Range(Armor)'!M8))</f>
        <v>7</v>
      </c>
      <c r="O8" s="49">
        <f>CEILING(100/('Damage @Range(Armor)'!N8))</f>
        <v>7</v>
      </c>
      <c r="P8" s="49">
        <f>CEILING(100/('Damage @Range(Armor)'!O8))</f>
        <v>7</v>
      </c>
      <c r="Q8" s="49">
        <f>CEILING(100/('Damage @Range(Armor)'!P8))</f>
        <v>7</v>
      </c>
      <c r="R8" s="49">
        <f>CEILING(100/('Damage @Range(Armor)'!Q8))</f>
        <v>8</v>
      </c>
      <c r="S8" s="49">
        <f>CEILING(100/('Damage @Range(Armor)'!R8))</f>
        <v>8</v>
      </c>
      <c r="T8" s="49">
        <f>CEILING(100/('Damage @Range(Armor)'!S8))</f>
        <v>8</v>
      </c>
      <c r="U8" s="49">
        <f>CEILING(100/('Damage @Range(Armor)'!T8))</f>
        <v>8</v>
      </c>
      <c r="V8" s="168"/>
      <c r="W8" s="49">
        <f>CEILING(100/('Damage @Range(Armor)'!V8))</f>
        <v>9</v>
      </c>
      <c r="X8" s="49">
        <f>CEILING(100/('Damage @Range(Armor)'!W8))</f>
        <v>10</v>
      </c>
      <c r="Y8" s="49">
        <f>CEILING(100/('Damage @Range(Armor)'!X8))</f>
        <v>10</v>
      </c>
      <c r="Z8" s="130"/>
      <c r="AA8" s="34">
        <f>SUM((G8-1)*'Raw Values'!E8)</f>
        <v>0.85</v>
      </c>
      <c r="AB8" s="34">
        <f>SUM((I8-1)*'Raw Values'!E8)</f>
        <v>0.85</v>
      </c>
      <c r="AC8" s="34">
        <f>SUM((L8-1)*'Raw Values'!E8)</f>
        <v>1.02</v>
      </c>
      <c r="AD8" s="34">
        <f>SUM((R8-1)*'Raw Values'!E8)</f>
        <v>1.19</v>
      </c>
    </row>
    <row r="9" ht="15.75" customHeight="1">
      <c r="A9" s="28" t="s">
        <v>129</v>
      </c>
      <c r="B9" s="30">
        <f>'Raw Values'!B9</f>
        <v>1.28</v>
      </c>
      <c r="C9" s="40">
        <f>'Raw Values'!C9</f>
        <v>38</v>
      </c>
      <c r="D9" s="34">
        <f>'Raw Values'!D9</f>
        <v>0.9</v>
      </c>
      <c r="E9" s="34">
        <f>'Raw Values'!E9</f>
        <v>0.15</v>
      </c>
      <c r="F9" s="130"/>
      <c r="G9" s="49">
        <f>CEILING(100/('Damage @Range(Armor)'!F9))</f>
        <v>5</v>
      </c>
      <c r="H9" s="49">
        <f>CEILING(100/('Damage @Range(Armor)'!G9))</f>
        <v>5</v>
      </c>
      <c r="I9" s="49">
        <f>CEILING(100/('Damage @Range(Armor)'!H9))</f>
        <v>5</v>
      </c>
      <c r="J9" s="49">
        <f>CEILING(100/('Damage @Range(Armor)'!I9))</f>
        <v>5</v>
      </c>
      <c r="K9" s="49">
        <f>CEILING(100/('Damage @Range(Armor)'!J9))</f>
        <v>5</v>
      </c>
      <c r="L9" s="49">
        <f>CEILING(100/('Damage @Range(Armor)'!K9))</f>
        <v>5</v>
      </c>
      <c r="M9" s="49">
        <f>CEILING(100/('Damage @Range(Armor)'!L9))</f>
        <v>5</v>
      </c>
      <c r="N9" s="49">
        <f>CEILING(100/('Damage @Range(Armor)'!M9))</f>
        <v>5</v>
      </c>
      <c r="O9" s="49">
        <f>CEILING(100/('Damage @Range(Armor)'!N9))</f>
        <v>5</v>
      </c>
      <c r="P9" s="49">
        <f>CEILING(100/('Damage @Range(Armor)'!O9))</f>
        <v>6</v>
      </c>
      <c r="Q9" s="49">
        <f>CEILING(100/('Damage @Range(Armor)'!P9))</f>
        <v>6</v>
      </c>
      <c r="R9" s="49">
        <f>CEILING(100/('Damage @Range(Armor)'!Q9))</f>
        <v>6</v>
      </c>
      <c r="S9" s="49">
        <f>CEILING(100/('Damage @Range(Armor)'!R9))</f>
        <v>6</v>
      </c>
      <c r="T9" s="49">
        <f>CEILING(100/('Damage @Range(Armor)'!S9))</f>
        <v>6</v>
      </c>
      <c r="U9" s="49">
        <f>CEILING(100/('Damage @Range(Armor)'!T9))</f>
        <v>6</v>
      </c>
      <c r="V9" s="168"/>
      <c r="W9" s="49">
        <f>CEILING(100/('Damage @Range(Armor)'!V9))</f>
        <v>7</v>
      </c>
      <c r="X9" s="49">
        <f>CEILING(100/('Damage @Range(Armor)'!W9))</f>
        <v>7</v>
      </c>
      <c r="Y9" s="49">
        <f>CEILING(100/('Damage @Range(Armor)'!X9))</f>
        <v>8</v>
      </c>
      <c r="Z9" s="130"/>
      <c r="AA9" s="34">
        <f>SUM((G9-1)*'Raw Values'!E9)</f>
        <v>0.6</v>
      </c>
      <c r="AB9" s="34">
        <f>SUM((I9-1)*'Raw Values'!E9)</f>
        <v>0.6</v>
      </c>
      <c r="AC9" s="34">
        <f>SUM((L9-1)*'Raw Values'!E9)</f>
        <v>0.6</v>
      </c>
      <c r="AD9" s="34">
        <f>SUM((R9-1)*'Raw Values'!E9)</f>
        <v>0.75</v>
      </c>
    </row>
    <row r="10" ht="15.75" customHeight="1">
      <c r="A10" s="28" t="s">
        <v>131</v>
      </c>
      <c r="B10" s="30">
        <f>'Raw Values'!B10</f>
        <v>1.553</v>
      </c>
      <c r="C10" s="40">
        <f>'Raw Values'!C10</f>
        <v>31</v>
      </c>
      <c r="D10" s="34">
        <f>'Raw Values'!D10</f>
        <v>0.85</v>
      </c>
      <c r="E10" s="34">
        <f>'Raw Values'!E10</f>
        <v>0.1</v>
      </c>
      <c r="F10" s="130"/>
      <c r="G10" s="49">
        <f>CEILING(100/('Damage @Range(Armor)'!F10))</f>
        <v>5</v>
      </c>
      <c r="H10" s="49">
        <f>CEILING(100/('Damage @Range(Armor)'!G10))</f>
        <v>5</v>
      </c>
      <c r="I10" s="49">
        <f>CEILING(100/('Damage @Range(Armor)'!H10))</f>
        <v>5</v>
      </c>
      <c r="J10" s="49">
        <f>CEILING(100/('Damage @Range(Armor)'!I10))</f>
        <v>5</v>
      </c>
      <c r="K10" s="49">
        <f>CEILING(100/('Damage @Range(Armor)'!J10))</f>
        <v>5</v>
      </c>
      <c r="L10" s="49">
        <f>CEILING(100/('Damage @Range(Armor)'!K10))</f>
        <v>6</v>
      </c>
      <c r="M10" s="49">
        <f>CEILING(100/('Damage @Range(Armor)'!L10))</f>
        <v>6</v>
      </c>
      <c r="N10" s="49">
        <f>CEILING(100/('Damage @Range(Armor)'!M10))</f>
        <v>6</v>
      </c>
      <c r="O10" s="49">
        <f>CEILING(100/('Damage @Range(Armor)'!N10))</f>
        <v>6</v>
      </c>
      <c r="P10" s="49">
        <f>CEILING(100/('Damage @Range(Armor)'!O10))</f>
        <v>6</v>
      </c>
      <c r="Q10" s="49">
        <f>CEILING(100/('Damage @Range(Armor)'!P10))</f>
        <v>6</v>
      </c>
      <c r="R10" s="49">
        <f>CEILING(100/('Damage @Range(Armor)'!Q10))</f>
        <v>7</v>
      </c>
      <c r="S10" s="49">
        <f>CEILING(100/('Damage @Range(Armor)'!R10))</f>
        <v>7</v>
      </c>
      <c r="T10" s="49">
        <f>CEILING(100/('Damage @Range(Armor)'!S10))</f>
        <v>7</v>
      </c>
      <c r="U10" s="49">
        <f>CEILING(100/('Damage @Range(Armor)'!T10))</f>
        <v>7</v>
      </c>
      <c r="V10" s="168"/>
      <c r="W10" s="49">
        <f>CEILING(100/('Damage @Range(Armor)'!V10))</f>
        <v>8</v>
      </c>
      <c r="X10" s="49">
        <f>CEILING(100/('Damage @Range(Armor)'!W10))</f>
        <v>10</v>
      </c>
      <c r="Y10" s="49">
        <f>CEILING(100/('Damage @Range(Armor)'!X10))</f>
        <v>12</v>
      </c>
      <c r="Z10" s="130"/>
      <c r="AA10" s="34">
        <f>SUM((G10-1)*'Raw Values'!E10)</f>
        <v>0.4</v>
      </c>
      <c r="AB10" s="34">
        <f>SUM((I10-1)*'Raw Values'!E10)</f>
        <v>0.4</v>
      </c>
      <c r="AC10" s="34">
        <f>SUM((L10-1)*'Raw Values'!E10)</f>
        <v>0.5</v>
      </c>
      <c r="AD10" s="34">
        <f>SUM((R10-1)*'Raw Values'!E10)</f>
        <v>0.6</v>
      </c>
    </row>
    <row r="11" ht="15.75" customHeight="1">
      <c r="A11" s="66" t="s">
        <v>132</v>
      </c>
      <c r="B11" s="30">
        <f>'Raw Values'!B11</f>
        <v>1.812</v>
      </c>
      <c r="C11" s="40">
        <f>'Raw Values'!C11</f>
        <v>33</v>
      </c>
      <c r="D11" s="34">
        <f>'Raw Values'!D11</f>
        <v>0.79</v>
      </c>
      <c r="E11" s="34">
        <f>'Raw Values'!E11</f>
        <v>0.12</v>
      </c>
      <c r="F11" s="130"/>
      <c r="G11" s="49">
        <f>CEILING(100/('Damage @Range(Armor)'!F11))</f>
        <v>4</v>
      </c>
      <c r="H11" s="49">
        <f>CEILING(100/('Damage @Range(Armor)'!G11))</f>
        <v>4</v>
      </c>
      <c r="I11" s="49">
        <f>CEILING(100/('Damage @Range(Armor)'!H11))</f>
        <v>4</v>
      </c>
      <c r="J11" s="49">
        <f>CEILING(100/('Damage @Range(Armor)'!I11))</f>
        <v>5</v>
      </c>
      <c r="K11" s="49">
        <f>CEILING(100/('Damage @Range(Armor)'!J11))</f>
        <v>5</v>
      </c>
      <c r="L11" s="49">
        <f>CEILING(100/('Damage @Range(Armor)'!K11))</f>
        <v>5</v>
      </c>
      <c r="M11" s="49">
        <f>CEILING(100/('Damage @Range(Armor)'!L11))</f>
        <v>5</v>
      </c>
      <c r="N11" s="49">
        <f>CEILING(100/('Damage @Range(Armor)'!M11))</f>
        <v>5</v>
      </c>
      <c r="O11" s="49">
        <f>CEILING(100/('Damage @Range(Armor)'!N11))</f>
        <v>6</v>
      </c>
      <c r="P11" s="49">
        <f>CEILING(100/('Damage @Range(Armor)'!O11))</f>
        <v>6</v>
      </c>
      <c r="Q11" s="49">
        <f>CEILING(100/('Damage @Range(Armor)'!P11))</f>
        <v>6</v>
      </c>
      <c r="R11" s="49">
        <f>CEILING(100/('Damage @Range(Armor)'!Q11))</f>
        <v>6</v>
      </c>
      <c r="S11" s="49">
        <f>CEILING(100/('Damage @Range(Armor)'!R11))</f>
        <v>7</v>
      </c>
      <c r="T11" s="49">
        <f>CEILING(100/('Damage @Range(Armor)'!S11))</f>
        <v>7</v>
      </c>
      <c r="U11" s="49">
        <f>CEILING(100/('Damage @Range(Armor)'!T11))</f>
        <v>7</v>
      </c>
      <c r="V11" s="168"/>
      <c r="W11" s="49">
        <f>CEILING(100/('Damage @Range(Armor)'!V11))</f>
        <v>9</v>
      </c>
      <c r="X11" s="49">
        <f>CEILING(100/('Damage @Range(Armor)'!W11))</f>
        <v>11</v>
      </c>
      <c r="Y11" s="49">
        <f>CEILING(100/('Damage @Range(Armor)'!X11))</f>
        <v>14</v>
      </c>
      <c r="Z11" s="130"/>
      <c r="AA11" s="34">
        <f>SUM((G11-1)*'Raw Values'!E11)</f>
        <v>0.36</v>
      </c>
      <c r="AB11" s="34">
        <f>SUM((I11-1)*'Raw Values'!E11)</f>
        <v>0.36</v>
      </c>
      <c r="AC11" s="34">
        <f>SUM((L11-1)*'Raw Values'!E11)</f>
        <v>0.48</v>
      </c>
      <c r="AD11" s="34">
        <f>SUM((R11-1)*'Raw Values'!E11)</f>
        <v>0.6</v>
      </c>
    </row>
    <row r="12" ht="15.75" customHeight="1">
      <c r="A12" s="75"/>
      <c r="B12" s="76"/>
      <c r="C12" s="163"/>
      <c r="D12" s="79"/>
      <c r="E12" s="131"/>
      <c r="F12" s="133"/>
      <c r="G12" s="84"/>
      <c r="H12" s="84"/>
      <c r="I12" s="84"/>
      <c r="J12" s="84"/>
      <c r="K12" s="84"/>
      <c r="L12" s="84"/>
      <c r="M12" s="84"/>
      <c r="N12" s="84"/>
      <c r="O12" s="84"/>
      <c r="P12" s="84"/>
      <c r="Q12" s="84"/>
      <c r="R12" s="84"/>
      <c r="S12" s="84"/>
      <c r="T12" s="84"/>
      <c r="U12" s="84"/>
      <c r="V12" s="169"/>
      <c r="W12" s="170"/>
      <c r="X12" s="170"/>
      <c r="Y12" s="170"/>
      <c r="Z12" s="133"/>
      <c r="AA12" s="79"/>
      <c r="AB12" s="79"/>
      <c r="AC12" s="79"/>
      <c r="AD12" s="79"/>
    </row>
    <row r="13" ht="15.75" customHeight="1">
      <c r="A13" s="5" t="s">
        <v>135</v>
      </c>
      <c r="B13" s="8" t="s">
        <v>246</v>
      </c>
      <c r="C13" s="161" t="s">
        <v>15</v>
      </c>
      <c r="D13" s="9" t="s">
        <v>18</v>
      </c>
      <c r="E13" s="11" t="s">
        <v>19</v>
      </c>
      <c r="F13" s="158"/>
      <c r="G13" s="24" t="s">
        <v>248</v>
      </c>
      <c r="H13" s="24" t="s">
        <v>249</v>
      </c>
      <c r="I13" s="24" t="s">
        <v>250</v>
      </c>
      <c r="J13" s="24" t="s">
        <v>251</v>
      </c>
      <c r="K13" s="24" t="s">
        <v>252</v>
      </c>
      <c r="L13" s="24" t="s">
        <v>253</v>
      </c>
      <c r="M13" s="24" t="s">
        <v>254</v>
      </c>
      <c r="N13" s="24" t="s">
        <v>255</v>
      </c>
      <c r="O13" s="24" t="s">
        <v>256</v>
      </c>
      <c r="P13" s="24" t="s">
        <v>257</v>
      </c>
      <c r="Q13" s="24" t="s">
        <v>258</v>
      </c>
      <c r="R13" s="24" t="s">
        <v>259</v>
      </c>
      <c r="S13" s="24" t="s">
        <v>260</v>
      </c>
      <c r="T13" s="24" t="s">
        <v>261</v>
      </c>
      <c r="U13" s="24" t="s">
        <v>262</v>
      </c>
      <c r="V13" s="171"/>
      <c r="W13" s="172"/>
      <c r="X13" s="172"/>
      <c r="Y13" s="172"/>
      <c r="Z13" s="173"/>
      <c r="AA13" s="9" t="s">
        <v>266</v>
      </c>
      <c r="AB13" s="9" t="s">
        <v>267</v>
      </c>
      <c r="AC13" s="9" t="s">
        <v>268</v>
      </c>
      <c r="AD13" s="9" t="s">
        <v>269</v>
      </c>
    </row>
    <row r="14" ht="15.75" customHeight="1">
      <c r="A14" s="61" t="s">
        <v>137</v>
      </c>
      <c r="B14" s="30">
        <f>'Raw Values'!B14</f>
        <v>1.5</v>
      </c>
      <c r="C14" s="40">
        <f>'Raw Values'!C14</f>
        <v>30</v>
      </c>
      <c r="D14" s="34">
        <f>'Raw Values'!D14</f>
        <v>0.45</v>
      </c>
      <c r="E14" s="34">
        <f>'Raw Values'!E14</f>
        <v>0.85</v>
      </c>
      <c r="F14" s="130"/>
      <c r="G14" s="49">
        <f>CEILING(100/('Damage @Range(Armor)'!F14*'Raw Values'!$N$14))</f>
        <v>1</v>
      </c>
      <c r="H14" s="49">
        <f>CEILING(100/('Damage @Range(Armor)'!G14*'Raw Values'!$N$14))</f>
        <v>1</v>
      </c>
      <c r="I14" s="49">
        <f>CEILING(100/('Damage @Range(Armor)'!H14*'Raw Values'!$N$14))</f>
        <v>1</v>
      </c>
      <c r="J14" s="49">
        <f>CEILING(100/('Damage @Range(Armor)'!I14*'Raw Values'!$N$14))</f>
        <v>2</v>
      </c>
      <c r="K14" s="49">
        <f>CEILING(100/('Damage @Range(Armor)'!J14*'Raw Values'!$N$14))</f>
        <v>2</v>
      </c>
      <c r="L14" s="49">
        <f>CEILING(100/('Damage @Range(Armor)'!K14*'Raw Values'!$N$14))</f>
        <v>2</v>
      </c>
      <c r="M14" s="49">
        <f>CEILING(100/('Damage @Range(Armor)'!L14*'Raw Values'!$N$14))</f>
        <v>2</v>
      </c>
      <c r="N14" s="49">
        <f>CEILING(100/('Damage @Range(Armor)'!M14*'Raw Values'!$N$14))</f>
        <v>2</v>
      </c>
      <c r="O14" s="49">
        <f>CEILING(100/('Damage @Range(Armor)'!N14*'Raw Values'!$N$14))</f>
        <v>3</v>
      </c>
      <c r="P14" s="49">
        <f>CEILING(100/('Damage @Range(Armor)'!O14*'Raw Values'!$N$14))</f>
        <v>3</v>
      </c>
      <c r="Q14" s="49">
        <f>CEILING(100/('Damage @Range(Armor)'!P14*'Raw Values'!$N$14))</f>
        <v>4</v>
      </c>
      <c r="R14" s="49">
        <f>CEILING(100/('Damage @Range(Armor)'!Q14*'Raw Values'!$N$14))</f>
        <v>4</v>
      </c>
      <c r="S14" s="49">
        <f>CEILING(100/('Damage @Range(Armor)'!R14*'Raw Values'!$N$14))</f>
        <v>5</v>
      </c>
      <c r="T14" s="49">
        <f>CEILING(100/('Damage @Range(Armor)'!S14*'Raw Values'!$N$14))</f>
        <v>6</v>
      </c>
      <c r="U14" s="49">
        <f>CEILING(100/('Damage @Range(Armor)'!T14*'Raw Values'!$N$14))</f>
        <v>7</v>
      </c>
      <c r="V14" s="174"/>
      <c r="W14" s="175"/>
      <c r="X14" s="175"/>
      <c r="Y14" s="175"/>
      <c r="Z14" s="176"/>
      <c r="AA14" s="34" t="s">
        <v>270</v>
      </c>
      <c r="AB14" s="34" t="s">
        <v>270</v>
      </c>
      <c r="AC14" s="34">
        <f>SUM((L14-1)*'Raw Values'!E14)</f>
        <v>0.85</v>
      </c>
      <c r="AD14" s="34">
        <f>SUM((R14-1)*'Raw Values'!E14)</f>
        <v>2.55</v>
      </c>
    </row>
    <row r="15" ht="15.75" customHeight="1">
      <c r="A15" s="28" t="s">
        <v>140</v>
      </c>
      <c r="B15" s="30">
        <f>'Raw Values'!B15</f>
        <v>1</v>
      </c>
      <c r="C15" s="40">
        <f>'Raw Values'!C15</f>
        <v>26</v>
      </c>
      <c r="D15" s="34">
        <f>'Raw Values'!D15</f>
        <v>0.7</v>
      </c>
      <c r="E15" s="34">
        <f>'Raw Values'!E15</f>
        <v>0.88</v>
      </c>
      <c r="F15" s="130"/>
      <c r="G15" s="49">
        <f>CEILING(100/('Damage @Range(Armor)'!F15*'Raw Values'!$N$15))</f>
        <v>1</v>
      </c>
      <c r="H15" s="49">
        <f>CEILING(100/('Damage @Range(Armor)'!G15*'Raw Values'!$N$15))</f>
        <v>1</v>
      </c>
      <c r="I15" s="49">
        <f>CEILING(100/('Damage @Range(Armor)'!H15*'Raw Values'!$N$15))</f>
        <v>2</v>
      </c>
      <c r="J15" s="49">
        <f>CEILING(100/('Damage @Range(Armor)'!I15*'Raw Values'!$N$15))</f>
        <v>2</v>
      </c>
      <c r="K15" s="49">
        <f>CEILING(100/('Damage @Range(Armor)'!J15*'Raw Values'!$N$15))</f>
        <v>2</v>
      </c>
      <c r="L15" s="49">
        <f>CEILING(100/('Damage @Range(Armor)'!K15*'Raw Values'!$N$15))</f>
        <v>2</v>
      </c>
      <c r="M15" s="49">
        <f>CEILING(100/('Damage @Range(Armor)'!L15*'Raw Values'!$N$15))</f>
        <v>2</v>
      </c>
      <c r="N15" s="49">
        <f>CEILING(100/('Damage @Range(Armor)'!M15*'Raw Values'!$N$15))</f>
        <v>2</v>
      </c>
      <c r="O15" s="49">
        <f>CEILING(100/('Damage @Range(Armor)'!N15*'Raw Values'!$N$15))</f>
        <v>2</v>
      </c>
      <c r="P15" s="49">
        <f>CEILING(100/('Damage @Range(Armor)'!O15*'Raw Values'!$N$15))</f>
        <v>2</v>
      </c>
      <c r="Q15" s="49">
        <f>CEILING(100/('Damage @Range(Armor)'!P15*'Raw Values'!$N$15))</f>
        <v>2</v>
      </c>
      <c r="R15" s="49">
        <f>CEILING(100/('Damage @Range(Armor)'!Q15*'Raw Values'!$N$15))</f>
        <v>3</v>
      </c>
      <c r="S15" s="49">
        <f>CEILING(100/('Damage @Range(Armor)'!R15*'Raw Values'!$N$15))</f>
        <v>3</v>
      </c>
      <c r="T15" s="49">
        <f>CEILING(100/('Damage @Range(Armor)'!S15*'Raw Values'!$N$15))</f>
        <v>3</v>
      </c>
      <c r="U15" s="49">
        <f>CEILING(100/('Damage @Range(Armor)'!T15*'Raw Values'!$N$15))</f>
        <v>3</v>
      </c>
      <c r="V15" s="174"/>
      <c r="W15" s="175"/>
      <c r="X15" s="175"/>
      <c r="Y15" s="175"/>
      <c r="Z15" s="176"/>
      <c r="AA15" s="34" t="s">
        <v>270</v>
      </c>
      <c r="AB15" s="34">
        <f>SUM((I15-1)*'Raw Values'!E15)</f>
        <v>0.88</v>
      </c>
      <c r="AC15" s="34">
        <f>SUM((L15-1)*'Raw Values'!E15)</f>
        <v>0.88</v>
      </c>
      <c r="AD15" s="34">
        <f>SUM((R15-1)*'Raw Values'!E15)</f>
        <v>1.76</v>
      </c>
    </row>
    <row r="16" ht="15.75" customHeight="1">
      <c r="A16" s="66" t="s">
        <v>142</v>
      </c>
      <c r="B16" s="30">
        <f>'Raw Values'!B16</f>
        <v>1.5</v>
      </c>
      <c r="C16" s="40">
        <f>'Raw Values'!C16</f>
        <v>32</v>
      </c>
      <c r="D16" s="34">
        <f>'Raw Values'!D16</f>
        <v>0.45</v>
      </c>
      <c r="E16" s="34">
        <f>'Raw Values'!E16</f>
        <v>0.85</v>
      </c>
      <c r="F16" s="130"/>
      <c r="G16" s="49">
        <f>CEILING(100/('Damage @Range(Armor)'!F16*'Raw Values'!$N$16))</f>
        <v>1</v>
      </c>
      <c r="H16" s="49">
        <f>CEILING(100/('Damage @Range(Armor)'!G16*'Raw Values'!$N$16))</f>
        <v>1</v>
      </c>
      <c r="I16" s="49">
        <f>CEILING(100/('Damage @Range(Armor)'!H16*'Raw Values'!$N$16))</f>
        <v>1</v>
      </c>
      <c r="J16" s="49">
        <f>CEILING(100/('Damage @Range(Armor)'!I16*'Raw Values'!$N$16))</f>
        <v>1</v>
      </c>
      <c r="K16" s="49">
        <f>CEILING(100/('Damage @Range(Armor)'!J16*'Raw Values'!$N$16))</f>
        <v>2</v>
      </c>
      <c r="L16" s="49">
        <f>CEILING(100/('Damage @Range(Armor)'!K16*'Raw Values'!$N$16))</f>
        <v>2</v>
      </c>
      <c r="M16" s="49">
        <f>CEILING(100/('Damage @Range(Armor)'!L16*'Raw Values'!$N$16))</f>
        <v>2</v>
      </c>
      <c r="N16" s="49">
        <f>CEILING(100/('Damage @Range(Armor)'!M16*'Raw Values'!$N$16))</f>
        <v>2</v>
      </c>
      <c r="O16" s="49">
        <f>CEILING(100/('Damage @Range(Armor)'!N16*'Raw Values'!$N$16))</f>
        <v>3</v>
      </c>
      <c r="P16" s="49">
        <f>CEILING(100/('Damage @Range(Armor)'!O16*'Raw Values'!$N$16))</f>
        <v>3</v>
      </c>
      <c r="Q16" s="49">
        <f>CEILING(100/('Damage @Range(Armor)'!P16*'Raw Values'!$N$16))</f>
        <v>4</v>
      </c>
      <c r="R16" s="49">
        <f>CEILING(100/('Damage @Range(Armor)'!Q16*'Raw Values'!$N$16))</f>
        <v>4</v>
      </c>
      <c r="S16" s="49">
        <f>CEILING(100/('Damage @Range(Armor)'!R16*'Raw Values'!$N$16))</f>
        <v>5</v>
      </c>
      <c r="T16" s="49">
        <f>CEILING(100/('Damage @Range(Armor)'!S16*'Raw Values'!$N$16))</f>
        <v>5</v>
      </c>
      <c r="U16" s="49">
        <f>CEILING(100/('Damage @Range(Armor)'!T16*'Raw Values'!$N$16))</f>
        <v>6</v>
      </c>
      <c r="V16" s="174"/>
      <c r="W16" s="175"/>
      <c r="X16" s="175"/>
      <c r="Y16" s="175"/>
      <c r="Z16" s="176"/>
      <c r="AA16" s="34" t="s">
        <v>270</v>
      </c>
      <c r="AB16" s="34" t="s">
        <v>270</v>
      </c>
      <c r="AC16" s="34">
        <f>SUM((L16-1)*'Raw Values'!E16)</f>
        <v>0.85</v>
      </c>
      <c r="AD16" s="34">
        <f>SUM((R16-1)*'Raw Values'!E16)</f>
        <v>2.55</v>
      </c>
    </row>
    <row r="17" ht="15.75" customHeight="1">
      <c r="A17" s="28" t="s">
        <v>143</v>
      </c>
      <c r="B17" s="30">
        <f>'Raw Values'!B17</f>
        <v>1.6</v>
      </c>
      <c r="C17" s="40">
        <f>'Raw Values'!C17</f>
        <v>20</v>
      </c>
      <c r="D17" s="34">
        <f>'Raw Values'!D17</f>
        <v>0.7</v>
      </c>
      <c r="E17" s="34">
        <f>'Raw Values'!E17</f>
        <v>0.35</v>
      </c>
      <c r="F17" s="130"/>
      <c r="G17" s="49">
        <f>CEILING(100/('Damage @Range(Armor)'!F17*'Raw Values'!$N$17))</f>
        <v>2</v>
      </c>
      <c r="H17" s="49">
        <f>CEILING(100/('Damage @Range(Armor)'!G17*'Raw Values'!$N$17))</f>
        <v>2</v>
      </c>
      <c r="I17" s="49">
        <f>CEILING(100/('Damage @Range(Armor)'!H17*'Raw Values'!$N$17))</f>
        <v>2</v>
      </c>
      <c r="J17" s="49">
        <f>CEILING(100/('Damage @Range(Armor)'!I17*'Raw Values'!$N$17))</f>
        <v>2</v>
      </c>
      <c r="K17" s="49">
        <f>CEILING(100/('Damage @Range(Armor)'!J17*'Raw Values'!$N$17))</f>
        <v>2</v>
      </c>
      <c r="L17" s="49">
        <f>CEILING(100/('Damage @Range(Armor)'!K17*'Raw Values'!$N$17))</f>
        <v>2</v>
      </c>
      <c r="M17" s="49">
        <f>CEILING(100/('Damage @Range(Armor)'!L17*'Raw Values'!$N$17))</f>
        <v>2</v>
      </c>
      <c r="N17" s="49">
        <f>CEILING(100/('Damage @Range(Armor)'!M17*'Raw Values'!$N$17))</f>
        <v>2</v>
      </c>
      <c r="O17" s="49">
        <f>CEILING(100/('Damage @Range(Armor)'!N17*'Raw Values'!$N$17))</f>
        <v>2</v>
      </c>
      <c r="P17" s="49">
        <f>CEILING(100/('Damage @Range(Armor)'!O17*'Raw Values'!$N$17))</f>
        <v>3</v>
      </c>
      <c r="Q17" s="49">
        <f>CEILING(100/('Damage @Range(Armor)'!P17*'Raw Values'!$N$17))</f>
        <v>3</v>
      </c>
      <c r="R17" s="49">
        <f>CEILING(100/('Damage @Range(Armor)'!Q17*'Raw Values'!$N$17))</f>
        <v>3</v>
      </c>
      <c r="S17" s="49">
        <f>CEILING(100/('Damage @Range(Armor)'!R17*'Raw Values'!$N$17))</f>
        <v>3</v>
      </c>
      <c r="T17" s="49">
        <f>CEILING(100/('Damage @Range(Armor)'!S17*'Raw Values'!$N$17))</f>
        <v>3</v>
      </c>
      <c r="U17" s="49">
        <f>CEILING(100/('Damage @Range(Armor)'!T17*'Raw Values'!$N$17))</f>
        <v>4</v>
      </c>
      <c r="V17" s="174"/>
      <c r="W17" s="175"/>
      <c r="X17" s="175"/>
      <c r="Y17" s="175"/>
      <c r="Z17" s="176"/>
      <c r="AA17" s="34">
        <f>SUM((G17-1)*'Raw Values'!E17)</f>
        <v>0.35</v>
      </c>
      <c r="AB17" s="34">
        <f>SUM((I17-1)*'Raw Values'!E17)</f>
        <v>0.35</v>
      </c>
      <c r="AC17" s="34">
        <f>SUM((L17-1)*'Raw Values'!E17)</f>
        <v>0.35</v>
      </c>
      <c r="AD17" s="34">
        <f>SUM((R17-1)*'Raw Values'!E17)</f>
        <v>0.7</v>
      </c>
    </row>
    <row r="18" ht="15.75" customHeight="1">
      <c r="A18" s="75"/>
      <c r="B18" s="76"/>
      <c r="C18" s="163"/>
      <c r="D18" s="79"/>
      <c r="E18" s="131"/>
      <c r="F18" s="133"/>
      <c r="G18" s="84"/>
      <c r="H18" s="84"/>
      <c r="I18" s="84"/>
      <c r="J18" s="84"/>
      <c r="K18" s="84"/>
      <c r="L18" s="84"/>
      <c r="M18" s="84"/>
      <c r="N18" s="84"/>
      <c r="O18" s="84"/>
      <c r="P18" s="84"/>
      <c r="Q18" s="84"/>
      <c r="R18" s="84"/>
      <c r="S18" s="84"/>
      <c r="T18" s="84"/>
      <c r="U18" s="84"/>
      <c r="V18" s="169"/>
      <c r="W18" s="178"/>
      <c r="X18" s="178"/>
      <c r="Y18" s="178"/>
      <c r="Z18" s="133"/>
      <c r="AA18" s="79"/>
      <c r="AB18" s="79"/>
      <c r="AC18" s="79"/>
      <c r="AD18" s="79"/>
    </row>
    <row r="19" ht="15.75" customHeight="1">
      <c r="A19" s="5" t="s">
        <v>145</v>
      </c>
      <c r="B19" s="8" t="s">
        <v>246</v>
      </c>
      <c r="C19" s="161" t="s">
        <v>15</v>
      </c>
      <c r="D19" s="9" t="s">
        <v>18</v>
      </c>
      <c r="E19" s="11" t="s">
        <v>19</v>
      </c>
      <c r="F19" s="158"/>
      <c r="G19" s="24" t="s">
        <v>248</v>
      </c>
      <c r="H19" s="24" t="s">
        <v>249</v>
      </c>
      <c r="I19" s="24" t="s">
        <v>250</v>
      </c>
      <c r="J19" s="24" t="s">
        <v>251</v>
      </c>
      <c r="K19" s="24" t="s">
        <v>252</v>
      </c>
      <c r="L19" s="24" t="s">
        <v>253</v>
      </c>
      <c r="M19" s="24" t="s">
        <v>254</v>
      </c>
      <c r="N19" s="24" t="s">
        <v>255</v>
      </c>
      <c r="O19" s="24" t="s">
        <v>256</v>
      </c>
      <c r="P19" s="24" t="s">
        <v>257</v>
      </c>
      <c r="Q19" s="24" t="s">
        <v>258</v>
      </c>
      <c r="R19" s="24" t="s">
        <v>259</v>
      </c>
      <c r="S19" s="24" t="s">
        <v>260</v>
      </c>
      <c r="T19" s="24" t="s">
        <v>261</v>
      </c>
      <c r="U19" s="24" t="s">
        <v>262</v>
      </c>
      <c r="V19" s="166"/>
      <c r="W19" s="167" t="s">
        <v>263</v>
      </c>
      <c r="X19" s="167" t="s">
        <v>264</v>
      </c>
      <c r="Y19" s="167" t="s">
        <v>265</v>
      </c>
      <c r="Z19" s="125"/>
      <c r="AA19" s="9" t="s">
        <v>266</v>
      </c>
      <c r="AB19" s="9" t="s">
        <v>267</v>
      </c>
      <c r="AC19" s="9" t="s">
        <v>268</v>
      </c>
      <c r="AD19" s="9" t="s">
        <v>269</v>
      </c>
    </row>
    <row r="20" ht="15.75" customHeight="1">
      <c r="A20" s="28" t="s">
        <v>147</v>
      </c>
      <c r="B20" s="30">
        <f>'Raw Values'!B20</f>
        <v>1.15</v>
      </c>
      <c r="C20" s="40">
        <f>'Raw Values'!C20</f>
        <v>27</v>
      </c>
      <c r="D20" s="34">
        <f>'Raw Values'!D20</f>
        <v>0.8</v>
      </c>
      <c r="E20" s="34">
        <f>'Raw Values'!E20</f>
        <v>0.08</v>
      </c>
      <c r="F20" s="130"/>
      <c r="G20" s="49">
        <f>CEILING(100/('Damage @Range(Armor)'!F20))</f>
        <v>7</v>
      </c>
      <c r="H20" s="49">
        <f>CEILING(100/('Damage @Range(Armor)'!G20))</f>
        <v>8</v>
      </c>
      <c r="I20" s="49">
        <f>CEILING(100/('Damage @Range(Armor)'!H20))</f>
        <v>8</v>
      </c>
      <c r="J20" s="49">
        <f>CEILING(100/('Damage @Range(Armor)'!I20))</f>
        <v>8</v>
      </c>
      <c r="K20" s="49">
        <f>CEILING(100/('Damage @Range(Armor)'!J20))</f>
        <v>9</v>
      </c>
      <c r="L20" s="49">
        <f>CEILING(100/('Damage @Range(Armor)'!K20))</f>
        <v>9</v>
      </c>
      <c r="M20" s="49">
        <f>CEILING(100/('Damage @Range(Armor)'!L20))</f>
        <v>9</v>
      </c>
      <c r="N20" s="49">
        <f>CEILING(100/('Damage @Range(Armor)'!M20))</f>
        <v>10</v>
      </c>
      <c r="O20" s="49">
        <f>CEILING(100/('Damage @Range(Armor)'!N20))</f>
        <v>10</v>
      </c>
      <c r="P20" s="49">
        <f>CEILING(100/('Damage @Range(Armor)'!O20))</f>
        <v>11</v>
      </c>
      <c r="Q20" s="49">
        <f>CEILING(100/('Damage @Range(Armor)'!P20))</f>
        <v>11</v>
      </c>
      <c r="R20" s="49">
        <f>CEILING(100/('Damage @Range(Armor)'!Q20))</f>
        <v>12</v>
      </c>
      <c r="S20" s="49">
        <f>CEILING(100/('Damage @Range(Armor)'!R20))</f>
        <v>12</v>
      </c>
      <c r="T20" s="49">
        <f>CEILING(100/('Damage @Range(Armor)'!S20))</f>
        <v>13</v>
      </c>
      <c r="U20" s="49">
        <f>CEILING(100/('Damage @Range(Armor)'!T20))</f>
        <v>13</v>
      </c>
      <c r="V20" s="168"/>
      <c r="W20" s="49">
        <f>CEILING(100/('Damage @Range(Armor)'!V20))</f>
        <v>16</v>
      </c>
      <c r="X20" s="49">
        <f>CEILING(100/('Damage @Range(Armor)'!W20))</f>
        <v>20</v>
      </c>
      <c r="Y20" s="49">
        <f>CEILING(100/('Damage @Range(Armor)'!X20))</f>
        <v>25</v>
      </c>
      <c r="Z20" s="130"/>
      <c r="AA20" s="34">
        <f>SUM((G20-1)*'Raw Values'!E20)</f>
        <v>0.48</v>
      </c>
      <c r="AB20" s="34">
        <f>SUM((I20-1)*'Raw Values'!E20)</f>
        <v>0.56</v>
      </c>
      <c r="AC20" s="34">
        <f>SUM((L20-1)*'Raw Values'!E20)</f>
        <v>0.64</v>
      </c>
      <c r="AD20" s="34">
        <f>SUM((R20-1)*'Raw Values'!E20)</f>
        <v>0.88</v>
      </c>
    </row>
    <row r="21" ht="15.75" customHeight="1">
      <c r="A21" s="66" t="s">
        <v>150</v>
      </c>
      <c r="B21" s="30">
        <f>'Raw Values'!B21</f>
        <v>1.15</v>
      </c>
      <c r="C21" s="40">
        <f>'Raw Values'!C21</f>
        <v>29</v>
      </c>
      <c r="D21" s="34">
        <f>'Raw Values'!D21</f>
        <v>0.8</v>
      </c>
      <c r="E21" s="34">
        <f>'Raw Values'!E21</f>
        <v>0.075</v>
      </c>
      <c r="F21" s="130"/>
      <c r="G21" s="49">
        <f>CEILING(100/('Damage @Range(Armor)'!F21))</f>
        <v>7</v>
      </c>
      <c r="H21" s="49">
        <f>CEILING(100/('Damage @Range(Armor)'!G21))</f>
        <v>7</v>
      </c>
      <c r="I21" s="49">
        <f>CEILING(100/('Damage @Range(Armor)'!H21))</f>
        <v>7</v>
      </c>
      <c r="J21" s="49">
        <f>CEILING(100/('Damage @Range(Armor)'!I21))</f>
        <v>8</v>
      </c>
      <c r="K21" s="49">
        <f>CEILING(100/('Damage @Range(Armor)'!J21))</f>
        <v>8</v>
      </c>
      <c r="L21" s="49">
        <f>CEILING(100/('Damage @Range(Armor)'!K21))</f>
        <v>8</v>
      </c>
      <c r="M21" s="49">
        <f>CEILING(100/('Damage @Range(Armor)'!L21))</f>
        <v>9</v>
      </c>
      <c r="N21" s="49">
        <f>CEILING(100/('Damage @Range(Armor)'!M21))</f>
        <v>9</v>
      </c>
      <c r="O21" s="49">
        <f>CEILING(100/('Damage @Range(Armor)'!N21))</f>
        <v>9</v>
      </c>
      <c r="P21" s="49">
        <f>CEILING(100/('Damage @Range(Armor)'!O21))</f>
        <v>10</v>
      </c>
      <c r="Q21" s="49">
        <f>CEILING(100/('Damage @Range(Armor)'!P21))</f>
        <v>10</v>
      </c>
      <c r="R21" s="49">
        <f>CEILING(100/('Damage @Range(Armor)'!Q21))</f>
        <v>11</v>
      </c>
      <c r="S21" s="49">
        <f>CEILING(100/('Damage @Range(Armor)'!R21))</f>
        <v>11</v>
      </c>
      <c r="T21" s="49">
        <f>CEILING(100/('Damage @Range(Armor)'!S21))</f>
        <v>12</v>
      </c>
      <c r="U21" s="49">
        <f>CEILING(100/('Damage @Range(Armor)'!T21))</f>
        <v>12</v>
      </c>
      <c r="V21" s="168"/>
      <c r="W21" s="49">
        <f>CEILING(100/('Damage @Range(Armor)'!V21))</f>
        <v>15</v>
      </c>
      <c r="X21" s="49">
        <f>CEILING(100/('Damage @Range(Armor)'!W21))</f>
        <v>19</v>
      </c>
      <c r="Y21" s="49">
        <f>CEILING(100/('Damage @Range(Armor)'!X21))</f>
        <v>23</v>
      </c>
      <c r="Z21" s="130"/>
      <c r="AA21" s="34">
        <f>SUM((G21-1)*'Raw Values'!E21)</f>
        <v>0.45</v>
      </c>
      <c r="AB21" s="34">
        <f>SUM((I21-1)*'Raw Values'!E21)</f>
        <v>0.45</v>
      </c>
      <c r="AC21" s="34">
        <f>SUM((L21-1)*'Raw Values'!E21)</f>
        <v>0.525</v>
      </c>
      <c r="AD21" s="34">
        <f>SUM((R21-1)*'Raw Values'!E21)</f>
        <v>0.75</v>
      </c>
    </row>
    <row r="22" ht="15.75" customHeight="1">
      <c r="A22" s="28" t="s">
        <v>152</v>
      </c>
      <c r="B22" s="30">
        <f>'Raw Values'!B22</f>
        <v>1.25</v>
      </c>
      <c r="C22" s="40">
        <f>'Raw Values'!C22</f>
        <v>29</v>
      </c>
      <c r="D22" s="34">
        <f>'Raw Values'!D22</f>
        <v>0.85</v>
      </c>
      <c r="E22" s="34">
        <f>'Raw Values'!E22</f>
        <v>0.08</v>
      </c>
      <c r="F22" s="130"/>
      <c r="G22" s="49">
        <f>CEILING(100/('Damage @Range(Armor)'!F22))</f>
        <v>6</v>
      </c>
      <c r="H22" s="49">
        <f>CEILING(100/('Damage @Range(Armor)'!G22))</f>
        <v>6</v>
      </c>
      <c r="I22" s="49">
        <f>CEILING(100/('Damage @Range(Armor)'!H22))</f>
        <v>7</v>
      </c>
      <c r="J22" s="49">
        <f>CEILING(100/('Damage @Range(Armor)'!I22))</f>
        <v>7</v>
      </c>
      <c r="K22" s="49">
        <f>CEILING(100/('Damage @Range(Armor)'!J22))</f>
        <v>7</v>
      </c>
      <c r="L22" s="49">
        <f>CEILING(100/('Damage @Range(Armor)'!K22))</f>
        <v>7</v>
      </c>
      <c r="M22" s="49">
        <f>CEILING(100/('Damage @Range(Armor)'!L22))</f>
        <v>7</v>
      </c>
      <c r="N22" s="49">
        <f>CEILING(100/('Damage @Range(Armor)'!M22))</f>
        <v>8</v>
      </c>
      <c r="O22" s="49">
        <f>CEILING(100/('Damage @Range(Armor)'!N22))</f>
        <v>8</v>
      </c>
      <c r="P22" s="49">
        <f>CEILING(100/('Damage @Range(Armor)'!O22))</f>
        <v>8</v>
      </c>
      <c r="Q22" s="49">
        <f>CEILING(100/('Damage @Range(Armor)'!P22))</f>
        <v>8</v>
      </c>
      <c r="R22" s="49">
        <f>CEILING(100/('Damage @Range(Armor)'!Q22))</f>
        <v>9</v>
      </c>
      <c r="S22" s="49">
        <f>CEILING(100/('Damage @Range(Armor)'!R22))</f>
        <v>9</v>
      </c>
      <c r="T22" s="49">
        <f>CEILING(100/('Damage @Range(Armor)'!S22))</f>
        <v>9</v>
      </c>
      <c r="U22" s="49">
        <f>CEILING(100/('Damage @Range(Armor)'!T22))</f>
        <v>9</v>
      </c>
      <c r="V22" s="168"/>
      <c r="W22" s="49">
        <f>CEILING(100/('Damage @Range(Armor)'!V22))</f>
        <v>11</v>
      </c>
      <c r="X22" s="49">
        <f>CEILING(100/('Damage @Range(Armor)'!W22))</f>
        <v>13</v>
      </c>
      <c r="Y22" s="49">
        <f>CEILING(100/('Damage @Range(Armor)'!X22))</f>
        <v>15</v>
      </c>
      <c r="Z22" s="130"/>
      <c r="AA22" s="34">
        <f>SUM((G22-1)*'Raw Values'!E22)</f>
        <v>0.4</v>
      </c>
      <c r="AB22" s="34">
        <f>SUM((I22-1)*'Raw Values'!E22)</f>
        <v>0.48</v>
      </c>
      <c r="AC22" s="34">
        <f>SUM((L22-1)*'Raw Values'!E22)</f>
        <v>0.48</v>
      </c>
      <c r="AD22" s="34">
        <f>SUM((R22-1)*'Raw Values'!E22)</f>
        <v>0.64</v>
      </c>
    </row>
    <row r="23" ht="15.75" customHeight="1">
      <c r="A23" s="28" t="s">
        <v>154</v>
      </c>
      <c r="B23" s="30">
        <f>'Raw Values'!B23</f>
        <v>1.25</v>
      </c>
      <c r="C23" s="40">
        <f>'Raw Values'!C23</f>
        <v>27</v>
      </c>
      <c r="D23" s="34">
        <f>'Raw Values'!D23</f>
        <v>0.85</v>
      </c>
      <c r="E23" s="34">
        <f>'Raw Values'!E23</f>
        <v>0.08</v>
      </c>
      <c r="F23" s="130"/>
      <c r="G23" s="49">
        <f>CEILING(100/('Damage @Range(Armor)'!F23))</f>
        <v>7</v>
      </c>
      <c r="H23" s="49">
        <f>CEILING(100/('Damage @Range(Armor)'!G23))</f>
        <v>7</v>
      </c>
      <c r="I23" s="49">
        <f>CEILING(100/('Damage @Range(Armor)'!H23))</f>
        <v>7</v>
      </c>
      <c r="J23" s="49">
        <f>CEILING(100/('Damage @Range(Armor)'!I23))</f>
        <v>7</v>
      </c>
      <c r="K23" s="49">
        <f>CEILING(100/('Damage @Range(Armor)'!J23))</f>
        <v>7</v>
      </c>
      <c r="L23" s="49">
        <f>CEILING(100/('Damage @Range(Armor)'!K23))</f>
        <v>8</v>
      </c>
      <c r="M23" s="49">
        <f>CEILING(100/('Damage @Range(Armor)'!L23))</f>
        <v>8</v>
      </c>
      <c r="N23" s="49">
        <f>CEILING(100/('Damage @Range(Armor)'!M23))</f>
        <v>8</v>
      </c>
      <c r="O23" s="49">
        <f>CEILING(100/('Damage @Range(Armor)'!N23))</f>
        <v>8</v>
      </c>
      <c r="P23" s="49">
        <f>CEILING(100/('Damage @Range(Armor)'!O23))</f>
        <v>9</v>
      </c>
      <c r="Q23" s="49">
        <f>CEILING(100/('Damage @Range(Armor)'!P23))</f>
        <v>9</v>
      </c>
      <c r="R23" s="49">
        <f>CEILING(100/('Damage @Range(Armor)'!Q23))</f>
        <v>9</v>
      </c>
      <c r="S23" s="49">
        <f>CEILING(100/('Damage @Range(Armor)'!R23))</f>
        <v>10</v>
      </c>
      <c r="T23" s="49">
        <f>CEILING(100/('Damage @Range(Armor)'!S23))</f>
        <v>10</v>
      </c>
      <c r="U23" s="49">
        <f>CEILING(100/('Damage @Range(Armor)'!T23))</f>
        <v>10</v>
      </c>
      <c r="V23" s="168"/>
      <c r="W23" s="49">
        <f>CEILING(100/('Damage @Range(Armor)'!V23))</f>
        <v>12</v>
      </c>
      <c r="X23" s="49">
        <f>CEILING(100/('Damage @Range(Armor)'!W23))</f>
        <v>14</v>
      </c>
      <c r="Y23" s="49">
        <f>CEILING(100/('Damage @Range(Armor)'!X23))</f>
        <v>16</v>
      </c>
      <c r="Z23" s="130"/>
      <c r="AA23" s="34">
        <f>SUM((G23-1)*'Raw Values'!E23)</f>
        <v>0.48</v>
      </c>
      <c r="AB23" s="34">
        <f>SUM((I23-1)*'Raw Values'!E23)</f>
        <v>0.48</v>
      </c>
      <c r="AC23" s="34">
        <f>SUM((L23-1)*'Raw Values'!E23)</f>
        <v>0.56</v>
      </c>
      <c r="AD23" s="34">
        <f>SUM((R23-1)*'Raw Values'!E23)</f>
        <v>0.64</v>
      </c>
    </row>
    <row r="24" ht="15.75" customHeight="1">
      <c r="A24" s="61" t="s">
        <v>156</v>
      </c>
      <c r="B24" s="30">
        <f>'Raw Values'!B24</f>
        <v>1.2</v>
      </c>
      <c r="C24" s="40">
        <f>'Raw Values'!C24</f>
        <v>26</v>
      </c>
      <c r="D24" s="34">
        <f>'Raw Values'!D24</f>
        <v>0.87</v>
      </c>
      <c r="E24" s="34">
        <f>'Raw Values'!E24</f>
        <v>0.07</v>
      </c>
      <c r="F24" s="130"/>
      <c r="G24" s="49">
        <f>CEILING(100/('Damage @Range(Armor)'!F24))</f>
        <v>7</v>
      </c>
      <c r="H24" s="49">
        <f>CEILING(100/('Damage @Range(Armor)'!G24))</f>
        <v>7</v>
      </c>
      <c r="I24" s="49">
        <f>CEILING(100/('Damage @Range(Armor)'!H24))</f>
        <v>7</v>
      </c>
      <c r="J24" s="49">
        <f>CEILING(100/('Damage @Range(Armor)'!I24))</f>
        <v>8</v>
      </c>
      <c r="K24" s="49">
        <f>CEILING(100/('Damage @Range(Armor)'!J24))</f>
        <v>8</v>
      </c>
      <c r="L24" s="49">
        <f>CEILING(100/('Damage @Range(Armor)'!K24))</f>
        <v>8</v>
      </c>
      <c r="M24" s="49">
        <f>CEILING(100/('Damage @Range(Armor)'!L24))</f>
        <v>8</v>
      </c>
      <c r="N24" s="49">
        <f>CEILING(100/('Damage @Range(Armor)'!M24))</f>
        <v>9</v>
      </c>
      <c r="O24" s="49">
        <f>CEILING(100/('Damage @Range(Armor)'!N24))</f>
        <v>9</v>
      </c>
      <c r="P24" s="49">
        <f>CEILING(100/('Damage @Range(Armor)'!O24))</f>
        <v>9</v>
      </c>
      <c r="Q24" s="49">
        <f>CEILING(100/('Damage @Range(Armor)'!P24))</f>
        <v>9</v>
      </c>
      <c r="R24" s="49">
        <f>CEILING(100/('Damage @Range(Armor)'!Q24))</f>
        <v>9</v>
      </c>
      <c r="S24" s="49">
        <f>CEILING(100/('Damage @Range(Armor)'!R24))</f>
        <v>10</v>
      </c>
      <c r="T24" s="49">
        <f>CEILING(100/('Damage @Range(Armor)'!S24))</f>
        <v>10</v>
      </c>
      <c r="U24" s="49">
        <f>CEILING(100/('Damage @Range(Armor)'!T24))</f>
        <v>10</v>
      </c>
      <c r="V24" s="168"/>
      <c r="W24" s="49">
        <f>CEILING(100/('Damage @Range(Armor)'!V24))</f>
        <v>12</v>
      </c>
      <c r="X24" s="49">
        <f>CEILING(100/('Damage @Range(Armor)'!W24))</f>
        <v>13</v>
      </c>
      <c r="Y24" s="49">
        <f>CEILING(100/('Damage @Range(Armor)'!X24))</f>
        <v>15</v>
      </c>
      <c r="Z24" s="130"/>
      <c r="AA24" s="34">
        <f>SUM((G24-1)*'Raw Values'!E24)</f>
        <v>0.42</v>
      </c>
      <c r="AB24" s="34">
        <f>SUM((I24-1)*'Raw Values'!E24)</f>
        <v>0.42</v>
      </c>
      <c r="AC24" s="34">
        <f>SUM((L24-1)*'Raw Values'!E24)</f>
        <v>0.49</v>
      </c>
      <c r="AD24" s="34">
        <f>SUM((R24-1)*'Raw Values'!E24)</f>
        <v>0.56</v>
      </c>
    </row>
    <row r="25" ht="15.75" customHeight="1">
      <c r="A25" s="28" t="s">
        <v>158</v>
      </c>
      <c r="B25" s="30">
        <f>'Raw Values'!B25</f>
        <v>1.38</v>
      </c>
      <c r="C25" s="40">
        <f>'Raw Values'!C25</f>
        <v>26</v>
      </c>
      <c r="D25" s="34">
        <f>'Raw Values'!D25</f>
        <v>0.86</v>
      </c>
      <c r="E25" s="34">
        <f>'Raw Values'!E25</f>
        <v>0.07</v>
      </c>
      <c r="F25" s="130"/>
      <c r="G25" s="49">
        <f>CEILING(100/('Damage @Range(Armor)'!F25))</f>
        <v>6</v>
      </c>
      <c r="H25" s="49">
        <f>CEILING(100/('Damage @Range(Armor)'!G25))</f>
        <v>6</v>
      </c>
      <c r="I25" s="49">
        <f>CEILING(100/('Damage @Range(Armor)'!H25))</f>
        <v>7</v>
      </c>
      <c r="J25" s="49">
        <f>CEILING(100/('Damage @Range(Armor)'!I25))</f>
        <v>7</v>
      </c>
      <c r="K25" s="49">
        <f>CEILING(100/('Damage @Range(Armor)'!J25))</f>
        <v>7</v>
      </c>
      <c r="L25" s="49">
        <f>CEILING(100/('Damage @Range(Armor)'!K25))</f>
        <v>7</v>
      </c>
      <c r="M25" s="49">
        <f>CEILING(100/('Damage @Range(Armor)'!L25))</f>
        <v>7</v>
      </c>
      <c r="N25" s="49">
        <f>CEILING(100/('Damage @Range(Armor)'!M25))</f>
        <v>8</v>
      </c>
      <c r="O25" s="49">
        <f>CEILING(100/('Damage @Range(Armor)'!N25))</f>
        <v>8</v>
      </c>
      <c r="P25" s="49">
        <f>CEILING(100/('Damage @Range(Armor)'!O25))</f>
        <v>8</v>
      </c>
      <c r="Q25" s="49">
        <f>CEILING(100/('Damage @Range(Armor)'!P25))</f>
        <v>8</v>
      </c>
      <c r="R25" s="49">
        <f>CEILING(100/('Damage @Range(Armor)'!Q25))</f>
        <v>9</v>
      </c>
      <c r="S25" s="49">
        <f>CEILING(100/('Damage @Range(Armor)'!R25))</f>
        <v>9</v>
      </c>
      <c r="T25" s="49">
        <f>CEILING(100/('Damage @Range(Armor)'!S25))</f>
        <v>9</v>
      </c>
      <c r="U25" s="49">
        <f>CEILING(100/('Damage @Range(Armor)'!T25))</f>
        <v>9</v>
      </c>
      <c r="V25" s="168"/>
      <c r="W25" s="49">
        <f>CEILING(100/('Damage @Range(Armor)'!V25))</f>
        <v>11</v>
      </c>
      <c r="X25" s="49">
        <f>CEILING(100/('Damage @Range(Armor)'!W25))</f>
        <v>12</v>
      </c>
      <c r="Y25" s="49">
        <f>CEILING(100/('Damage @Range(Armor)'!X25))</f>
        <v>14</v>
      </c>
      <c r="Z25" s="130"/>
      <c r="AA25" s="34">
        <f>SUM((G25-1)*'Raw Values'!E25)</f>
        <v>0.35</v>
      </c>
      <c r="AB25" s="34">
        <f>SUM((I25-1)*'Raw Values'!E25)</f>
        <v>0.42</v>
      </c>
      <c r="AC25" s="34">
        <f>SUM((L25-1)*'Raw Values'!E25)</f>
        <v>0.42</v>
      </c>
      <c r="AD25" s="34">
        <f>SUM((R25-1)*'Raw Values'!E25)</f>
        <v>0.56</v>
      </c>
    </row>
    <row r="26" ht="15.75" customHeight="1">
      <c r="A26" s="28" t="s">
        <v>160</v>
      </c>
      <c r="B26" s="30">
        <f>'Raw Values'!B26</f>
        <v>1.3</v>
      </c>
      <c r="C26" s="40">
        <f>'Raw Values'!C26</f>
        <v>35</v>
      </c>
      <c r="D26" s="34">
        <f>'Raw Values'!D26</f>
        <v>0.75</v>
      </c>
      <c r="E26" s="34">
        <f>'Raw Values'!E26</f>
        <v>0.09</v>
      </c>
      <c r="F26" s="130"/>
      <c r="G26" s="49">
        <f>CEILING(100/('Damage @Range(Armor)'!F26))</f>
        <v>5</v>
      </c>
      <c r="H26" s="49">
        <f>CEILING(100/('Damage @Range(Armor)'!G26))</f>
        <v>5</v>
      </c>
      <c r="I26" s="49">
        <f>CEILING(100/('Damage @Range(Armor)'!H26))</f>
        <v>6</v>
      </c>
      <c r="J26" s="49">
        <f>CEILING(100/('Damage @Range(Armor)'!I26))</f>
        <v>6</v>
      </c>
      <c r="K26" s="49">
        <f>CEILING(100/('Damage @Range(Armor)'!J26))</f>
        <v>6</v>
      </c>
      <c r="L26" s="49">
        <f>CEILING(100/('Damage @Range(Armor)'!K26))</f>
        <v>7</v>
      </c>
      <c r="M26" s="49">
        <f>CEILING(100/('Damage @Range(Armor)'!L26))</f>
        <v>7</v>
      </c>
      <c r="N26" s="49">
        <f>CEILING(100/('Damage @Range(Armor)'!M26))</f>
        <v>7</v>
      </c>
      <c r="O26" s="49">
        <f>CEILING(100/('Damage @Range(Armor)'!N26))</f>
        <v>8</v>
      </c>
      <c r="P26" s="49">
        <f>CEILING(100/('Damage @Range(Armor)'!O26))</f>
        <v>8</v>
      </c>
      <c r="Q26" s="49">
        <f>CEILING(100/('Damage @Range(Armor)'!P26))</f>
        <v>9</v>
      </c>
      <c r="R26" s="49">
        <f>CEILING(100/('Damage @Range(Armor)'!Q26))</f>
        <v>9</v>
      </c>
      <c r="S26" s="49">
        <f>CEILING(100/('Damage @Range(Armor)'!R26))</f>
        <v>10</v>
      </c>
      <c r="T26" s="49">
        <f>CEILING(100/('Damage @Range(Armor)'!S26))</f>
        <v>10</v>
      </c>
      <c r="U26" s="49">
        <f>CEILING(100/('Damage @Range(Armor)'!T26))</f>
        <v>11</v>
      </c>
      <c r="V26" s="168"/>
      <c r="W26" s="49">
        <f>CEILING(100/('Damage @Range(Armor)'!V26))</f>
        <v>14</v>
      </c>
      <c r="X26" s="49">
        <f>CEILING(100/('Damage @Range(Armor)'!W26))</f>
        <v>19</v>
      </c>
      <c r="Y26" s="49">
        <f>CEILING(100/('Damage @Range(Armor)'!X26))</f>
        <v>25</v>
      </c>
      <c r="Z26" s="130"/>
      <c r="AA26" s="34">
        <f>SUM((G26-1)*'Raw Values'!E26)</f>
        <v>0.36</v>
      </c>
      <c r="AB26" s="34">
        <f>SUM((I26-1)*'Raw Values'!E26)</f>
        <v>0.45</v>
      </c>
      <c r="AC26" s="34">
        <f>SUM((L26-1)*'Raw Values'!E26)</f>
        <v>0.54</v>
      </c>
      <c r="AD26" s="34">
        <f>SUM((R26-1)*'Raw Values'!E26)</f>
        <v>0.72</v>
      </c>
    </row>
    <row r="27" ht="15.75" customHeight="1">
      <c r="A27" s="75"/>
      <c r="B27" s="76"/>
      <c r="C27" s="163"/>
      <c r="D27" s="79"/>
      <c r="E27" s="131"/>
      <c r="F27" s="133"/>
      <c r="G27" s="84"/>
      <c r="H27" s="84"/>
      <c r="I27" s="84"/>
      <c r="J27" s="84"/>
      <c r="K27" s="84"/>
      <c r="L27" s="84"/>
      <c r="M27" s="84"/>
      <c r="N27" s="84"/>
      <c r="O27" s="84"/>
      <c r="P27" s="84"/>
      <c r="Q27" s="84"/>
      <c r="R27" s="84"/>
      <c r="S27" s="84"/>
      <c r="T27" s="84"/>
      <c r="U27" s="84"/>
      <c r="V27" s="169"/>
      <c r="W27" s="84"/>
      <c r="X27" s="84"/>
      <c r="Y27" s="84"/>
      <c r="Z27" s="133"/>
      <c r="AA27" s="79"/>
      <c r="AB27" s="79"/>
      <c r="AC27" s="79"/>
      <c r="AD27" s="79"/>
    </row>
    <row r="28" ht="15.75" customHeight="1">
      <c r="A28" s="5" t="s">
        <v>161</v>
      </c>
      <c r="B28" s="8" t="s">
        <v>246</v>
      </c>
      <c r="C28" s="161" t="s">
        <v>15</v>
      </c>
      <c r="D28" s="9" t="s">
        <v>18</v>
      </c>
      <c r="E28" s="11" t="s">
        <v>19</v>
      </c>
      <c r="F28" s="158"/>
      <c r="G28" s="24" t="s">
        <v>248</v>
      </c>
      <c r="H28" s="24" t="s">
        <v>249</v>
      </c>
      <c r="I28" s="24" t="s">
        <v>250</v>
      </c>
      <c r="J28" s="24" t="s">
        <v>251</v>
      </c>
      <c r="K28" s="24" t="s">
        <v>252</v>
      </c>
      <c r="L28" s="24" t="s">
        <v>253</v>
      </c>
      <c r="M28" s="24" t="s">
        <v>254</v>
      </c>
      <c r="N28" s="24" t="s">
        <v>255</v>
      </c>
      <c r="O28" s="24" t="s">
        <v>256</v>
      </c>
      <c r="P28" s="24" t="s">
        <v>257</v>
      </c>
      <c r="Q28" s="24" t="s">
        <v>258</v>
      </c>
      <c r="R28" s="24" t="s">
        <v>259</v>
      </c>
      <c r="S28" s="24" t="s">
        <v>260</v>
      </c>
      <c r="T28" s="24" t="s">
        <v>261</v>
      </c>
      <c r="U28" s="24" t="s">
        <v>262</v>
      </c>
      <c r="V28" s="166"/>
      <c r="W28" s="167" t="s">
        <v>263</v>
      </c>
      <c r="X28" s="167" t="s">
        <v>264</v>
      </c>
      <c r="Y28" s="167" t="s">
        <v>265</v>
      </c>
      <c r="Z28" s="125"/>
      <c r="AA28" s="9" t="s">
        <v>266</v>
      </c>
      <c r="AB28" s="9" t="s">
        <v>267</v>
      </c>
      <c r="AC28" s="9" t="s">
        <v>268</v>
      </c>
      <c r="AD28" s="9" t="s">
        <v>269</v>
      </c>
    </row>
    <row r="29" ht="15.75" customHeight="1">
      <c r="A29" s="66" t="s">
        <v>164</v>
      </c>
      <c r="B29" s="30">
        <f>'Raw Values'!B29</f>
        <v>1.55</v>
      </c>
      <c r="C29" s="40">
        <f>'Raw Values'!C29</f>
        <v>36</v>
      </c>
      <c r="D29" s="34">
        <f>'Raw Values'!D29</f>
        <v>0.98</v>
      </c>
      <c r="E29" s="34">
        <f>'Raw Values'!E29</f>
        <v>0.1</v>
      </c>
      <c r="F29" s="130"/>
      <c r="G29" s="49">
        <f>CEILING(100/('Damage @Range(Armor)'!F29))</f>
        <v>4</v>
      </c>
      <c r="H29" s="49">
        <f>CEILING(100/('Damage @Range(Armor)'!G29))</f>
        <v>4</v>
      </c>
      <c r="I29" s="49">
        <f>CEILING(100/('Damage @Range(Armor)'!H29))</f>
        <v>4</v>
      </c>
      <c r="J29" s="49">
        <f>CEILING(100/('Damage @Range(Armor)'!I29))</f>
        <v>4</v>
      </c>
      <c r="K29" s="49">
        <f>CEILING(100/('Damage @Range(Armor)'!J29))</f>
        <v>4</v>
      </c>
      <c r="L29" s="49">
        <f>CEILING(100/('Damage @Range(Armor)'!K29))</f>
        <v>4</v>
      </c>
      <c r="M29" s="49">
        <f>CEILING(100/('Damage @Range(Armor)'!L29))</f>
        <v>4</v>
      </c>
      <c r="N29" s="49">
        <f>CEILING(100/('Damage @Range(Armor)'!M29))</f>
        <v>4</v>
      </c>
      <c r="O29" s="49">
        <f>CEILING(100/('Damage @Range(Armor)'!N29))</f>
        <v>4</v>
      </c>
      <c r="P29" s="49">
        <f>CEILING(100/('Damage @Range(Armor)'!O29))</f>
        <v>4</v>
      </c>
      <c r="Q29" s="49">
        <f>CEILING(100/('Damage @Range(Armor)'!P29))</f>
        <v>4</v>
      </c>
      <c r="R29" s="49">
        <f>CEILING(100/('Damage @Range(Armor)'!Q29))</f>
        <v>4</v>
      </c>
      <c r="S29" s="49">
        <f>CEILING(100/('Damage @Range(Armor)'!R29))</f>
        <v>4</v>
      </c>
      <c r="T29" s="49">
        <f>CEILING(100/('Damage @Range(Armor)'!S29))</f>
        <v>4</v>
      </c>
      <c r="U29" s="49">
        <f>CEILING(100/('Damage @Range(Armor)'!T29))</f>
        <v>4</v>
      </c>
      <c r="V29" s="168"/>
      <c r="W29" s="49">
        <f>CEILING(100/('Damage @Range(Armor)'!V29))</f>
        <v>4</v>
      </c>
      <c r="X29" s="49">
        <f>CEILING(100/('Damage @Range(Armor)'!W29))</f>
        <v>4</v>
      </c>
      <c r="Y29" s="49">
        <f>CEILING(100/('Damage @Range(Armor)'!X29))</f>
        <v>5</v>
      </c>
      <c r="Z29" s="130"/>
      <c r="AA29" s="34">
        <f>SUM((G29-1)*'Raw Values'!E29)</f>
        <v>0.3</v>
      </c>
      <c r="AB29" s="34">
        <f>SUM((I29-1)*'Raw Values'!E29)</f>
        <v>0.3</v>
      </c>
      <c r="AC29" s="34">
        <f>SUM((L29-1)*'Raw Values'!E29)</f>
        <v>0.3</v>
      </c>
      <c r="AD29" s="34">
        <f>SUM((R29-1)*'Raw Values'!E29)</f>
        <v>0.3</v>
      </c>
    </row>
    <row r="30" ht="15.75" customHeight="1">
      <c r="A30" s="61" t="s">
        <v>166</v>
      </c>
      <c r="B30" s="30">
        <f>'Raw Values'!B30</f>
        <v>1.8</v>
      </c>
      <c r="C30" s="40">
        <f>'Raw Values'!C30</f>
        <v>28</v>
      </c>
      <c r="D30" s="34">
        <f>'Raw Values'!D30</f>
        <v>0.98</v>
      </c>
      <c r="E30" s="34">
        <f>'Raw Values'!E30</f>
        <v>0.1</v>
      </c>
      <c r="F30" s="130"/>
      <c r="G30" s="49">
        <f>CEILING(100/('Damage @Range(Armor)'!F30))</f>
        <v>4</v>
      </c>
      <c r="H30" s="49">
        <f>CEILING(100/('Damage @Range(Armor)'!G30))</f>
        <v>5</v>
      </c>
      <c r="I30" s="49">
        <f>CEILING(100/('Damage @Range(Armor)'!H30))</f>
        <v>5</v>
      </c>
      <c r="J30" s="49">
        <f>CEILING(100/('Damage @Range(Armor)'!I30))</f>
        <v>5</v>
      </c>
      <c r="K30" s="49">
        <f>CEILING(100/('Damage @Range(Armor)'!J30))</f>
        <v>5</v>
      </c>
      <c r="L30" s="49">
        <f>CEILING(100/('Damage @Range(Armor)'!K30))</f>
        <v>5</v>
      </c>
      <c r="M30" s="49">
        <f>CEILING(100/('Damage @Range(Armor)'!L30))</f>
        <v>5</v>
      </c>
      <c r="N30" s="49">
        <f>CEILING(100/('Damage @Range(Armor)'!M30))</f>
        <v>5</v>
      </c>
      <c r="O30" s="49">
        <f>CEILING(100/('Damage @Range(Armor)'!N30))</f>
        <v>5</v>
      </c>
      <c r="P30" s="49">
        <f>CEILING(100/('Damage @Range(Armor)'!O30))</f>
        <v>5</v>
      </c>
      <c r="Q30" s="49">
        <f>CEILING(100/('Damage @Range(Armor)'!P30))</f>
        <v>5</v>
      </c>
      <c r="R30" s="49">
        <f>CEILING(100/('Damage @Range(Armor)'!Q30))</f>
        <v>5</v>
      </c>
      <c r="S30" s="49">
        <f>CEILING(100/('Damage @Range(Armor)'!R30))</f>
        <v>5</v>
      </c>
      <c r="T30" s="49">
        <f>CEILING(100/('Damage @Range(Armor)'!S30))</f>
        <v>5</v>
      </c>
      <c r="U30" s="49">
        <f>CEILING(100/('Damage @Range(Armor)'!T30))</f>
        <v>5</v>
      </c>
      <c r="V30" s="168"/>
      <c r="W30" s="49">
        <f>CEILING(100/('Damage @Range(Armor)'!V30))</f>
        <v>5</v>
      </c>
      <c r="X30" s="49">
        <f>CEILING(100/('Damage @Range(Armor)'!W30))</f>
        <v>5</v>
      </c>
      <c r="Y30" s="49">
        <f>CEILING(100/('Damage @Range(Armor)'!X30))</f>
        <v>5</v>
      </c>
      <c r="Z30" s="130"/>
      <c r="AA30" s="34">
        <f>SUM((G30-1)*'Raw Values'!E30)</f>
        <v>0.3</v>
      </c>
      <c r="AB30" s="34">
        <f>SUM((I30-1)*'Raw Values'!E30)</f>
        <v>0.4</v>
      </c>
      <c r="AC30" s="34">
        <f>SUM((L30-1)*'Raw Values'!E30)</f>
        <v>0.4</v>
      </c>
      <c r="AD30" s="34">
        <f>SUM((R30-1)*'Raw Values'!E30)</f>
        <v>0.4</v>
      </c>
    </row>
    <row r="31" ht="15.75" customHeight="1">
      <c r="A31" s="61" t="s">
        <v>168</v>
      </c>
      <c r="B31" s="30">
        <f>'Raw Values'!B31</f>
        <v>1.4</v>
      </c>
      <c r="C31" s="40">
        <f>'Raw Values'!C31</f>
        <v>30</v>
      </c>
      <c r="D31" s="34">
        <f>'Raw Values'!D31</f>
        <v>0.96</v>
      </c>
      <c r="E31" s="34">
        <f>'Raw Values'!E31</f>
        <v>0.09</v>
      </c>
      <c r="F31" s="130"/>
      <c r="G31" s="49">
        <f>CEILING(100/('Damage @Range(Armor)'!F31))</f>
        <v>5</v>
      </c>
      <c r="H31" s="49">
        <f>CEILING(100/('Damage @Range(Armor)'!G31))</f>
        <v>5</v>
      </c>
      <c r="I31" s="49">
        <f>CEILING(100/('Damage @Range(Armor)'!H31))</f>
        <v>5</v>
      </c>
      <c r="J31" s="49">
        <f>CEILING(100/('Damage @Range(Armor)'!I31))</f>
        <v>5</v>
      </c>
      <c r="K31" s="49">
        <f>CEILING(100/('Damage @Range(Armor)'!J31))</f>
        <v>5</v>
      </c>
      <c r="L31" s="49">
        <f>CEILING(100/('Damage @Range(Armor)'!K31))</f>
        <v>6</v>
      </c>
      <c r="M31" s="49">
        <f>CEILING(100/('Damage @Range(Armor)'!L31))</f>
        <v>6</v>
      </c>
      <c r="N31" s="49">
        <f>CEILING(100/('Damage @Range(Armor)'!M31))</f>
        <v>6</v>
      </c>
      <c r="O31" s="49">
        <f>CEILING(100/('Damage @Range(Armor)'!N31))</f>
        <v>6</v>
      </c>
      <c r="P31" s="49">
        <f>CEILING(100/('Damage @Range(Armor)'!O31))</f>
        <v>6</v>
      </c>
      <c r="Q31" s="49">
        <f>CEILING(100/('Damage @Range(Armor)'!P31))</f>
        <v>6</v>
      </c>
      <c r="R31" s="49">
        <f>CEILING(100/('Damage @Range(Armor)'!Q31))</f>
        <v>6</v>
      </c>
      <c r="S31" s="49">
        <f>CEILING(100/('Damage @Range(Armor)'!R31))</f>
        <v>6</v>
      </c>
      <c r="T31" s="49">
        <f>CEILING(100/('Damage @Range(Armor)'!S31))</f>
        <v>6</v>
      </c>
      <c r="U31" s="49">
        <f>CEILING(100/('Damage @Range(Armor)'!T31))</f>
        <v>6</v>
      </c>
      <c r="V31" s="168"/>
      <c r="W31" s="49">
        <f>CEILING(100/('Damage @Range(Armor)'!V31))</f>
        <v>6</v>
      </c>
      <c r="X31" s="49">
        <f>CEILING(100/('Damage @Range(Armor)'!W31))</f>
        <v>6</v>
      </c>
      <c r="Y31" s="49">
        <f>CEILING(100/('Damage @Range(Armor)'!X31))</f>
        <v>7</v>
      </c>
      <c r="Z31" s="130"/>
      <c r="AA31" s="34">
        <f>SUM((G31-1)*'Raw Values'!E31)</f>
        <v>0.36</v>
      </c>
      <c r="AB31" s="34">
        <f>SUM((I31-1)*'Raw Values'!E31)</f>
        <v>0.36</v>
      </c>
      <c r="AC31" s="34">
        <f>SUM((L31-1)*'Raw Values'!E31)</f>
        <v>0.45</v>
      </c>
      <c r="AD31" s="34">
        <f>SUM((R31-1)*'Raw Values'!E31)</f>
        <v>0.45</v>
      </c>
    </row>
    <row r="32" ht="15.75" customHeight="1">
      <c r="A32" s="66" t="s">
        <v>170</v>
      </c>
      <c r="B32" s="30">
        <f>'Raw Values'!B32</f>
        <v>1.55</v>
      </c>
      <c r="C32" s="40">
        <f>'Raw Values'!C32</f>
        <v>30</v>
      </c>
      <c r="D32" s="34">
        <f>'Raw Values'!D32</f>
        <v>0.98</v>
      </c>
      <c r="E32" s="34">
        <f>'Raw Values'!E32</f>
        <v>0.09</v>
      </c>
      <c r="F32" s="130"/>
      <c r="G32" s="49">
        <f>CEILING(100/('Damage @Range(Armor)'!F32))</f>
        <v>5</v>
      </c>
      <c r="H32" s="49">
        <f>CEILING(100/('Damage @Range(Armor)'!G32))</f>
        <v>5</v>
      </c>
      <c r="I32" s="49">
        <f>CEILING(100/('Damage @Range(Armor)'!H32))</f>
        <v>5</v>
      </c>
      <c r="J32" s="49">
        <f>CEILING(100/('Damage @Range(Armor)'!I32))</f>
        <v>5</v>
      </c>
      <c r="K32" s="49">
        <f>CEILING(100/('Damage @Range(Armor)'!J32))</f>
        <v>5</v>
      </c>
      <c r="L32" s="49">
        <f>CEILING(100/('Damage @Range(Armor)'!K32))</f>
        <v>5</v>
      </c>
      <c r="M32" s="49">
        <f>CEILING(100/('Damage @Range(Armor)'!L32))</f>
        <v>5</v>
      </c>
      <c r="N32" s="49">
        <f>CEILING(100/('Damage @Range(Armor)'!M32))</f>
        <v>5</v>
      </c>
      <c r="O32" s="49">
        <f>CEILING(100/('Damage @Range(Armor)'!N32))</f>
        <v>5</v>
      </c>
      <c r="P32" s="49">
        <f>CEILING(100/('Damage @Range(Armor)'!O32))</f>
        <v>5</v>
      </c>
      <c r="Q32" s="49">
        <f>CEILING(100/('Damage @Range(Armor)'!P32))</f>
        <v>5</v>
      </c>
      <c r="R32" s="49">
        <f>CEILING(100/('Damage @Range(Armor)'!Q32))</f>
        <v>5</v>
      </c>
      <c r="S32" s="49">
        <f>CEILING(100/('Damage @Range(Armor)'!R32))</f>
        <v>5</v>
      </c>
      <c r="T32" s="49">
        <f>CEILING(100/('Damage @Range(Armor)'!S32))</f>
        <v>5</v>
      </c>
      <c r="U32" s="49">
        <f>CEILING(100/('Damage @Range(Armor)'!T32))</f>
        <v>5</v>
      </c>
      <c r="V32" s="168"/>
      <c r="W32" s="49">
        <f>CEILING(100/('Damage @Range(Armor)'!V32))</f>
        <v>5</v>
      </c>
      <c r="X32" s="49">
        <f>CEILING(100/('Damage @Range(Armor)'!W32))</f>
        <v>5</v>
      </c>
      <c r="Y32" s="49">
        <f>CEILING(100/('Damage @Range(Armor)'!X32))</f>
        <v>5</v>
      </c>
      <c r="Z32" s="130"/>
      <c r="AA32" s="34">
        <f>SUM((G32-1)*'Raw Values'!E32)</f>
        <v>0.36</v>
      </c>
      <c r="AB32" s="34">
        <f>SUM((I32-1)*'Raw Values'!E32)</f>
        <v>0.36</v>
      </c>
      <c r="AC32" s="34">
        <f>SUM((L32-1)*'Raw Values'!E32)</f>
        <v>0.36</v>
      </c>
      <c r="AD32" s="34">
        <f>SUM((R32-1)*'Raw Values'!E32)</f>
        <v>0.36</v>
      </c>
    </row>
    <row r="33" ht="15.75" customHeight="1">
      <c r="A33" s="61" t="s">
        <v>171</v>
      </c>
      <c r="B33" s="30">
        <f>'Raw Values'!B33</f>
        <v>1.4</v>
      </c>
      <c r="C33" s="40">
        <f>'Raw Values'!C33</f>
        <v>33</v>
      </c>
      <c r="D33" s="34">
        <f>'Raw Values'!D33</f>
        <v>0.97</v>
      </c>
      <c r="E33" s="34">
        <f>'Raw Values'!E33</f>
        <v>0.09</v>
      </c>
      <c r="F33" s="130"/>
      <c r="G33" s="49">
        <f>CEILING(100/('Damage @Range(Armor)'!F33))</f>
        <v>5</v>
      </c>
      <c r="H33" s="49">
        <f>CEILING(100/('Damage @Range(Armor)'!G33))</f>
        <v>5</v>
      </c>
      <c r="I33" s="49">
        <f>CEILING(100/('Damage @Range(Armor)'!H33))</f>
        <v>5</v>
      </c>
      <c r="J33" s="49">
        <f>CEILING(100/('Damage @Range(Armor)'!I33))</f>
        <v>5</v>
      </c>
      <c r="K33" s="49">
        <f>CEILING(100/('Damage @Range(Armor)'!J33))</f>
        <v>5</v>
      </c>
      <c r="L33" s="49">
        <f>CEILING(100/('Damage @Range(Armor)'!K33))</f>
        <v>5</v>
      </c>
      <c r="M33" s="49">
        <f>CEILING(100/('Damage @Range(Armor)'!L33))</f>
        <v>5</v>
      </c>
      <c r="N33" s="49">
        <f>CEILING(100/('Damage @Range(Armor)'!M33))</f>
        <v>5</v>
      </c>
      <c r="O33" s="49">
        <f>CEILING(100/('Damage @Range(Armor)'!N33))</f>
        <v>5</v>
      </c>
      <c r="P33" s="49">
        <f>CEILING(100/('Damage @Range(Armor)'!O33))</f>
        <v>5</v>
      </c>
      <c r="Q33" s="49">
        <f>CEILING(100/('Damage @Range(Armor)'!P33))</f>
        <v>5</v>
      </c>
      <c r="R33" s="49">
        <f>CEILING(100/('Damage @Range(Armor)'!Q33))</f>
        <v>5</v>
      </c>
      <c r="S33" s="49">
        <f>CEILING(100/('Damage @Range(Armor)'!R33))</f>
        <v>5</v>
      </c>
      <c r="T33" s="49">
        <f>CEILING(100/('Damage @Range(Armor)'!S33))</f>
        <v>5</v>
      </c>
      <c r="U33" s="49">
        <f>CEILING(100/('Damage @Range(Armor)'!T33))</f>
        <v>5</v>
      </c>
      <c r="V33" s="168"/>
      <c r="W33" s="49">
        <f>CEILING(100/('Damage @Range(Armor)'!V33))</f>
        <v>5</v>
      </c>
      <c r="X33" s="49">
        <f>CEILING(100/('Damage @Range(Armor)'!W33))</f>
        <v>6</v>
      </c>
      <c r="Y33" s="49">
        <f>CEILING(100/('Damage @Range(Armor)'!X33))</f>
        <v>6</v>
      </c>
      <c r="Z33" s="130"/>
      <c r="AA33" s="34">
        <f>SUM((G33-1)*'Raw Values'!E33)</f>
        <v>0.36</v>
      </c>
      <c r="AB33" s="34">
        <f>SUM((I33-1)*'Raw Values'!E33)</f>
        <v>0.36</v>
      </c>
      <c r="AC33" s="34">
        <f>SUM((L33-1)*'Raw Values'!E33)</f>
        <v>0.36</v>
      </c>
      <c r="AD33" s="34">
        <f>SUM((R33-1)*'Raw Values'!E33)</f>
        <v>0.36</v>
      </c>
    </row>
    <row r="34" ht="15.75" customHeight="1">
      <c r="A34" s="61" t="s">
        <v>173</v>
      </c>
      <c r="B34" s="30">
        <f>'Raw Values'!B34</f>
        <v>1.4</v>
      </c>
      <c r="C34" s="40">
        <f>'Raw Values'!C34</f>
        <v>33</v>
      </c>
      <c r="D34" s="34">
        <f>'Raw Values'!D34</f>
        <v>0.99</v>
      </c>
      <c r="E34" s="34">
        <f>'Raw Values'!E34</f>
        <v>0.1</v>
      </c>
      <c r="F34" s="130"/>
      <c r="G34" s="49">
        <f>CEILING(100/('Damage @Range(Armor)'!F34))</f>
        <v>5</v>
      </c>
      <c r="H34" s="49">
        <f>CEILING(100/('Damage @Range(Armor)'!G34))</f>
        <v>5</v>
      </c>
      <c r="I34" s="49">
        <f>CEILING(100/('Damage @Range(Armor)'!H34))</f>
        <v>5</v>
      </c>
      <c r="J34" s="49">
        <f>CEILING(100/('Damage @Range(Armor)'!I34))</f>
        <v>5</v>
      </c>
      <c r="K34" s="49">
        <f>CEILING(100/('Damage @Range(Armor)'!J34))</f>
        <v>5</v>
      </c>
      <c r="L34" s="49">
        <f>CEILING(100/('Damage @Range(Armor)'!K34))</f>
        <v>5</v>
      </c>
      <c r="M34" s="49">
        <f>CEILING(100/('Damage @Range(Armor)'!L34))</f>
        <v>5</v>
      </c>
      <c r="N34" s="49">
        <f>CEILING(100/('Damage @Range(Armor)'!M34))</f>
        <v>5</v>
      </c>
      <c r="O34" s="49">
        <f>CEILING(100/('Damage @Range(Armor)'!N34))</f>
        <v>5</v>
      </c>
      <c r="P34" s="49">
        <f>CEILING(100/('Damage @Range(Armor)'!O34))</f>
        <v>5</v>
      </c>
      <c r="Q34" s="49">
        <f>CEILING(100/('Damage @Range(Armor)'!P34))</f>
        <v>5</v>
      </c>
      <c r="R34" s="49">
        <f>CEILING(100/('Damage @Range(Armor)'!Q34))</f>
        <v>5</v>
      </c>
      <c r="S34" s="49">
        <f>CEILING(100/('Damage @Range(Armor)'!R34))</f>
        <v>5</v>
      </c>
      <c r="T34" s="49">
        <f>CEILING(100/('Damage @Range(Armor)'!S34))</f>
        <v>5</v>
      </c>
      <c r="U34" s="49">
        <f>CEILING(100/('Damage @Range(Armor)'!T34))</f>
        <v>5</v>
      </c>
      <c r="V34" s="168"/>
      <c r="W34" s="49">
        <f>CEILING(100/('Damage @Range(Armor)'!V34))</f>
        <v>5</v>
      </c>
      <c r="X34" s="49">
        <f>CEILING(100/('Damage @Range(Armor)'!W34))</f>
        <v>5</v>
      </c>
      <c r="Y34" s="49">
        <f>CEILING(100/('Damage @Range(Armor)'!X34))</f>
        <v>5</v>
      </c>
      <c r="Z34" s="130"/>
      <c r="AA34" s="34">
        <f>SUM((G34-1)*'Raw Values'!E34)</f>
        <v>0.4</v>
      </c>
      <c r="AB34" s="34">
        <f>SUM((I34-1)*'Raw Values'!E34)</f>
        <v>0.4</v>
      </c>
      <c r="AC34" s="34">
        <f>SUM((L34-1)*'Raw Values'!E34)</f>
        <v>0.4</v>
      </c>
      <c r="AD34" s="34">
        <f>SUM((R34-1)*'Raw Values'!E34)</f>
        <v>0.4</v>
      </c>
    </row>
    <row r="35" ht="15.75" customHeight="1">
      <c r="A35" s="66" t="s">
        <v>175</v>
      </c>
      <c r="B35" s="30">
        <f>'Raw Values'!B35</f>
        <v>2</v>
      </c>
      <c r="C35" s="40">
        <f>'Raw Values'!C35</f>
        <v>30</v>
      </c>
      <c r="D35" s="34">
        <f>'Raw Values'!D35</f>
        <v>0.98</v>
      </c>
      <c r="E35" s="34">
        <f>'Raw Values'!E35</f>
        <v>0.09</v>
      </c>
      <c r="F35" s="130"/>
      <c r="G35" s="49">
        <f>CEILING(100/('Damage @Range(Armor)'!F35))</f>
        <v>4</v>
      </c>
      <c r="H35" s="49">
        <f>CEILING(100/('Damage @Range(Armor)'!G35))</f>
        <v>4</v>
      </c>
      <c r="I35" s="49">
        <f>CEILING(100/('Damage @Range(Armor)'!H35))</f>
        <v>4</v>
      </c>
      <c r="J35" s="49">
        <f>CEILING(100/('Damage @Range(Armor)'!I35))</f>
        <v>4</v>
      </c>
      <c r="K35" s="49">
        <f>CEILING(100/('Damage @Range(Armor)'!J35))</f>
        <v>4</v>
      </c>
      <c r="L35" s="49">
        <f>CEILING(100/('Damage @Range(Armor)'!K35))</f>
        <v>4</v>
      </c>
      <c r="M35" s="49">
        <f>CEILING(100/('Damage @Range(Armor)'!L35))</f>
        <v>4</v>
      </c>
      <c r="N35" s="49">
        <f>CEILING(100/('Damage @Range(Armor)'!M35))</f>
        <v>4</v>
      </c>
      <c r="O35" s="49">
        <f>CEILING(100/('Damage @Range(Armor)'!N35))</f>
        <v>4</v>
      </c>
      <c r="P35" s="49">
        <f>CEILING(100/('Damage @Range(Armor)'!O35))</f>
        <v>4</v>
      </c>
      <c r="Q35" s="49">
        <f>CEILING(100/('Damage @Range(Armor)'!P35))</f>
        <v>4</v>
      </c>
      <c r="R35" s="49">
        <f>CEILING(100/('Damage @Range(Armor)'!Q35))</f>
        <v>4</v>
      </c>
      <c r="S35" s="49">
        <f>CEILING(100/('Damage @Range(Armor)'!R35))</f>
        <v>4</v>
      </c>
      <c r="T35" s="49">
        <f>CEILING(100/('Damage @Range(Armor)'!S35))</f>
        <v>4</v>
      </c>
      <c r="U35" s="49">
        <f>CEILING(100/('Damage @Range(Armor)'!T35))</f>
        <v>4</v>
      </c>
      <c r="V35" s="168"/>
      <c r="W35" s="49">
        <f>CEILING(100/('Damage @Range(Armor)'!V35))</f>
        <v>4</v>
      </c>
      <c r="X35" s="49">
        <f>CEILING(100/('Damage @Range(Armor)'!W35))</f>
        <v>4</v>
      </c>
      <c r="Y35" s="49">
        <f>CEILING(100/('Damage @Range(Armor)'!X35))</f>
        <v>4</v>
      </c>
      <c r="Z35" s="130"/>
      <c r="AA35" s="34">
        <f>SUM((G35-1)*'Raw Values'!E35)</f>
        <v>0.27</v>
      </c>
      <c r="AB35" s="34">
        <f>SUM((I35-1)*'Raw Values'!E35)</f>
        <v>0.27</v>
      </c>
      <c r="AC35" s="34">
        <f>SUM((L35-1)*'Raw Values'!E35)</f>
        <v>0.27</v>
      </c>
      <c r="AD35" s="34">
        <f>SUM((R35-1)*'Raw Values'!E35)</f>
        <v>0.27</v>
      </c>
    </row>
    <row r="36" ht="15.75" customHeight="1">
      <c r="A36" s="75"/>
      <c r="B36" s="76"/>
      <c r="C36" s="163"/>
      <c r="D36" s="79"/>
      <c r="E36" s="131"/>
      <c r="F36" s="133"/>
      <c r="G36" s="84"/>
      <c r="H36" s="84"/>
      <c r="I36" s="84"/>
      <c r="J36" s="84"/>
      <c r="K36" s="84"/>
      <c r="L36" s="84"/>
      <c r="M36" s="84"/>
      <c r="N36" s="84"/>
      <c r="O36" s="84"/>
      <c r="P36" s="84"/>
      <c r="Q36" s="84"/>
      <c r="R36" s="84"/>
      <c r="S36" s="84"/>
      <c r="T36" s="84"/>
      <c r="U36" s="84"/>
      <c r="V36" s="169"/>
      <c r="W36" s="84"/>
      <c r="X36" s="84"/>
      <c r="Y36" s="84"/>
      <c r="Z36" s="133"/>
      <c r="AA36" s="79"/>
      <c r="AB36" s="79"/>
      <c r="AC36" s="79"/>
      <c r="AD36" s="79"/>
    </row>
    <row r="37" ht="15.75" customHeight="1">
      <c r="A37" s="5" t="s">
        <v>177</v>
      </c>
      <c r="B37" s="8" t="s">
        <v>246</v>
      </c>
      <c r="C37" s="161" t="s">
        <v>15</v>
      </c>
      <c r="D37" s="9" t="s">
        <v>18</v>
      </c>
      <c r="E37" s="11" t="s">
        <v>19</v>
      </c>
      <c r="F37" s="158"/>
      <c r="G37" s="24" t="s">
        <v>248</v>
      </c>
      <c r="H37" s="24" t="s">
        <v>249</v>
      </c>
      <c r="I37" s="24" t="s">
        <v>250</v>
      </c>
      <c r="J37" s="24" t="s">
        <v>251</v>
      </c>
      <c r="K37" s="24" t="s">
        <v>252</v>
      </c>
      <c r="L37" s="24" t="s">
        <v>253</v>
      </c>
      <c r="M37" s="24" t="s">
        <v>254</v>
      </c>
      <c r="N37" s="24" t="s">
        <v>255</v>
      </c>
      <c r="O37" s="24" t="s">
        <v>256</v>
      </c>
      <c r="P37" s="24" t="s">
        <v>257</v>
      </c>
      <c r="Q37" s="24" t="s">
        <v>258</v>
      </c>
      <c r="R37" s="24" t="s">
        <v>259</v>
      </c>
      <c r="S37" s="24" t="s">
        <v>260</v>
      </c>
      <c r="T37" s="24" t="s">
        <v>261</v>
      </c>
      <c r="U37" s="24" t="s">
        <v>262</v>
      </c>
      <c r="V37" s="166"/>
      <c r="W37" s="167" t="s">
        <v>263</v>
      </c>
      <c r="X37" s="167" t="s">
        <v>264</v>
      </c>
      <c r="Y37" s="167" t="s">
        <v>265</v>
      </c>
      <c r="Z37" s="125"/>
      <c r="AA37" s="9" t="s">
        <v>266</v>
      </c>
      <c r="AB37" s="9" t="s">
        <v>267</v>
      </c>
      <c r="AC37" s="9" t="s">
        <v>268</v>
      </c>
      <c r="AD37" s="9" t="s">
        <v>269</v>
      </c>
    </row>
    <row r="38" ht="15.75" customHeight="1">
      <c r="A38" s="28" t="s">
        <v>179</v>
      </c>
      <c r="B38" s="30">
        <f>'Raw Values'!B38</f>
        <v>1.6</v>
      </c>
      <c r="C38" s="40">
        <f>'Raw Values'!C38</f>
        <v>32</v>
      </c>
      <c r="D38" s="34">
        <f>'Raw Values'!D38</f>
        <v>0.97</v>
      </c>
      <c r="E38" s="34">
        <f>'Raw Values'!E38</f>
        <v>0.08</v>
      </c>
      <c r="F38" s="130"/>
      <c r="G38" s="49">
        <f>CEILING(100/('Damage @Range(Armor)'!F38))</f>
        <v>4</v>
      </c>
      <c r="H38" s="49">
        <f>CEILING(100/('Damage @Range(Armor)'!G38))</f>
        <v>4</v>
      </c>
      <c r="I38" s="49">
        <f>CEILING(100/('Damage @Range(Armor)'!H38))</f>
        <v>4</v>
      </c>
      <c r="J38" s="49">
        <f>CEILING(100/('Damage @Range(Armor)'!I38))</f>
        <v>5</v>
      </c>
      <c r="K38" s="49">
        <f>CEILING(100/('Damage @Range(Armor)'!J38))</f>
        <v>5</v>
      </c>
      <c r="L38" s="49">
        <f>CEILING(100/('Damage @Range(Armor)'!K38))</f>
        <v>5</v>
      </c>
      <c r="M38" s="49">
        <f>CEILING(100/('Damage @Range(Armor)'!L38))</f>
        <v>5</v>
      </c>
      <c r="N38" s="49">
        <f>CEILING(100/('Damage @Range(Armor)'!M38))</f>
        <v>5</v>
      </c>
      <c r="O38" s="49">
        <f>CEILING(100/('Damage @Range(Armor)'!N38))</f>
        <v>5</v>
      </c>
      <c r="P38" s="49">
        <f>CEILING(100/('Damage @Range(Armor)'!O38))</f>
        <v>5</v>
      </c>
      <c r="Q38" s="49">
        <f>CEILING(100/('Damage @Range(Armor)'!P38))</f>
        <v>5</v>
      </c>
      <c r="R38" s="49">
        <f>CEILING(100/('Damage @Range(Armor)'!Q38))</f>
        <v>5</v>
      </c>
      <c r="S38" s="49">
        <f>CEILING(100/('Damage @Range(Armor)'!R38))</f>
        <v>5</v>
      </c>
      <c r="T38" s="49">
        <f>CEILING(100/('Damage @Range(Armor)'!S38))</f>
        <v>5</v>
      </c>
      <c r="U38" s="49">
        <f>CEILING(100/('Damage @Range(Armor)'!T38))</f>
        <v>5</v>
      </c>
      <c r="V38" s="168"/>
      <c r="W38" s="49">
        <f>CEILING(100/('Damage @Range(Armor)'!V38))</f>
        <v>5</v>
      </c>
      <c r="X38" s="49">
        <f>CEILING(100/('Damage @Range(Armor)'!W38))</f>
        <v>5</v>
      </c>
      <c r="Y38" s="49">
        <f>CEILING(100/('Damage @Range(Armor)'!X38))</f>
        <v>5</v>
      </c>
      <c r="Z38" s="130"/>
      <c r="AA38" s="34">
        <f>SUM((G38-1)*'Raw Values'!E38)</f>
        <v>0.24</v>
      </c>
      <c r="AB38" s="34">
        <f>SUM((I38-1)*'Raw Values'!E38)</f>
        <v>0.24</v>
      </c>
      <c r="AC38" s="34">
        <f>SUM((L38-1)*'Raw Values'!E38)</f>
        <v>0.32</v>
      </c>
      <c r="AD38" s="34">
        <f>SUM((R38-1)*'Raw Values'!E38)</f>
        <v>0.32</v>
      </c>
    </row>
    <row r="39" ht="15.75" customHeight="1">
      <c r="A39" s="28" t="s">
        <v>181</v>
      </c>
      <c r="B39" s="30">
        <f>'Raw Values'!B39</f>
        <v>1.42</v>
      </c>
      <c r="C39" s="40">
        <f>'Raw Values'!C39</f>
        <v>35</v>
      </c>
      <c r="D39" s="34">
        <f>'Raw Values'!D39</f>
        <v>0.97</v>
      </c>
      <c r="E39" s="34">
        <f>'Raw Values'!E39</f>
        <v>0.075</v>
      </c>
      <c r="F39" s="130"/>
      <c r="G39" s="49">
        <f>CEILING(100/('Damage @Range(Armor)'!F39))</f>
        <v>5</v>
      </c>
      <c r="H39" s="49">
        <f>CEILING(100/('Damage @Range(Armor)'!G39))</f>
        <v>5</v>
      </c>
      <c r="I39" s="49">
        <f>CEILING(100/('Damage @Range(Armor)'!H39))</f>
        <v>5</v>
      </c>
      <c r="J39" s="49">
        <f>CEILING(100/('Damage @Range(Armor)'!I39))</f>
        <v>5</v>
      </c>
      <c r="K39" s="49">
        <f>CEILING(100/('Damage @Range(Armor)'!J39))</f>
        <v>5</v>
      </c>
      <c r="L39" s="49">
        <f>CEILING(100/('Damage @Range(Armor)'!K39))</f>
        <v>5</v>
      </c>
      <c r="M39" s="49">
        <f>CEILING(100/('Damage @Range(Armor)'!L39))</f>
        <v>5</v>
      </c>
      <c r="N39" s="49">
        <f>CEILING(100/('Damage @Range(Armor)'!M39))</f>
        <v>5</v>
      </c>
      <c r="O39" s="49">
        <f>CEILING(100/('Damage @Range(Armor)'!N39))</f>
        <v>5</v>
      </c>
      <c r="P39" s="49">
        <f>CEILING(100/('Damage @Range(Armor)'!O39))</f>
        <v>5</v>
      </c>
      <c r="Q39" s="49">
        <f>CEILING(100/('Damage @Range(Armor)'!P39))</f>
        <v>5</v>
      </c>
      <c r="R39" s="49">
        <f>CEILING(100/('Damage @Range(Armor)'!Q39))</f>
        <v>5</v>
      </c>
      <c r="S39" s="49">
        <f>CEILING(100/('Damage @Range(Armor)'!R39))</f>
        <v>5</v>
      </c>
      <c r="T39" s="49">
        <f>CEILING(100/('Damage @Range(Armor)'!S39))</f>
        <v>5</v>
      </c>
      <c r="U39" s="49">
        <f>CEILING(100/('Damage @Range(Armor)'!T39))</f>
        <v>5</v>
      </c>
      <c r="V39" s="168"/>
      <c r="W39" s="49">
        <f>CEILING(100/('Damage @Range(Armor)'!V39))</f>
        <v>5</v>
      </c>
      <c r="X39" s="49">
        <f>CEILING(100/('Damage @Range(Armor)'!W39))</f>
        <v>5</v>
      </c>
      <c r="Y39" s="49">
        <f>CEILING(100/('Damage @Range(Armor)'!X39))</f>
        <v>5</v>
      </c>
      <c r="Z39" s="130"/>
      <c r="AA39" s="34">
        <f>SUM((G39-1)*'Raw Values'!E39)</f>
        <v>0.3</v>
      </c>
      <c r="AB39" s="34">
        <f>SUM((I39-1)*'Raw Values'!E39)</f>
        <v>0.3</v>
      </c>
      <c r="AC39" s="34">
        <f>SUM((L39-1)*'Raw Values'!E39)</f>
        <v>0.3</v>
      </c>
      <c r="AD39" s="34">
        <f>SUM((R39-1)*'Raw Values'!E39)</f>
        <v>0.3</v>
      </c>
    </row>
    <row r="40" ht="15.75" customHeight="1">
      <c r="A40" s="75"/>
      <c r="B40" s="76"/>
      <c r="C40" s="163"/>
      <c r="D40" s="79"/>
      <c r="E40" s="131"/>
      <c r="F40" s="133"/>
      <c r="G40" s="84"/>
      <c r="H40" s="84"/>
      <c r="I40" s="84"/>
      <c r="J40" s="84"/>
      <c r="K40" s="84"/>
      <c r="L40" s="84"/>
      <c r="M40" s="84"/>
      <c r="N40" s="84"/>
      <c r="O40" s="84"/>
      <c r="P40" s="84"/>
      <c r="Q40" s="84"/>
      <c r="R40" s="84"/>
      <c r="S40" s="84"/>
      <c r="T40" s="84"/>
      <c r="U40" s="84"/>
      <c r="V40" s="169"/>
      <c r="W40" s="84"/>
      <c r="X40" s="84"/>
      <c r="Y40" s="84"/>
      <c r="Z40" s="133"/>
      <c r="AA40" s="79"/>
      <c r="AB40" s="79"/>
      <c r="AC40" s="79"/>
      <c r="AD40" s="79"/>
    </row>
    <row r="41" ht="15.75" customHeight="1">
      <c r="A41" s="5" t="s">
        <v>184</v>
      </c>
      <c r="B41" s="8" t="s">
        <v>246</v>
      </c>
      <c r="C41" s="161" t="s">
        <v>15</v>
      </c>
      <c r="D41" s="9" t="s">
        <v>18</v>
      </c>
      <c r="E41" s="11" t="s">
        <v>19</v>
      </c>
      <c r="F41" s="158"/>
      <c r="G41" s="24" t="s">
        <v>248</v>
      </c>
      <c r="H41" s="24" t="s">
        <v>249</v>
      </c>
      <c r="I41" s="24" t="s">
        <v>250</v>
      </c>
      <c r="J41" s="24" t="s">
        <v>251</v>
      </c>
      <c r="K41" s="24" t="s">
        <v>252</v>
      </c>
      <c r="L41" s="24" t="s">
        <v>253</v>
      </c>
      <c r="M41" s="24" t="s">
        <v>254</v>
      </c>
      <c r="N41" s="24" t="s">
        <v>255</v>
      </c>
      <c r="O41" s="24" t="s">
        <v>256</v>
      </c>
      <c r="P41" s="24" t="s">
        <v>257</v>
      </c>
      <c r="Q41" s="24" t="s">
        <v>258</v>
      </c>
      <c r="R41" s="24" t="s">
        <v>259</v>
      </c>
      <c r="S41" s="24" t="s">
        <v>260</v>
      </c>
      <c r="T41" s="24" t="s">
        <v>261</v>
      </c>
      <c r="U41" s="24" t="s">
        <v>262</v>
      </c>
      <c r="V41" s="166"/>
      <c r="W41" s="167" t="s">
        <v>263</v>
      </c>
      <c r="X41" s="167" t="s">
        <v>264</v>
      </c>
      <c r="Y41" s="167" t="s">
        <v>265</v>
      </c>
      <c r="Z41" s="125"/>
      <c r="AA41" s="9" t="s">
        <v>266</v>
      </c>
      <c r="AB41" s="9" t="s">
        <v>267</v>
      </c>
      <c r="AC41" s="9" t="s">
        <v>268</v>
      </c>
      <c r="AD41" s="9" t="s">
        <v>269</v>
      </c>
    </row>
    <row r="42" ht="15.75" customHeight="1">
      <c r="A42" s="28" t="s">
        <v>186</v>
      </c>
      <c r="B42" s="30">
        <f>'Raw Values'!B42</f>
        <v>1.95</v>
      </c>
      <c r="C42" s="40">
        <f>'Raw Values'!C42</f>
        <v>115</v>
      </c>
      <c r="D42" s="34">
        <f>'Raw Values'!D42</f>
        <v>0.99</v>
      </c>
      <c r="E42" s="34">
        <f>'Raw Values'!E42</f>
        <v>1.455</v>
      </c>
      <c r="F42" s="130"/>
      <c r="G42" s="49">
        <f>CEILING(100/('Damage @Range(Armor)'!F42))</f>
        <v>1</v>
      </c>
      <c r="H42" s="49">
        <f>CEILING(100/('Damage @Range(Armor)'!G42))</f>
        <v>1</v>
      </c>
      <c r="I42" s="49">
        <f>CEILING(100/('Damage @Range(Armor)'!H42))</f>
        <v>1</v>
      </c>
      <c r="J42" s="49">
        <f>CEILING(100/('Damage @Range(Armor)'!I42))</f>
        <v>1</v>
      </c>
      <c r="K42" s="49">
        <f>CEILING(100/('Damage @Range(Armor)'!J42))</f>
        <v>1</v>
      </c>
      <c r="L42" s="49">
        <f>CEILING(100/('Damage @Range(Armor)'!K42))</f>
        <v>1</v>
      </c>
      <c r="M42" s="49">
        <f>CEILING(100/('Damage @Range(Armor)'!L42))</f>
        <v>1</v>
      </c>
      <c r="N42" s="49">
        <f>CEILING(100/('Damage @Range(Armor)'!M42))</f>
        <v>1</v>
      </c>
      <c r="O42" s="49">
        <f>CEILING(100/('Damage @Range(Armor)'!N42))</f>
        <v>1</v>
      </c>
      <c r="P42" s="49">
        <f>CEILING(100/('Damage @Range(Armor)'!O42))</f>
        <v>1</v>
      </c>
      <c r="Q42" s="49">
        <f>CEILING(100/('Damage @Range(Armor)'!P42))</f>
        <v>1</v>
      </c>
      <c r="R42" s="49">
        <f>CEILING(100/('Damage @Range(Armor)'!Q42))</f>
        <v>1</v>
      </c>
      <c r="S42" s="49">
        <f>CEILING(100/('Damage @Range(Armor)'!R42))</f>
        <v>1</v>
      </c>
      <c r="T42" s="49">
        <f>CEILING(100/('Damage @Range(Armor)'!S42))</f>
        <v>1</v>
      </c>
      <c r="U42" s="49">
        <f>CEILING(100/('Damage @Range(Armor)'!T42))</f>
        <v>1</v>
      </c>
      <c r="V42" s="168"/>
      <c r="W42" s="49">
        <f>CEILING(100/('Damage @Range(Armor)'!V42))</f>
        <v>1</v>
      </c>
      <c r="X42" s="49">
        <f>CEILING(100/('Damage @Range(Armor)'!W42))</f>
        <v>1</v>
      </c>
      <c r="Y42" s="49">
        <f>CEILING(100/('Damage @Range(Armor)'!X42))</f>
        <v>1</v>
      </c>
      <c r="Z42" s="130"/>
      <c r="AA42" s="34" t="s">
        <v>270</v>
      </c>
      <c r="AB42" s="34" t="s">
        <v>270</v>
      </c>
      <c r="AC42" s="34" t="s">
        <v>270</v>
      </c>
      <c r="AD42" s="34" t="s">
        <v>270</v>
      </c>
    </row>
    <row r="43" ht="15.75" customHeight="1">
      <c r="A43" s="66" t="s">
        <v>188</v>
      </c>
      <c r="B43" s="30">
        <f>'Raw Values'!B43</f>
        <v>1.65</v>
      </c>
      <c r="C43" s="40">
        <f>'Raw Values'!C43</f>
        <v>80</v>
      </c>
      <c r="D43" s="34">
        <f>'Raw Values'!D43</f>
        <v>0.98</v>
      </c>
      <c r="E43" s="34">
        <f>'Raw Values'!E43</f>
        <v>0.25</v>
      </c>
      <c r="F43" s="130"/>
      <c r="G43" s="49">
        <f>CEILING(100/('Damage @Range(Armor)'!F43))</f>
        <v>2</v>
      </c>
      <c r="H43" s="49">
        <f>CEILING(100/('Damage @Range(Armor)'!G43))</f>
        <v>2</v>
      </c>
      <c r="I43" s="49">
        <f>CEILING(100/('Damage @Range(Armor)'!H43))</f>
        <v>2</v>
      </c>
      <c r="J43" s="49">
        <f>CEILING(100/('Damage @Range(Armor)'!I43))</f>
        <v>2</v>
      </c>
      <c r="K43" s="49">
        <f>CEILING(100/('Damage @Range(Armor)'!J43))</f>
        <v>2</v>
      </c>
      <c r="L43" s="49">
        <f>CEILING(100/('Damage @Range(Armor)'!K43))</f>
        <v>2</v>
      </c>
      <c r="M43" s="49">
        <f>CEILING(100/('Damage @Range(Armor)'!L43))</f>
        <v>2</v>
      </c>
      <c r="N43" s="49">
        <f>CEILING(100/('Damage @Range(Armor)'!M43))</f>
        <v>2</v>
      </c>
      <c r="O43" s="49">
        <f>CEILING(100/('Damage @Range(Armor)'!N43))</f>
        <v>2</v>
      </c>
      <c r="P43" s="49">
        <f>CEILING(100/('Damage @Range(Armor)'!O43))</f>
        <v>2</v>
      </c>
      <c r="Q43" s="49">
        <f>CEILING(100/('Damage @Range(Armor)'!P43))</f>
        <v>2</v>
      </c>
      <c r="R43" s="49">
        <f>CEILING(100/('Damage @Range(Armor)'!Q43))</f>
        <v>2</v>
      </c>
      <c r="S43" s="49">
        <f>CEILING(100/('Damage @Range(Armor)'!R43))</f>
        <v>2</v>
      </c>
      <c r="T43" s="49">
        <f>CEILING(100/('Damage @Range(Armor)'!S43))</f>
        <v>2</v>
      </c>
      <c r="U43" s="49">
        <f>CEILING(100/('Damage @Range(Armor)'!T43))</f>
        <v>2</v>
      </c>
      <c r="V43" s="168"/>
      <c r="W43" s="49">
        <f>CEILING(100/('Damage @Range(Armor)'!V43))</f>
        <v>2</v>
      </c>
      <c r="X43" s="49">
        <f>CEILING(100/('Damage @Range(Armor)'!W43))</f>
        <v>2</v>
      </c>
      <c r="Y43" s="49">
        <f>CEILING(100/('Damage @Range(Armor)'!X43))</f>
        <v>2</v>
      </c>
      <c r="Z43" s="130"/>
      <c r="AA43" s="34">
        <f>SUM((G43-1)*'Raw Values'!E43)</f>
        <v>0.25</v>
      </c>
      <c r="AB43" s="34">
        <f>SUM((I43-1)*'Raw Values'!E43)</f>
        <v>0.25</v>
      </c>
      <c r="AC43" s="34">
        <f>SUM((L43-1)*'Raw Values'!E43)</f>
        <v>0.25</v>
      </c>
      <c r="AD43" s="34">
        <f>SUM((R43-1)*'Raw Values'!E43)</f>
        <v>0.25</v>
      </c>
    </row>
    <row r="44" ht="15.75" customHeight="1">
      <c r="A44" s="61" t="s">
        <v>190</v>
      </c>
      <c r="B44" s="30">
        <f>'Raw Values'!B44</f>
        <v>1.65</v>
      </c>
      <c r="C44" s="40">
        <f>'Raw Values'!C44</f>
        <v>80</v>
      </c>
      <c r="D44" s="34">
        <f>'Raw Values'!D44</f>
        <v>0.98</v>
      </c>
      <c r="E44" s="34">
        <f>'Raw Values'!E44</f>
        <v>0.25</v>
      </c>
      <c r="F44" s="130"/>
      <c r="G44" s="49">
        <f>CEILING(100/('Damage @Range(Armor)'!F44))</f>
        <v>2</v>
      </c>
      <c r="H44" s="49">
        <f>CEILING(100/('Damage @Range(Armor)'!G44))</f>
        <v>2</v>
      </c>
      <c r="I44" s="49">
        <f>CEILING(100/('Damage @Range(Armor)'!H44))</f>
        <v>2</v>
      </c>
      <c r="J44" s="49">
        <f>CEILING(100/('Damage @Range(Armor)'!I44))</f>
        <v>2</v>
      </c>
      <c r="K44" s="49">
        <f>CEILING(100/('Damage @Range(Armor)'!J44))</f>
        <v>2</v>
      </c>
      <c r="L44" s="49">
        <f>CEILING(100/('Damage @Range(Armor)'!K44))</f>
        <v>2</v>
      </c>
      <c r="M44" s="49">
        <f>CEILING(100/('Damage @Range(Armor)'!L44))</f>
        <v>2</v>
      </c>
      <c r="N44" s="49">
        <f>CEILING(100/('Damage @Range(Armor)'!M44))</f>
        <v>2</v>
      </c>
      <c r="O44" s="49">
        <f>CEILING(100/('Damage @Range(Armor)'!N44))</f>
        <v>2</v>
      </c>
      <c r="P44" s="49">
        <f>CEILING(100/('Damage @Range(Armor)'!O44))</f>
        <v>2</v>
      </c>
      <c r="Q44" s="49">
        <f>CEILING(100/('Damage @Range(Armor)'!P44))</f>
        <v>2</v>
      </c>
      <c r="R44" s="49">
        <f>CEILING(100/('Damage @Range(Armor)'!Q44))</f>
        <v>2</v>
      </c>
      <c r="S44" s="49">
        <f>CEILING(100/('Damage @Range(Armor)'!R44))</f>
        <v>2</v>
      </c>
      <c r="T44" s="49">
        <f>CEILING(100/('Damage @Range(Armor)'!S44))</f>
        <v>2</v>
      </c>
      <c r="U44" s="49">
        <f>CEILING(100/('Damage @Range(Armor)'!T44))</f>
        <v>2</v>
      </c>
      <c r="V44" s="168"/>
      <c r="W44" s="49">
        <f>CEILING(100/('Damage @Range(Armor)'!V44))</f>
        <v>2</v>
      </c>
      <c r="X44" s="49">
        <f>CEILING(100/('Damage @Range(Armor)'!W44))</f>
        <v>2</v>
      </c>
      <c r="Y44" s="49">
        <f>CEILING(100/('Damage @Range(Armor)'!X44))</f>
        <v>2</v>
      </c>
      <c r="Z44" s="130"/>
      <c r="AA44" s="34">
        <f>SUM((G44-1)*'Raw Values'!E44)</f>
        <v>0.25</v>
      </c>
      <c r="AB44" s="34">
        <f>SUM((I44-1)*'Raw Values'!E44)</f>
        <v>0.25</v>
      </c>
      <c r="AC44" s="34">
        <f>SUM((L44-1)*'Raw Values'!E44)</f>
        <v>0.25</v>
      </c>
      <c r="AD44" s="34">
        <f>SUM((R44-1)*'Raw Values'!E44)</f>
        <v>0.25</v>
      </c>
    </row>
    <row r="45" ht="15.75" customHeight="1">
      <c r="A45" s="28" t="s">
        <v>192</v>
      </c>
      <c r="B45" s="30">
        <f>'Raw Values'!B45</f>
        <v>1.7</v>
      </c>
      <c r="C45" s="40">
        <f>'Raw Values'!C45</f>
        <v>88</v>
      </c>
      <c r="D45" s="34">
        <f>'Raw Values'!D45</f>
        <v>0.98</v>
      </c>
      <c r="E45" s="34">
        <f>'Raw Values'!E45</f>
        <v>1.25</v>
      </c>
      <c r="F45" s="130"/>
      <c r="G45" s="49">
        <f>CEILING(100/('Damage @Range(Armor)'!F45))</f>
        <v>2</v>
      </c>
      <c r="H45" s="49">
        <f>CEILING(100/('Damage @Range(Armor)'!G45))</f>
        <v>2</v>
      </c>
      <c r="I45" s="49">
        <f>CEILING(100/('Damage @Range(Armor)'!H45))</f>
        <v>2</v>
      </c>
      <c r="J45" s="49">
        <f>CEILING(100/('Damage @Range(Armor)'!I45))</f>
        <v>2</v>
      </c>
      <c r="K45" s="49">
        <f>CEILING(100/('Damage @Range(Armor)'!J45))</f>
        <v>2</v>
      </c>
      <c r="L45" s="49">
        <f>CEILING(100/('Damage @Range(Armor)'!K45))</f>
        <v>2</v>
      </c>
      <c r="M45" s="49">
        <f>CEILING(100/('Damage @Range(Armor)'!L45))</f>
        <v>2</v>
      </c>
      <c r="N45" s="49">
        <f>CEILING(100/('Damage @Range(Armor)'!M45))</f>
        <v>2</v>
      </c>
      <c r="O45" s="49">
        <f>CEILING(100/('Damage @Range(Armor)'!N45))</f>
        <v>2</v>
      </c>
      <c r="P45" s="49">
        <f>CEILING(100/('Damage @Range(Armor)'!O45))</f>
        <v>2</v>
      </c>
      <c r="Q45" s="49">
        <f>CEILING(100/('Damage @Range(Armor)'!P45))</f>
        <v>2</v>
      </c>
      <c r="R45" s="49">
        <f>CEILING(100/('Damage @Range(Armor)'!Q45))</f>
        <v>2</v>
      </c>
      <c r="S45" s="49">
        <f>CEILING(100/('Damage @Range(Armor)'!R45))</f>
        <v>2</v>
      </c>
      <c r="T45" s="49">
        <f>CEILING(100/('Damage @Range(Armor)'!S45))</f>
        <v>2</v>
      </c>
      <c r="U45" s="49">
        <f>CEILING(100/('Damage @Range(Armor)'!T45))</f>
        <v>2</v>
      </c>
      <c r="V45" s="168"/>
      <c r="W45" s="49">
        <f>CEILING(100/('Damage @Range(Armor)'!V45))</f>
        <v>2</v>
      </c>
      <c r="X45" s="49">
        <f>CEILING(100/('Damage @Range(Armor)'!W45))</f>
        <v>2</v>
      </c>
      <c r="Y45" s="49">
        <f>CEILING(100/('Damage @Range(Armor)'!X45))</f>
        <v>2</v>
      </c>
      <c r="Z45" s="130"/>
      <c r="AA45" s="34">
        <f>SUM((G45-1)*'Raw Values'!E45)</f>
        <v>1.25</v>
      </c>
      <c r="AB45" s="34">
        <f>SUM((I45-1)*'Raw Values'!E45)</f>
        <v>1.25</v>
      </c>
      <c r="AC45" s="34">
        <f>SUM((L45-1)*'Raw Values'!E45)</f>
        <v>1.25</v>
      </c>
      <c r="AD45" s="34">
        <f>SUM((R45-1)*'Raw Values'!E45)</f>
        <v>1.25</v>
      </c>
    </row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0"/>
  <cols>
    <col customWidth="1" min="1" max="1" width="19.71"/>
    <col customWidth="1" min="2" max="4" width="11.71"/>
    <col customWidth="1" min="5" max="6" width="14.43"/>
  </cols>
  <sheetData>
    <row r="1" ht="15.75" customHeight="1">
      <c r="A1" s="5" t="s">
        <v>1</v>
      </c>
      <c r="B1" s="9" t="s">
        <v>271</v>
      </c>
      <c r="C1" s="9" t="s">
        <v>272</v>
      </c>
      <c r="D1" s="9" t="s">
        <v>273</v>
      </c>
    </row>
    <row r="2" ht="15.75" customHeight="1">
      <c r="A2" s="28" t="s">
        <v>67</v>
      </c>
      <c r="B2" s="34">
        <v>1.0</v>
      </c>
      <c r="C2" s="34">
        <v>0.87</v>
      </c>
      <c r="D2" s="34">
        <v>2.2</v>
      </c>
    </row>
    <row r="3" ht="15.75" customHeight="1">
      <c r="A3" s="28" t="s">
        <v>117</v>
      </c>
      <c r="B3" s="34">
        <v>1.17</v>
      </c>
      <c r="C3" s="34">
        <v>1.97</v>
      </c>
      <c r="D3" s="34">
        <v>2.27</v>
      </c>
    </row>
    <row r="4" ht="15.75" customHeight="1">
      <c r="A4" s="28" t="s">
        <v>121</v>
      </c>
      <c r="B4" s="34">
        <v>1.0</v>
      </c>
      <c r="C4" s="34">
        <v>2.9</v>
      </c>
      <c r="D4" s="34">
        <v>3.77</v>
      </c>
    </row>
    <row r="5" ht="15.75" customHeight="1">
      <c r="A5" s="61" t="s">
        <v>123</v>
      </c>
      <c r="B5" s="34">
        <v>1.0</v>
      </c>
      <c r="C5" s="34">
        <v>0.93</v>
      </c>
      <c r="D5" s="34">
        <v>2.27</v>
      </c>
    </row>
    <row r="6" ht="15.75" customHeight="1">
      <c r="A6" s="66" t="s">
        <v>126</v>
      </c>
      <c r="B6" s="34">
        <v>1.1</v>
      </c>
      <c r="C6" s="34">
        <v>0.93</v>
      </c>
      <c r="D6" s="34">
        <v>2.27</v>
      </c>
    </row>
    <row r="7" ht="15.75" customHeight="1">
      <c r="A7" s="61" t="s">
        <v>128</v>
      </c>
      <c r="B7" s="34">
        <v>1.0</v>
      </c>
      <c r="C7" s="34">
        <v>0.97</v>
      </c>
      <c r="D7" s="34">
        <v>2.27</v>
      </c>
    </row>
    <row r="8" ht="15.75" customHeight="1">
      <c r="A8" s="61" t="s">
        <v>130</v>
      </c>
      <c r="B8" s="181">
        <v>1.0</v>
      </c>
      <c r="C8" s="182">
        <v>0.97</v>
      </c>
      <c r="D8" s="182">
        <v>2.17</v>
      </c>
    </row>
    <row r="9" ht="15.75" customHeight="1">
      <c r="A9" s="28" t="s">
        <v>133</v>
      </c>
      <c r="B9" s="34">
        <v>1.0</v>
      </c>
      <c r="C9" s="34">
        <v>0.93</v>
      </c>
      <c r="D9" s="34">
        <v>2.27</v>
      </c>
    </row>
    <row r="10" ht="15.75" customHeight="1">
      <c r="A10" s="28" t="s">
        <v>134</v>
      </c>
      <c r="B10" s="181">
        <v>1.83</v>
      </c>
      <c r="C10" s="183" t="s">
        <v>274</v>
      </c>
      <c r="D10" s="183" t="s">
        <v>275</v>
      </c>
    </row>
    <row r="11" ht="15.75" customHeight="1">
      <c r="A11" s="66" t="s">
        <v>136</v>
      </c>
      <c r="B11" s="34">
        <v>1.0</v>
      </c>
      <c r="C11" s="34">
        <v>1.33</v>
      </c>
      <c r="D11" s="34">
        <v>2.57</v>
      </c>
    </row>
    <row r="12" ht="15.75" customHeight="1">
      <c r="B12" s="79"/>
      <c r="C12" s="79"/>
      <c r="D12" s="79"/>
    </row>
    <row r="13" ht="15.75" customHeight="1">
      <c r="A13" s="5" t="s">
        <v>135</v>
      </c>
      <c r="B13" s="9" t="s">
        <v>271</v>
      </c>
      <c r="C13" s="9" t="s">
        <v>272</v>
      </c>
      <c r="D13" s="9" t="s">
        <v>273</v>
      </c>
    </row>
    <row r="14" ht="15.75" customHeight="1">
      <c r="A14" s="61" t="s">
        <v>139</v>
      </c>
      <c r="B14" s="34">
        <v>1.0</v>
      </c>
      <c r="C14" s="34">
        <v>1.07</v>
      </c>
      <c r="D14" s="34">
        <v>2.47</v>
      </c>
    </row>
    <row r="15" ht="15.75" customHeight="1">
      <c r="A15" s="28" t="s">
        <v>141</v>
      </c>
      <c r="B15" s="34">
        <v>1.0</v>
      </c>
      <c r="C15" s="184">
        <v>0.54</v>
      </c>
      <c r="D15" s="185">
        <v>4.74</v>
      </c>
    </row>
    <row r="16" ht="15.75" customHeight="1">
      <c r="A16" s="66" t="s">
        <v>144</v>
      </c>
      <c r="B16" s="34">
        <v>1.0</v>
      </c>
      <c r="C16" s="186">
        <v>0.55</v>
      </c>
      <c r="D16" s="187">
        <v>4.22</v>
      </c>
    </row>
    <row r="17" ht="15.75" customHeight="1">
      <c r="A17" s="28" t="s">
        <v>146</v>
      </c>
      <c r="B17" s="34">
        <v>1.0</v>
      </c>
      <c r="C17" s="186">
        <v>0.53</v>
      </c>
      <c r="D17" s="187">
        <v>4.22</v>
      </c>
    </row>
    <row r="18" ht="15.75" customHeight="1">
      <c r="B18" s="79"/>
      <c r="C18" s="79"/>
      <c r="D18" s="79"/>
    </row>
    <row r="19" ht="15.75" customHeight="1">
      <c r="A19" s="5" t="s">
        <v>145</v>
      </c>
      <c r="B19" s="9" t="s">
        <v>271</v>
      </c>
      <c r="C19" s="9" t="s">
        <v>272</v>
      </c>
      <c r="D19" s="9" t="s">
        <v>273</v>
      </c>
    </row>
    <row r="20" ht="15.75" customHeight="1">
      <c r="A20" s="28" t="s">
        <v>149</v>
      </c>
      <c r="B20" s="34">
        <v>1.1</v>
      </c>
      <c r="C20" s="34">
        <v>1.17</v>
      </c>
      <c r="D20" s="34">
        <v>2.43</v>
      </c>
    </row>
    <row r="21" ht="15.75" customHeight="1">
      <c r="A21" s="66" t="s">
        <v>151</v>
      </c>
      <c r="B21" s="34">
        <v>1.0</v>
      </c>
      <c r="C21" s="34">
        <v>1.27</v>
      </c>
      <c r="D21" s="34">
        <v>2.57</v>
      </c>
    </row>
    <row r="22" ht="15.75" customHeight="1">
      <c r="A22" s="28" t="s">
        <v>153</v>
      </c>
      <c r="B22" s="34">
        <v>1.0</v>
      </c>
      <c r="C22" s="34">
        <v>1.43</v>
      </c>
      <c r="D22" s="34">
        <v>3.13</v>
      </c>
    </row>
    <row r="23" ht="15.75" customHeight="1">
      <c r="A23" s="28" t="s">
        <v>155</v>
      </c>
      <c r="B23" s="34">
        <v>1.0</v>
      </c>
      <c r="C23" s="34">
        <v>1.97</v>
      </c>
      <c r="D23" s="34">
        <v>2.94</v>
      </c>
    </row>
    <row r="24" ht="15.75" customHeight="1">
      <c r="A24" s="61" t="s">
        <v>157</v>
      </c>
      <c r="B24" s="34">
        <v>1.2</v>
      </c>
      <c r="C24" s="34">
        <v>0.87</v>
      </c>
      <c r="D24" s="34">
        <v>2.13</v>
      </c>
    </row>
    <row r="25" ht="15.75" customHeight="1">
      <c r="A25" s="28" t="s">
        <v>159</v>
      </c>
      <c r="B25" s="34">
        <v>1.0</v>
      </c>
      <c r="C25" s="34">
        <v>1.97</v>
      </c>
      <c r="D25" s="34">
        <v>3.37</v>
      </c>
    </row>
    <row r="26" ht="15.75" customHeight="1">
      <c r="A26" s="28" t="s">
        <v>162</v>
      </c>
      <c r="B26" s="34">
        <v>1.0</v>
      </c>
      <c r="C26" s="34">
        <v>1.5</v>
      </c>
      <c r="D26" s="34">
        <v>3.43</v>
      </c>
    </row>
    <row r="27" ht="15.75" customHeight="1">
      <c r="B27" s="79"/>
      <c r="C27" s="79"/>
      <c r="D27" s="79"/>
    </row>
    <row r="28" ht="15.75" customHeight="1">
      <c r="A28" s="5" t="s">
        <v>161</v>
      </c>
      <c r="B28" s="9" t="s">
        <v>271</v>
      </c>
      <c r="C28" s="9" t="s">
        <v>272</v>
      </c>
      <c r="D28" s="9" t="s">
        <v>273</v>
      </c>
    </row>
    <row r="29" ht="15.75" customHeight="1">
      <c r="A29" s="66" t="s">
        <v>163</v>
      </c>
      <c r="B29" s="34">
        <v>1.0</v>
      </c>
      <c r="C29" s="34">
        <v>1.17</v>
      </c>
      <c r="D29" s="34">
        <v>2.43</v>
      </c>
    </row>
    <row r="30" ht="15.75" customHeight="1">
      <c r="A30" s="61" t="s">
        <v>167</v>
      </c>
      <c r="B30" s="34">
        <v>1.17</v>
      </c>
      <c r="C30" s="34">
        <v>1.53</v>
      </c>
      <c r="D30" s="34">
        <v>3.77</v>
      </c>
    </row>
    <row r="31" ht="15.75" customHeight="1">
      <c r="A31" s="61" t="s">
        <v>169</v>
      </c>
      <c r="B31" s="34">
        <v>1.0</v>
      </c>
      <c r="C31" s="34">
        <v>1.63</v>
      </c>
      <c r="D31" s="34">
        <v>3.3</v>
      </c>
    </row>
    <row r="32" ht="15.75" customHeight="1">
      <c r="A32" s="66" t="s">
        <v>172</v>
      </c>
      <c r="B32" s="34">
        <v>1.1</v>
      </c>
      <c r="C32" s="34">
        <v>1.17</v>
      </c>
      <c r="D32" s="34">
        <v>3.03</v>
      </c>
    </row>
    <row r="33" ht="15.75" customHeight="1">
      <c r="A33" s="61" t="s">
        <v>174</v>
      </c>
      <c r="B33" s="34">
        <v>1.13</v>
      </c>
      <c r="C33" s="34">
        <v>1.37</v>
      </c>
      <c r="D33" s="34">
        <v>3.07</v>
      </c>
    </row>
    <row r="34" ht="15.75" customHeight="1">
      <c r="A34" s="61" t="s">
        <v>176</v>
      </c>
      <c r="B34" s="181">
        <v>1.13</v>
      </c>
      <c r="C34" s="182">
        <v>1.37</v>
      </c>
      <c r="D34" s="182">
        <v>3.07</v>
      </c>
    </row>
    <row r="35" ht="15.75" customHeight="1">
      <c r="A35" s="66" t="s">
        <v>178</v>
      </c>
      <c r="B35" s="34">
        <v>1.0</v>
      </c>
      <c r="C35" s="34">
        <v>1.03</v>
      </c>
      <c r="D35" s="34">
        <v>2.77</v>
      </c>
    </row>
    <row r="36" ht="15.75" customHeight="1">
      <c r="B36" s="79"/>
      <c r="C36" s="79"/>
      <c r="D36" s="79"/>
    </row>
    <row r="37" ht="15.75" customHeight="1">
      <c r="A37" s="5" t="s">
        <v>177</v>
      </c>
      <c r="B37" s="9" t="s">
        <v>271</v>
      </c>
      <c r="C37" s="9" t="s">
        <v>272</v>
      </c>
      <c r="D37" s="9" t="s">
        <v>273</v>
      </c>
    </row>
    <row r="38" ht="15.75" customHeight="1">
      <c r="A38" s="28" t="s">
        <v>182</v>
      </c>
      <c r="B38" s="34" t="s">
        <v>276</v>
      </c>
      <c r="C38" s="34">
        <v>3.73</v>
      </c>
      <c r="D38" s="34">
        <v>5.7</v>
      </c>
    </row>
    <row r="39" ht="15.75" customHeight="1">
      <c r="A39" s="28" t="s">
        <v>183</v>
      </c>
      <c r="B39" s="34" t="s">
        <v>276</v>
      </c>
      <c r="C39" s="34">
        <v>3.83</v>
      </c>
      <c r="D39" s="34">
        <v>5.7</v>
      </c>
    </row>
    <row r="40" ht="15.75" customHeight="1">
      <c r="B40" s="79"/>
      <c r="C40" s="79"/>
      <c r="D40" s="79"/>
    </row>
    <row r="41" ht="15.75" customHeight="1">
      <c r="A41" s="5" t="s">
        <v>184</v>
      </c>
      <c r="B41" s="9" t="s">
        <v>271</v>
      </c>
      <c r="C41" s="9" t="s">
        <v>272</v>
      </c>
      <c r="D41" s="9" t="s">
        <v>273</v>
      </c>
    </row>
    <row r="42" ht="15.75" customHeight="1">
      <c r="A42" s="28" t="s">
        <v>185</v>
      </c>
      <c r="B42" s="34">
        <v>1.25</v>
      </c>
      <c r="C42" s="34">
        <v>2.0</v>
      </c>
      <c r="D42" s="34">
        <v>3.67</v>
      </c>
    </row>
    <row r="43" ht="15.75" customHeight="1">
      <c r="A43" s="66" t="s">
        <v>189</v>
      </c>
      <c r="B43" s="34">
        <v>1.0</v>
      </c>
      <c r="C43" s="34">
        <v>2.6</v>
      </c>
      <c r="D43" s="34">
        <v>4.67</v>
      </c>
    </row>
    <row r="44" ht="15.75" customHeight="1">
      <c r="A44" s="61" t="s">
        <v>191</v>
      </c>
      <c r="B44" s="34">
        <v>1.0</v>
      </c>
      <c r="C44" s="34">
        <v>1.4</v>
      </c>
      <c r="D44" s="34">
        <v>3.07</v>
      </c>
    </row>
    <row r="45" ht="15.75" customHeight="1">
      <c r="A45" s="28" t="s">
        <v>193</v>
      </c>
      <c r="B45" s="34">
        <v>1.0</v>
      </c>
      <c r="C45" s="34">
        <v>1.97</v>
      </c>
      <c r="D45" s="34">
        <v>3.7</v>
      </c>
    </row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2" width="14.43"/>
    <col customWidth="1" min="3" max="3" width="24.43"/>
    <col customWidth="1" min="4" max="6" width="14.43"/>
  </cols>
  <sheetData>
    <row r="1" ht="15.75" customHeight="1">
      <c r="A1" s="188" t="s">
        <v>277</v>
      </c>
      <c r="B1" s="188" t="s">
        <v>278</v>
      </c>
      <c r="C1" s="133"/>
    </row>
    <row r="2" ht="15.75" customHeight="1">
      <c r="A2" s="188" t="s">
        <v>279</v>
      </c>
      <c r="B2" s="188" t="s">
        <v>280</v>
      </c>
      <c r="C2" s="188" t="s">
        <v>281</v>
      </c>
    </row>
    <row r="3" ht="15.75" customHeight="1">
      <c r="A3" s="188" t="s">
        <v>282</v>
      </c>
      <c r="B3" s="188" t="s">
        <v>283</v>
      </c>
      <c r="C3" s="188" t="s">
        <v>284</v>
      </c>
    </row>
    <row r="4" ht="15.75" customHeight="1">
      <c r="A4" s="188" t="s">
        <v>285</v>
      </c>
      <c r="B4" s="188" t="s">
        <v>286</v>
      </c>
      <c r="C4" s="133"/>
    </row>
    <row r="5" ht="15.75" customHeight="1">
      <c r="A5" s="133"/>
      <c r="B5" s="133"/>
      <c r="C5" s="133"/>
    </row>
    <row r="6" ht="15.75" customHeight="1">
      <c r="A6" s="188" t="s">
        <v>287</v>
      </c>
      <c r="B6" s="188" t="s">
        <v>288</v>
      </c>
      <c r="C6" s="188" t="s">
        <v>289</v>
      </c>
    </row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0"/>
  <cols>
    <col customWidth="1" min="1" max="1" width="14.57"/>
    <col customWidth="1" min="2" max="48" width="11.71"/>
    <col customWidth="1" min="49" max="49" width="12.43"/>
    <col customWidth="1" min="50" max="51" width="11.71"/>
  </cols>
  <sheetData>
    <row r="1" ht="15.75" customHeight="1">
      <c r="A1" s="5" t="s">
        <v>1</v>
      </c>
      <c r="B1" s="8" t="s">
        <v>8</v>
      </c>
      <c r="C1" s="7" t="s">
        <v>15</v>
      </c>
      <c r="D1" s="8" t="s">
        <v>18</v>
      </c>
      <c r="E1" s="11" t="s">
        <v>19</v>
      </c>
      <c r="F1" s="7" t="s">
        <v>29</v>
      </c>
      <c r="G1" s="7" t="s">
        <v>30</v>
      </c>
      <c r="H1" s="7" t="s">
        <v>31</v>
      </c>
      <c r="I1" s="7" t="s">
        <v>32</v>
      </c>
      <c r="J1" s="7" t="s">
        <v>34</v>
      </c>
      <c r="K1" s="7" t="s">
        <v>36</v>
      </c>
      <c r="L1" s="7" t="s">
        <v>39</v>
      </c>
      <c r="M1" s="7" t="s">
        <v>40</v>
      </c>
      <c r="N1" s="7" t="s">
        <v>41</v>
      </c>
      <c r="O1" s="7" t="s">
        <v>42</v>
      </c>
      <c r="P1" s="16" t="s">
        <v>44</v>
      </c>
      <c r="Q1" s="18" t="s">
        <v>49</v>
      </c>
      <c r="R1" s="9" t="s">
        <v>57</v>
      </c>
      <c r="S1" s="9" t="s">
        <v>60</v>
      </c>
      <c r="T1" s="9" t="s">
        <v>62</v>
      </c>
      <c r="U1" s="9" t="s">
        <v>63</v>
      </c>
      <c r="V1" s="9" t="s">
        <v>64</v>
      </c>
      <c r="W1" s="9" t="s">
        <v>65</v>
      </c>
      <c r="X1" s="9" t="s">
        <v>66</v>
      </c>
      <c r="Y1" s="11" t="s">
        <v>68</v>
      </c>
      <c r="Z1" s="11" t="s">
        <v>69</v>
      </c>
      <c r="AA1" s="21" t="s">
        <v>70</v>
      </c>
      <c r="AB1" s="21" t="s">
        <v>71</v>
      </c>
      <c r="AC1" s="21" t="s">
        <v>72</v>
      </c>
      <c r="AD1" s="21" t="s">
        <v>73</v>
      </c>
      <c r="AE1" s="7" t="s">
        <v>74</v>
      </c>
      <c r="AF1" s="13" t="s">
        <v>75</v>
      </c>
      <c r="AG1" s="7" t="s">
        <v>76</v>
      </c>
      <c r="AH1" s="7" t="s">
        <v>78</v>
      </c>
      <c r="AI1" s="7" t="s">
        <v>79</v>
      </c>
      <c r="AJ1" s="7" t="s">
        <v>81</v>
      </c>
      <c r="AK1" s="7" t="s">
        <v>82</v>
      </c>
      <c r="AL1" s="7" t="s">
        <v>84</v>
      </c>
      <c r="AM1" s="6" t="s">
        <v>86</v>
      </c>
      <c r="AN1" s="7" t="s">
        <v>88</v>
      </c>
      <c r="AO1" s="7" t="s">
        <v>91</v>
      </c>
      <c r="AP1" s="24" t="s">
        <v>92</v>
      </c>
      <c r="AQ1" s="13" t="s">
        <v>93</v>
      </c>
      <c r="AR1" s="7" t="s">
        <v>94</v>
      </c>
      <c r="AS1" s="7" t="s">
        <v>95</v>
      </c>
      <c r="AT1" s="7" t="s">
        <v>96</v>
      </c>
      <c r="AU1" s="7" t="s">
        <v>98</v>
      </c>
      <c r="AV1" s="7" t="s">
        <v>99</v>
      </c>
      <c r="AW1" s="9" t="s">
        <v>101</v>
      </c>
      <c r="AX1" s="9" t="s">
        <v>102</v>
      </c>
      <c r="AY1" s="9" t="s">
        <v>103</v>
      </c>
    </row>
    <row r="2" ht="15.75" customHeight="1">
      <c r="A2" s="28" t="s">
        <v>104</v>
      </c>
      <c r="B2" s="30">
        <v>1.864</v>
      </c>
      <c r="C2" s="29">
        <v>63.0</v>
      </c>
      <c r="D2" s="30">
        <v>0.81</v>
      </c>
      <c r="E2" s="32">
        <v>0.225</v>
      </c>
      <c r="F2" s="29">
        <v>2.0</v>
      </c>
      <c r="G2" s="26">
        <v>300.0</v>
      </c>
      <c r="H2" s="29">
        <v>230.0</v>
      </c>
      <c r="I2" s="29">
        <v>7.0</v>
      </c>
      <c r="J2" s="26">
        <v>700.0</v>
      </c>
      <c r="K2" s="29">
        <v>4096.0</v>
      </c>
      <c r="L2" s="29" t="s">
        <v>113</v>
      </c>
      <c r="M2" s="29">
        <v>0.0</v>
      </c>
      <c r="N2" s="29">
        <v>1.0</v>
      </c>
      <c r="O2" s="29">
        <v>1.0</v>
      </c>
      <c r="P2" s="35">
        <v>0.4</v>
      </c>
      <c r="Q2" s="37">
        <v>0.55</v>
      </c>
      <c r="R2" s="34">
        <v>2.0</v>
      </c>
      <c r="S2" s="34">
        <v>2.18</v>
      </c>
      <c r="T2" s="34">
        <v>4.2</v>
      </c>
      <c r="U2" s="34">
        <v>72.23</v>
      </c>
      <c r="V2" s="34">
        <v>48.1</v>
      </c>
      <c r="W2" s="39">
        <v>371.549988</v>
      </c>
      <c r="X2" s="41">
        <v>217.270004</v>
      </c>
      <c r="Y2" s="32">
        <v>0.73</v>
      </c>
      <c r="Z2" s="32">
        <v>152.0</v>
      </c>
      <c r="AA2" s="43">
        <v>0.449927</v>
      </c>
      <c r="AB2" s="43">
        <f t="shared" ref="AB2:AB4" si="1">AA2</f>
        <v>0.449927</v>
      </c>
      <c r="AC2" s="43">
        <v>0.8112</v>
      </c>
      <c r="AD2" s="43">
        <f t="shared" ref="AD2:AD4" si="2">AC2</f>
        <v>0.8112</v>
      </c>
      <c r="AE2" s="29">
        <v>60.0</v>
      </c>
      <c r="AF2" s="45">
        <v>48.2</v>
      </c>
      <c r="AG2" s="29">
        <v>18.0</v>
      </c>
      <c r="AH2" s="34"/>
      <c r="AI2" s="34"/>
      <c r="AJ2" s="34"/>
      <c r="AK2" s="34"/>
      <c r="AL2" s="34"/>
      <c r="AM2" s="48"/>
      <c r="AN2" s="32"/>
      <c r="AO2" s="32"/>
      <c r="AP2" s="49"/>
      <c r="AQ2" s="45"/>
      <c r="AR2" s="51"/>
      <c r="AS2" s="51"/>
      <c r="AT2" s="51"/>
      <c r="AU2" s="51"/>
      <c r="AV2" s="51"/>
      <c r="AW2" s="53"/>
      <c r="AX2" s="53"/>
      <c r="AY2" s="53"/>
    </row>
    <row r="3" ht="15.75" customHeight="1">
      <c r="A3" s="28" t="s">
        <v>118</v>
      </c>
      <c r="B3" s="30">
        <v>1.864</v>
      </c>
      <c r="C3" s="29">
        <v>86.0</v>
      </c>
      <c r="D3" s="30">
        <v>0.94</v>
      </c>
      <c r="E3" s="32">
        <v>0.5</v>
      </c>
      <c r="F3" s="29">
        <v>2.0</v>
      </c>
      <c r="G3" s="26">
        <v>300.0</v>
      </c>
      <c r="H3" s="29">
        <v>180.0</v>
      </c>
      <c r="I3" s="29">
        <v>8.0</v>
      </c>
      <c r="J3" s="26">
        <v>600.0</v>
      </c>
      <c r="K3" s="29">
        <v>4096.0</v>
      </c>
      <c r="L3" s="29" t="s">
        <v>113</v>
      </c>
      <c r="M3" s="29">
        <v>1.0</v>
      </c>
      <c r="N3" s="29">
        <v>1.0</v>
      </c>
      <c r="O3" s="29">
        <v>1.0</v>
      </c>
      <c r="P3" s="35">
        <v>0.4</v>
      </c>
      <c r="Q3" s="37">
        <v>0.4</v>
      </c>
      <c r="R3" s="34">
        <v>0.52</v>
      </c>
      <c r="S3" s="34">
        <v>1.0</v>
      </c>
      <c r="T3" s="34">
        <v>2.0</v>
      </c>
      <c r="U3" s="34">
        <v>50.0</v>
      </c>
      <c r="V3" s="34">
        <v>6.5</v>
      </c>
      <c r="W3" s="35">
        <v>53.23</v>
      </c>
      <c r="X3" s="37">
        <v>18.65</v>
      </c>
      <c r="Y3" s="32">
        <v>0.13</v>
      </c>
      <c r="Z3" s="32">
        <v>12.0</v>
      </c>
      <c r="AA3" s="43">
        <v>0.7</v>
      </c>
      <c r="AB3" s="43">
        <f t="shared" si="1"/>
        <v>0.7</v>
      </c>
      <c r="AC3" s="43">
        <v>0.9</v>
      </c>
      <c r="AD3" s="43">
        <f t="shared" si="2"/>
        <v>0.9</v>
      </c>
      <c r="AE3" s="29">
        <v>40.0</v>
      </c>
      <c r="AF3" s="45">
        <v>20.0</v>
      </c>
      <c r="AG3" s="29">
        <v>0.0</v>
      </c>
      <c r="AH3" s="34">
        <v>68.0</v>
      </c>
      <c r="AI3" s="34">
        <v>5.0</v>
      </c>
      <c r="AJ3" s="34">
        <v>12.0</v>
      </c>
      <c r="AK3" s="34">
        <v>55.0</v>
      </c>
      <c r="AL3" s="34">
        <v>36.0</v>
      </c>
      <c r="AM3" s="57">
        <v>53.23</v>
      </c>
      <c r="AN3" s="32">
        <v>0.15</v>
      </c>
      <c r="AO3" s="32">
        <v>35.0</v>
      </c>
      <c r="AP3" s="49">
        <v>50.0</v>
      </c>
      <c r="AQ3" s="45">
        <v>45.0</v>
      </c>
      <c r="AR3" s="51">
        <v>6.0</v>
      </c>
      <c r="AS3" s="51">
        <v>220.0</v>
      </c>
      <c r="AT3" s="51">
        <v>1.0</v>
      </c>
      <c r="AU3" s="51"/>
      <c r="AV3" s="51"/>
      <c r="AW3" s="53">
        <v>0.4</v>
      </c>
      <c r="AX3" s="53"/>
      <c r="AY3" s="53"/>
    </row>
    <row r="4" ht="15.75" customHeight="1">
      <c r="A4" s="28" t="s">
        <v>120</v>
      </c>
      <c r="B4" s="30">
        <v>1.15</v>
      </c>
      <c r="C4" s="29">
        <v>38.0</v>
      </c>
      <c r="D4" s="30">
        <v>0.79</v>
      </c>
      <c r="E4" s="32">
        <v>0.12</v>
      </c>
      <c r="F4" s="29">
        <v>1.0</v>
      </c>
      <c r="G4" s="26">
        <v>300.0</v>
      </c>
      <c r="H4" s="29">
        <v>240.0</v>
      </c>
      <c r="I4" s="29">
        <v>30.0</v>
      </c>
      <c r="J4" s="26">
        <v>400.0</v>
      </c>
      <c r="K4" s="29">
        <v>4096.0</v>
      </c>
      <c r="L4" s="29" t="s">
        <v>113</v>
      </c>
      <c r="M4" s="29">
        <v>0.0</v>
      </c>
      <c r="N4" s="29">
        <v>1.0</v>
      </c>
      <c r="O4" s="29">
        <v>0.0</v>
      </c>
      <c r="P4" s="35">
        <v>0.5</v>
      </c>
      <c r="Q4" s="37">
        <v>0.65</v>
      </c>
      <c r="R4" s="34">
        <v>2.0</v>
      </c>
      <c r="S4" s="34">
        <v>5.25</v>
      </c>
      <c r="T4" s="34">
        <v>7.0</v>
      </c>
      <c r="U4" s="34">
        <v>11.16</v>
      </c>
      <c r="V4" s="34">
        <v>17.85</v>
      </c>
      <c r="W4" s="35">
        <v>158.419998</v>
      </c>
      <c r="X4" s="37">
        <v>95.860001</v>
      </c>
      <c r="Y4" s="32">
        <v>0.255</v>
      </c>
      <c r="Z4" s="32">
        <v>102.0</v>
      </c>
      <c r="AA4" s="43">
        <v>0.437491</v>
      </c>
      <c r="AB4" s="43">
        <f t="shared" si="1"/>
        <v>0.437491</v>
      </c>
      <c r="AC4" s="43">
        <v>0.524989</v>
      </c>
      <c r="AD4" s="43">
        <f t="shared" si="2"/>
        <v>0.524989</v>
      </c>
      <c r="AE4" s="29">
        <v>20.0</v>
      </c>
      <c r="AF4" s="45">
        <v>27.0</v>
      </c>
      <c r="AG4" s="29">
        <v>4.0</v>
      </c>
      <c r="AH4" s="34">
        <v>2.0</v>
      </c>
      <c r="AI4" s="34">
        <v>7.5</v>
      </c>
      <c r="AJ4" s="34">
        <v>10.0</v>
      </c>
      <c r="AK4" s="34">
        <v>11.96</v>
      </c>
      <c r="AL4" s="34">
        <v>17.85</v>
      </c>
      <c r="AM4" s="57">
        <v>158.419998</v>
      </c>
      <c r="AN4" s="32">
        <v>0.255</v>
      </c>
      <c r="AO4" s="32">
        <v>102.0</v>
      </c>
      <c r="AP4" s="49">
        <v>20.0</v>
      </c>
      <c r="AQ4" s="45">
        <v>27.0</v>
      </c>
      <c r="AR4" s="51">
        <v>4.0</v>
      </c>
      <c r="AS4" s="51">
        <v>240.0</v>
      </c>
      <c r="AT4" s="51">
        <v>0.0</v>
      </c>
      <c r="AU4" s="51"/>
      <c r="AV4" s="51"/>
      <c r="AW4" s="53"/>
      <c r="AX4" s="53"/>
      <c r="AY4" s="53"/>
    </row>
    <row r="5" ht="15.75" customHeight="1">
      <c r="A5" s="61" t="s">
        <v>122</v>
      </c>
      <c r="B5" s="30">
        <v>1.823</v>
      </c>
      <c r="C5" s="29">
        <v>32.0</v>
      </c>
      <c r="D5" s="30">
        <v>0.81</v>
      </c>
      <c r="E5" s="32">
        <v>0.15</v>
      </c>
      <c r="F5" s="29">
        <v>1.0</v>
      </c>
      <c r="G5" s="26">
        <v>300.0</v>
      </c>
      <c r="H5" s="29">
        <v>240.0</v>
      </c>
      <c r="I5" s="29">
        <v>20.0</v>
      </c>
      <c r="J5" s="26">
        <v>500.0</v>
      </c>
      <c r="K5" s="29">
        <v>4096.0</v>
      </c>
      <c r="L5" s="29" t="s">
        <v>113</v>
      </c>
      <c r="M5" s="29">
        <v>0.0</v>
      </c>
      <c r="N5" s="29">
        <v>1.0</v>
      </c>
      <c r="O5" s="29">
        <v>1.0</v>
      </c>
      <c r="P5" s="35">
        <v>0.5</v>
      </c>
      <c r="Q5" s="37">
        <v>0.65</v>
      </c>
      <c r="R5" s="34">
        <v>2.0</v>
      </c>
      <c r="S5" s="34">
        <v>6.83</v>
      </c>
      <c r="T5" s="34">
        <v>9.1</v>
      </c>
      <c r="U5" s="34">
        <v>25.0</v>
      </c>
      <c r="V5" s="34">
        <v>40.0</v>
      </c>
      <c r="W5" s="35">
        <v>89.699997</v>
      </c>
      <c r="X5" s="37">
        <v>99.879997</v>
      </c>
      <c r="Y5" s="32">
        <v>0.19</v>
      </c>
      <c r="Z5" s="32">
        <v>138.0</v>
      </c>
      <c r="AA5" s="43">
        <v>0.2</v>
      </c>
      <c r="AB5" s="43">
        <v>0.5</v>
      </c>
      <c r="AC5" s="43">
        <v>0.2</v>
      </c>
      <c r="AD5" s="43">
        <v>0.5</v>
      </c>
      <c r="AE5" s="29">
        <v>5.0</v>
      </c>
      <c r="AF5" s="45">
        <v>25.0</v>
      </c>
      <c r="AG5" s="29">
        <v>4.0</v>
      </c>
      <c r="AH5" s="34"/>
      <c r="AI5" s="34"/>
      <c r="AJ5" s="34"/>
      <c r="AK5" s="34"/>
      <c r="AL5" s="34"/>
      <c r="AM5" s="48"/>
      <c r="AN5" s="32"/>
      <c r="AO5" s="32"/>
      <c r="AP5" s="49"/>
      <c r="AQ5" s="45"/>
      <c r="AR5" s="51"/>
      <c r="AS5" s="51"/>
      <c r="AT5" s="51"/>
      <c r="AU5" s="51"/>
      <c r="AV5" s="51"/>
      <c r="AW5" s="53"/>
      <c r="AX5" s="53"/>
      <c r="AY5" s="53"/>
    </row>
    <row r="6" ht="15.75" customHeight="1">
      <c r="A6" s="66" t="s">
        <v>124</v>
      </c>
      <c r="B6" s="30">
        <v>0.94</v>
      </c>
      <c r="C6" s="29">
        <v>30.0</v>
      </c>
      <c r="D6" s="30">
        <v>0.85</v>
      </c>
      <c r="E6" s="32">
        <v>0.15</v>
      </c>
      <c r="F6" s="29">
        <v>1.0</v>
      </c>
      <c r="G6" s="26">
        <v>300.0</v>
      </c>
      <c r="H6" s="29">
        <v>240.0</v>
      </c>
      <c r="I6" s="29">
        <v>20.0</v>
      </c>
      <c r="J6" s="26">
        <v>200.0</v>
      </c>
      <c r="K6" s="29">
        <v>4096.0</v>
      </c>
      <c r="L6" s="29" t="s">
        <v>113</v>
      </c>
      <c r="M6" s="29">
        <v>0.0</v>
      </c>
      <c r="N6" s="29">
        <v>1.0</v>
      </c>
      <c r="O6" s="29">
        <v>1.0</v>
      </c>
      <c r="P6" s="35">
        <v>0.5</v>
      </c>
      <c r="Q6" s="37">
        <v>0.65</v>
      </c>
      <c r="R6" s="34">
        <v>2.0</v>
      </c>
      <c r="S6" s="34">
        <v>4.2</v>
      </c>
      <c r="T6" s="34">
        <v>5.6</v>
      </c>
      <c r="U6" s="34">
        <v>56.0</v>
      </c>
      <c r="V6" s="34">
        <v>10.0</v>
      </c>
      <c r="W6" s="35">
        <v>87.870003</v>
      </c>
      <c r="X6" s="37">
        <v>96.620003</v>
      </c>
      <c r="Y6" s="32">
        <v>0.185</v>
      </c>
      <c r="Z6" s="32">
        <v>137.0</v>
      </c>
      <c r="AA6" s="43">
        <v>0.2</v>
      </c>
      <c r="AB6" s="43">
        <v>0.33</v>
      </c>
      <c r="AC6" s="43">
        <v>0.2</v>
      </c>
      <c r="AD6" s="43">
        <v>0.33</v>
      </c>
      <c r="AE6" s="29">
        <v>20.0</v>
      </c>
      <c r="AF6" s="45">
        <v>18.0</v>
      </c>
      <c r="AG6" s="29">
        <v>0.0</v>
      </c>
      <c r="AH6" s="34">
        <v>15.0</v>
      </c>
      <c r="AI6" s="34">
        <v>3.0</v>
      </c>
      <c r="AJ6" s="34">
        <v>5.6</v>
      </c>
      <c r="AK6" s="34">
        <v>45.0</v>
      </c>
      <c r="AL6" s="34">
        <v>12.95</v>
      </c>
      <c r="AM6" s="57">
        <v>87.870003</v>
      </c>
      <c r="AN6" s="32">
        <v>0.185</v>
      </c>
      <c r="AO6" s="32">
        <v>119.25</v>
      </c>
      <c r="AP6" s="49">
        <v>20.0</v>
      </c>
      <c r="AQ6" s="45">
        <v>30.0</v>
      </c>
      <c r="AR6" s="29">
        <v>5.0</v>
      </c>
      <c r="AS6" s="51">
        <v>240.0</v>
      </c>
      <c r="AT6" s="51">
        <v>1.0</v>
      </c>
      <c r="AU6" s="51"/>
      <c r="AV6" s="51"/>
      <c r="AW6" s="53"/>
      <c r="AX6" s="34">
        <v>0.5</v>
      </c>
      <c r="AY6" s="34">
        <v>0.05</v>
      </c>
    </row>
    <row r="7" ht="15.75" customHeight="1">
      <c r="A7" s="61" t="s">
        <v>125</v>
      </c>
      <c r="B7" s="30">
        <v>1.01</v>
      </c>
      <c r="C7" s="29">
        <v>35.0</v>
      </c>
      <c r="D7" s="30">
        <v>0.91</v>
      </c>
      <c r="E7" s="32">
        <v>0.17</v>
      </c>
      <c r="F7" s="29">
        <v>1.0</v>
      </c>
      <c r="G7" s="26">
        <v>300.0</v>
      </c>
      <c r="H7" s="29">
        <v>240.0</v>
      </c>
      <c r="I7" s="29">
        <v>13.0</v>
      </c>
      <c r="J7" s="26">
        <v>200.0</v>
      </c>
      <c r="K7" s="29">
        <v>4096.0</v>
      </c>
      <c r="L7" s="29" t="s">
        <v>113</v>
      </c>
      <c r="M7" s="29">
        <v>0.0</v>
      </c>
      <c r="N7" s="29">
        <v>1.0</v>
      </c>
      <c r="O7" s="29">
        <v>1.0</v>
      </c>
      <c r="P7" s="35">
        <v>0.5</v>
      </c>
      <c r="Q7" s="37">
        <v>0.65</v>
      </c>
      <c r="R7" s="34">
        <v>2.0</v>
      </c>
      <c r="S7" s="34">
        <v>3.68</v>
      </c>
      <c r="T7" s="34">
        <v>4.9</v>
      </c>
      <c r="U7" s="34">
        <v>50.0</v>
      </c>
      <c r="V7" s="34">
        <v>13.0</v>
      </c>
      <c r="W7" s="35">
        <v>94.480003</v>
      </c>
      <c r="X7" s="37">
        <v>96.599998</v>
      </c>
      <c r="Y7" s="32">
        <v>0.191</v>
      </c>
      <c r="Z7" s="32">
        <v>138.32</v>
      </c>
      <c r="AA7" s="43">
        <v>0.291277</v>
      </c>
      <c r="AB7" s="43">
        <f t="shared" ref="AB7:AB9" si="3">AA7</f>
        <v>0.291277</v>
      </c>
      <c r="AC7" s="43">
        <v>0.349532</v>
      </c>
      <c r="AD7" s="43">
        <f t="shared" ref="AD7:AD9" si="4">AC7</f>
        <v>0.349532</v>
      </c>
      <c r="AE7" s="29">
        <v>0.0</v>
      </c>
      <c r="AF7" s="45">
        <v>26.0</v>
      </c>
      <c r="AG7" s="29">
        <v>0.0</v>
      </c>
      <c r="AH7" s="34"/>
      <c r="AI7" s="34"/>
      <c r="AJ7" s="34"/>
      <c r="AK7" s="34"/>
      <c r="AL7" s="34"/>
      <c r="AM7" s="57"/>
      <c r="AN7" s="32"/>
      <c r="AO7" s="32"/>
      <c r="AP7" s="49"/>
      <c r="AQ7" s="45"/>
      <c r="AR7" s="51"/>
      <c r="AS7" s="51"/>
      <c r="AT7" s="51"/>
      <c r="AU7" s="51"/>
      <c r="AV7" s="51"/>
      <c r="AW7" s="53"/>
      <c r="AX7" s="53"/>
      <c r="AY7" s="53"/>
    </row>
    <row r="8" ht="15.75" customHeight="1">
      <c r="A8" s="61" t="s">
        <v>127</v>
      </c>
      <c r="B8" s="30">
        <v>1.01</v>
      </c>
      <c r="C8" s="29">
        <v>35.0</v>
      </c>
      <c r="D8" s="30">
        <v>0.91</v>
      </c>
      <c r="E8" s="32">
        <v>0.17</v>
      </c>
      <c r="F8" s="29">
        <v>1.0</v>
      </c>
      <c r="G8" s="26">
        <v>300.0</v>
      </c>
      <c r="H8" s="29">
        <v>240.0</v>
      </c>
      <c r="I8" s="29">
        <v>12.0</v>
      </c>
      <c r="J8" s="26">
        <v>200.0</v>
      </c>
      <c r="K8" s="29">
        <v>4096.0</v>
      </c>
      <c r="L8" s="29" t="s">
        <v>113</v>
      </c>
      <c r="M8" s="29">
        <v>0.0</v>
      </c>
      <c r="N8" s="29">
        <v>1.0</v>
      </c>
      <c r="O8" s="29">
        <v>1.0</v>
      </c>
      <c r="P8" s="35">
        <v>0.5</v>
      </c>
      <c r="Q8" s="37">
        <v>0.65</v>
      </c>
      <c r="R8" s="34">
        <v>2.5</v>
      </c>
      <c r="S8" s="34">
        <v>3.68</v>
      </c>
      <c r="T8" s="34">
        <v>4.9</v>
      </c>
      <c r="U8" s="34">
        <v>71.0</v>
      </c>
      <c r="V8" s="34">
        <v>13.87</v>
      </c>
      <c r="W8" s="35">
        <v>94.480003</v>
      </c>
      <c r="X8" s="37">
        <v>96.599998</v>
      </c>
      <c r="Y8" s="32">
        <v>0.191</v>
      </c>
      <c r="Z8" s="32">
        <v>138.32</v>
      </c>
      <c r="AA8" s="43">
        <v>0.291277</v>
      </c>
      <c r="AB8" s="43">
        <f t="shared" si="3"/>
        <v>0.291277</v>
      </c>
      <c r="AC8" s="43">
        <v>0.349532</v>
      </c>
      <c r="AD8" s="43">
        <f t="shared" si="4"/>
        <v>0.349532</v>
      </c>
      <c r="AE8" s="29">
        <v>0.0</v>
      </c>
      <c r="AF8" s="45">
        <v>29.0</v>
      </c>
      <c r="AG8" s="29">
        <v>0.0</v>
      </c>
      <c r="AH8" s="34">
        <v>1.5</v>
      </c>
      <c r="AI8" s="34">
        <v>3.68</v>
      </c>
      <c r="AJ8" s="34">
        <v>4.9</v>
      </c>
      <c r="AK8" s="34">
        <v>52.0</v>
      </c>
      <c r="AL8" s="34">
        <v>13.87</v>
      </c>
      <c r="AM8" s="57">
        <v>94.480003</v>
      </c>
      <c r="AN8" s="32">
        <v>0.198</v>
      </c>
      <c r="AO8" s="32">
        <v>119.9</v>
      </c>
      <c r="AP8" s="49">
        <v>0.0</v>
      </c>
      <c r="AQ8" s="45">
        <v>23.0</v>
      </c>
      <c r="AR8" s="51">
        <v>0.0</v>
      </c>
      <c r="AS8" s="51">
        <v>240.0</v>
      </c>
      <c r="AT8" s="29">
        <v>0.0</v>
      </c>
      <c r="AU8" s="51"/>
      <c r="AV8" s="51"/>
      <c r="AW8" s="53"/>
      <c r="AX8" s="53"/>
      <c r="AY8" s="53"/>
    </row>
    <row r="9" ht="15.75" customHeight="1">
      <c r="A9" s="28" t="s">
        <v>129</v>
      </c>
      <c r="B9" s="30">
        <v>1.28</v>
      </c>
      <c r="C9" s="29">
        <v>38.0</v>
      </c>
      <c r="D9" s="30">
        <v>0.9</v>
      </c>
      <c r="E9" s="32">
        <v>0.15</v>
      </c>
      <c r="F9" s="29">
        <v>1.0</v>
      </c>
      <c r="G9" s="26">
        <v>300.0</v>
      </c>
      <c r="H9" s="29">
        <v>240.0</v>
      </c>
      <c r="I9" s="29">
        <v>13.0</v>
      </c>
      <c r="J9" s="26">
        <v>300.0</v>
      </c>
      <c r="K9" s="29">
        <v>4096.0</v>
      </c>
      <c r="L9" s="29" t="s">
        <v>113</v>
      </c>
      <c r="M9" s="29">
        <v>0.0</v>
      </c>
      <c r="N9" s="29">
        <v>1.0</v>
      </c>
      <c r="O9" s="29">
        <v>1.0</v>
      </c>
      <c r="P9" s="35">
        <v>0.5</v>
      </c>
      <c r="Q9" s="37">
        <v>0.65</v>
      </c>
      <c r="R9" s="34">
        <v>2.0</v>
      </c>
      <c r="S9" s="34">
        <v>6.83</v>
      </c>
      <c r="T9" s="34">
        <v>9.1</v>
      </c>
      <c r="U9" s="34">
        <v>52.45</v>
      </c>
      <c r="V9" s="34">
        <v>20.0</v>
      </c>
      <c r="W9" s="35">
        <v>92.959999</v>
      </c>
      <c r="X9" s="37">
        <v>96.620003</v>
      </c>
      <c r="Y9" s="32">
        <v>0.19</v>
      </c>
      <c r="Z9" s="32">
        <v>138.0</v>
      </c>
      <c r="AA9" s="43">
        <v>0.287823</v>
      </c>
      <c r="AB9" s="43">
        <f t="shared" si="3"/>
        <v>0.287823</v>
      </c>
      <c r="AC9" s="43">
        <v>0.345388</v>
      </c>
      <c r="AD9" s="43">
        <f t="shared" si="4"/>
        <v>0.345388</v>
      </c>
      <c r="AE9" s="29">
        <v>10.0</v>
      </c>
      <c r="AF9" s="45">
        <v>26.0</v>
      </c>
      <c r="AG9" s="29">
        <v>3.0</v>
      </c>
      <c r="AH9" s="34"/>
      <c r="AI9" s="34"/>
      <c r="AJ9" s="34"/>
      <c r="AK9" s="34"/>
      <c r="AL9" s="34"/>
      <c r="AM9" s="48"/>
      <c r="AN9" s="32"/>
      <c r="AO9" s="32"/>
      <c r="AP9" s="49"/>
      <c r="AQ9" s="45"/>
      <c r="AR9" s="51"/>
      <c r="AS9" s="51"/>
      <c r="AT9" s="51"/>
      <c r="AU9" s="51"/>
      <c r="AV9" s="51"/>
      <c r="AW9" s="53"/>
      <c r="AX9" s="53"/>
      <c r="AY9" s="53"/>
    </row>
    <row r="10" ht="15.75" customHeight="1">
      <c r="A10" s="28" t="s">
        <v>131</v>
      </c>
      <c r="B10" s="30">
        <v>1.553</v>
      </c>
      <c r="C10" s="29">
        <v>31.0</v>
      </c>
      <c r="D10" s="30">
        <v>0.85</v>
      </c>
      <c r="E10" s="32">
        <v>0.1</v>
      </c>
      <c r="F10" s="29">
        <v>1.0</v>
      </c>
      <c r="G10" s="26">
        <v>100.0</v>
      </c>
      <c r="H10" s="29">
        <v>240.0</v>
      </c>
      <c r="I10" s="29">
        <v>12.0</v>
      </c>
      <c r="J10" s="26">
        <v>500.0</v>
      </c>
      <c r="K10" s="29">
        <v>4096.0</v>
      </c>
      <c r="L10" s="29" t="s">
        <v>113</v>
      </c>
      <c r="M10" s="29">
        <v>1.0</v>
      </c>
      <c r="N10" s="29">
        <v>1.0</v>
      </c>
      <c r="O10" s="29">
        <v>1.0</v>
      </c>
      <c r="P10" s="35">
        <v>0.5</v>
      </c>
      <c r="Q10" s="37">
        <v>0.65</v>
      </c>
      <c r="R10" s="34">
        <v>3.0</v>
      </c>
      <c r="S10" s="34">
        <v>7.6</v>
      </c>
      <c r="T10" s="34">
        <v>10.43</v>
      </c>
      <c r="U10" s="34">
        <v>35.0</v>
      </c>
      <c r="V10" s="34">
        <v>13.41</v>
      </c>
      <c r="W10" s="35">
        <v>92.959999</v>
      </c>
      <c r="X10" s="37">
        <v>96.620003</v>
      </c>
      <c r="Y10" s="32">
        <v>0.19</v>
      </c>
      <c r="Z10" s="32">
        <v>138.0</v>
      </c>
      <c r="AA10" s="59">
        <v>0.2275</v>
      </c>
      <c r="AB10" s="74">
        <v>0.287823</v>
      </c>
      <c r="AC10" s="74">
        <v>0.2425</v>
      </c>
      <c r="AD10" s="74">
        <v>0.345388</v>
      </c>
      <c r="AE10" s="29">
        <v>120.0</v>
      </c>
      <c r="AF10" s="45">
        <v>31.0</v>
      </c>
      <c r="AG10" s="29">
        <v>6.0</v>
      </c>
      <c r="AH10" s="34"/>
      <c r="AI10" s="34"/>
      <c r="AJ10" s="34"/>
      <c r="AK10" s="34"/>
      <c r="AL10" s="34"/>
      <c r="AM10" s="48"/>
      <c r="AN10" s="32"/>
      <c r="AO10" s="32"/>
      <c r="AP10" s="49"/>
      <c r="AQ10" s="45"/>
      <c r="AR10" s="51"/>
      <c r="AS10" s="51"/>
      <c r="AT10" s="51"/>
      <c r="AU10" s="51"/>
      <c r="AV10" s="51"/>
      <c r="AW10" s="53"/>
      <c r="AX10" s="53"/>
      <c r="AY10" s="53"/>
    </row>
    <row r="11" ht="15.75" customHeight="1">
      <c r="A11" s="66" t="s">
        <v>132</v>
      </c>
      <c r="B11" s="30">
        <v>1.812</v>
      </c>
      <c r="C11" s="29">
        <v>33.0</v>
      </c>
      <c r="D11" s="30">
        <v>0.79</v>
      </c>
      <c r="E11" s="32">
        <v>0.12</v>
      </c>
      <c r="F11" s="29">
        <v>1.0</v>
      </c>
      <c r="G11" s="26">
        <v>300.0</v>
      </c>
      <c r="H11" s="29">
        <v>240.0</v>
      </c>
      <c r="I11" s="29">
        <v>18.0</v>
      </c>
      <c r="J11" s="26">
        <v>500.0</v>
      </c>
      <c r="K11" s="29">
        <v>4096.0</v>
      </c>
      <c r="L11" s="29" t="s">
        <v>113</v>
      </c>
      <c r="M11" s="29">
        <v>0.0</v>
      </c>
      <c r="N11" s="29">
        <v>1.0</v>
      </c>
      <c r="O11" s="29">
        <v>1.0</v>
      </c>
      <c r="P11" s="35">
        <v>0.5</v>
      </c>
      <c r="Q11" s="37">
        <v>0.65</v>
      </c>
      <c r="R11" s="34">
        <v>2.0</v>
      </c>
      <c r="S11" s="34">
        <v>3.68</v>
      </c>
      <c r="T11" s="34">
        <v>4.9</v>
      </c>
      <c r="U11" s="34">
        <v>95.0</v>
      </c>
      <c r="V11" s="34">
        <v>3.81</v>
      </c>
      <c r="W11" s="35">
        <v>79.779999</v>
      </c>
      <c r="X11" s="37">
        <v>71.169998</v>
      </c>
      <c r="Y11" s="32">
        <v>0.211</v>
      </c>
      <c r="Z11" s="32">
        <v>120.6</v>
      </c>
      <c r="AA11" s="59">
        <v>0.295</v>
      </c>
      <c r="AB11" s="74">
        <v>0.322362</v>
      </c>
      <c r="AC11" s="74">
        <v>0.345</v>
      </c>
      <c r="AD11" s="74">
        <v>0.386834</v>
      </c>
      <c r="AE11" s="29">
        <v>60.0</v>
      </c>
      <c r="AF11" s="45">
        <v>23.0</v>
      </c>
      <c r="AG11" s="29">
        <v>3.0</v>
      </c>
      <c r="AH11" s="34"/>
      <c r="AI11" s="34"/>
      <c r="AJ11" s="34"/>
      <c r="AK11" s="34"/>
      <c r="AL11" s="34"/>
      <c r="AM11" s="48"/>
      <c r="AN11" s="32"/>
      <c r="AO11" s="32"/>
      <c r="AP11" s="49"/>
      <c r="AQ11" s="45"/>
      <c r="AR11" s="51"/>
      <c r="AS11" s="51"/>
      <c r="AT11" s="51"/>
      <c r="AU11" s="51"/>
      <c r="AV11" s="51"/>
      <c r="AW11" s="53"/>
      <c r="AX11" s="53"/>
      <c r="AY11" s="53"/>
    </row>
    <row r="12" ht="15.75" customHeight="1">
      <c r="A12" s="75"/>
      <c r="B12" s="76"/>
      <c r="C12" s="75"/>
      <c r="D12" s="76"/>
      <c r="E12" s="77"/>
      <c r="F12" s="75"/>
      <c r="G12" s="75"/>
      <c r="H12" s="75"/>
      <c r="I12" s="75"/>
      <c r="J12" s="75"/>
      <c r="K12" s="75"/>
      <c r="L12" s="75"/>
      <c r="M12" s="75"/>
      <c r="N12" s="75"/>
      <c r="O12" s="75"/>
      <c r="P12" s="78"/>
      <c r="Q12" s="78"/>
      <c r="R12" s="79"/>
      <c r="S12" s="79"/>
      <c r="T12" s="79"/>
      <c r="U12" s="79"/>
      <c r="V12" s="79"/>
      <c r="W12" s="80"/>
      <c r="X12" s="80"/>
      <c r="Y12" s="77"/>
      <c r="Z12" s="77"/>
      <c r="AA12" s="81"/>
      <c r="AB12" s="81"/>
      <c r="AC12" s="81"/>
      <c r="AD12" s="81"/>
      <c r="AE12" s="75"/>
      <c r="AF12" s="82"/>
      <c r="AG12" s="75"/>
      <c r="AH12" s="79"/>
      <c r="AI12" s="79"/>
      <c r="AJ12" s="79"/>
      <c r="AK12" s="79"/>
      <c r="AL12" s="79"/>
      <c r="AM12" s="83"/>
      <c r="AN12" s="77"/>
      <c r="AO12" s="77"/>
      <c r="AP12" s="84"/>
      <c r="AQ12" s="82"/>
      <c r="AR12" s="75"/>
      <c r="AS12" s="75"/>
      <c r="AT12" s="75"/>
      <c r="AU12" s="75"/>
      <c r="AV12" s="75"/>
      <c r="AW12" s="79"/>
      <c r="AX12" s="79"/>
      <c r="AY12" s="79"/>
    </row>
    <row r="13" ht="15.75" customHeight="1">
      <c r="A13" s="5" t="s">
        <v>135</v>
      </c>
      <c r="B13" s="8" t="s">
        <v>8</v>
      </c>
      <c r="C13" s="7" t="s">
        <v>15</v>
      </c>
      <c r="D13" s="8" t="s">
        <v>18</v>
      </c>
      <c r="E13" s="11" t="s">
        <v>19</v>
      </c>
      <c r="F13" s="7" t="s">
        <v>29</v>
      </c>
      <c r="G13" s="7" t="s">
        <v>30</v>
      </c>
      <c r="H13" s="7" t="s">
        <v>31</v>
      </c>
      <c r="I13" s="7" t="s">
        <v>32</v>
      </c>
      <c r="J13" s="7" t="s">
        <v>34</v>
      </c>
      <c r="K13" s="7" t="s">
        <v>36</v>
      </c>
      <c r="L13" s="7" t="s">
        <v>39</v>
      </c>
      <c r="M13" s="7" t="s">
        <v>40</v>
      </c>
      <c r="N13" s="7" t="s">
        <v>41</v>
      </c>
      <c r="O13" s="7" t="s">
        <v>42</v>
      </c>
      <c r="P13" s="16" t="s">
        <v>44</v>
      </c>
      <c r="Q13" s="18" t="s">
        <v>49</v>
      </c>
      <c r="R13" s="9" t="s">
        <v>57</v>
      </c>
      <c r="S13" s="9" t="s">
        <v>60</v>
      </c>
      <c r="T13" s="9" t="s">
        <v>62</v>
      </c>
      <c r="U13" s="9" t="s">
        <v>63</v>
      </c>
      <c r="V13" s="9" t="s">
        <v>64</v>
      </c>
      <c r="W13" s="9" t="s">
        <v>65</v>
      </c>
      <c r="X13" s="9" t="s">
        <v>66</v>
      </c>
      <c r="Y13" s="11" t="s">
        <v>68</v>
      </c>
      <c r="Z13" s="11" t="s">
        <v>69</v>
      </c>
      <c r="AA13" s="21" t="s">
        <v>70</v>
      </c>
      <c r="AB13" s="21" t="s">
        <v>71</v>
      </c>
      <c r="AC13" s="21" t="s">
        <v>72</v>
      </c>
      <c r="AD13" s="21" t="s">
        <v>73</v>
      </c>
      <c r="AE13" s="7" t="s">
        <v>74</v>
      </c>
      <c r="AF13" s="13" t="s">
        <v>75</v>
      </c>
      <c r="AG13" s="7" t="s">
        <v>76</v>
      </c>
      <c r="AH13" s="7" t="s">
        <v>78</v>
      </c>
      <c r="AI13" s="7" t="s">
        <v>79</v>
      </c>
      <c r="AJ13" s="7" t="s">
        <v>81</v>
      </c>
      <c r="AK13" s="7" t="s">
        <v>82</v>
      </c>
      <c r="AL13" s="7" t="s">
        <v>84</v>
      </c>
      <c r="AM13" s="86" t="s">
        <v>86</v>
      </c>
      <c r="AN13" s="7" t="s">
        <v>88</v>
      </c>
      <c r="AO13" s="7" t="s">
        <v>91</v>
      </c>
      <c r="AP13" s="24" t="s">
        <v>92</v>
      </c>
      <c r="AQ13" s="13" t="s">
        <v>93</v>
      </c>
      <c r="AR13" s="7" t="s">
        <v>94</v>
      </c>
      <c r="AS13" s="7" t="s">
        <v>95</v>
      </c>
      <c r="AT13" s="7" t="s">
        <v>96</v>
      </c>
      <c r="AU13" s="7" t="s">
        <v>98</v>
      </c>
      <c r="AV13" s="7" t="s">
        <v>99</v>
      </c>
      <c r="AW13" s="9" t="s">
        <v>101</v>
      </c>
      <c r="AX13" s="9" t="s">
        <v>102</v>
      </c>
      <c r="AY13" s="9" t="s">
        <v>103</v>
      </c>
    </row>
    <row r="14" ht="15.75" customHeight="1">
      <c r="A14" s="61" t="s">
        <v>137</v>
      </c>
      <c r="B14" s="30">
        <v>1.5</v>
      </c>
      <c r="C14" s="29">
        <v>30.0</v>
      </c>
      <c r="D14" s="30">
        <v>0.45</v>
      </c>
      <c r="E14" s="32">
        <v>0.85</v>
      </c>
      <c r="F14" s="29">
        <v>1.0</v>
      </c>
      <c r="G14" s="26">
        <v>900.0</v>
      </c>
      <c r="H14" s="29">
        <v>225.0</v>
      </c>
      <c r="I14" s="29">
        <v>5.0</v>
      </c>
      <c r="J14" s="26">
        <v>1300.0</v>
      </c>
      <c r="K14" s="29">
        <v>1400.0</v>
      </c>
      <c r="L14" s="29" t="s">
        <v>138</v>
      </c>
      <c r="M14" s="29">
        <v>0.0</v>
      </c>
      <c r="N14" s="29">
        <v>8.0</v>
      </c>
      <c r="O14" s="29">
        <v>1.0</v>
      </c>
      <c r="P14" s="35">
        <v>0.4</v>
      </c>
      <c r="Q14" s="37">
        <v>0.45</v>
      </c>
      <c r="R14" s="34">
        <v>40.0</v>
      </c>
      <c r="S14" s="34">
        <v>5.25</v>
      </c>
      <c r="T14" s="34">
        <v>7.0</v>
      </c>
      <c r="U14" s="34">
        <v>11.19</v>
      </c>
      <c r="V14" s="34">
        <v>15.99</v>
      </c>
      <c r="W14" s="35">
        <v>50.09</v>
      </c>
      <c r="X14" s="37">
        <v>52.639999</v>
      </c>
      <c r="Y14" s="32">
        <v>0.103</v>
      </c>
      <c r="Z14" s="32">
        <v>134.26</v>
      </c>
      <c r="AA14" s="43">
        <v>0.285521</v>
      </c>
      <c r="AB14" s="43">
        <f t="shared" ref="AB14:AB17" si="5">AA14</f>
        <v>0.285521</v>
      </c>
      <c r="AC14" s="43">
        <v>0.399729</v>
      </c>
      <c r="AD14" s="43">
        <f t="shared" ref="AD14:AD17" si="6">AC14</f>
        <v>0.399729</v>
      </c>
      <c r="AE14" s="29">
        <v>20.0</v>
      </c>
      <c r="AF14" s="45">
        <v>165.0</v>
      </c>
      <c r="AG14" s="29">
        <v>25.0</v>
      </c>
      <c r="AH14" s="34"/>
      <c r="AI14" s="34"/>
      <c r="AJ14" s="34"/>
      <c r="AK14" s="34"/>
      <c r="AL14" s="34"/>
      <c r="AM14" s="48"/>
      <c r="AN14" s="32"/>
      <c r="AO14" s="32"/>
      <c r="AP14" s="49"/>
      <c r="AQ14" s="45"/>
      <c r="AR14" s="51"/>
      <c r="AS14" s="51"/>
      <c r="AT14" s="51"/>
      <c r="AU14" s="51"/>
      <c r="AV14" s="51"/>
      <c r="AW14" s="53"/>
      <c r="AX14" s="53"/>
      <c r="AY14" s="53"/>
    </row>
    <row r="15" ht="15.75" customHeight="1">
      <c r="A15" s="28" t="s">
        <v>140</v>
      </c>
      <c r="B15" s="30">
        <v>1.0</v>
      </c>
      <c r="C15" s="29">
        <v>26.0</v>
      </c>
      <c r="D15" s="30">
        <v>0.7</v>
      </c>
      <c r="E15" s="32">
        <v>0.88</v>
      </c>
      <c r="F15" s="29">
        <v>1.0</v>
      </c>
      <c r="G15" s="26">
        <v>900.0</v>
      </c>
      <c r="H15" s="29">
        <v>220.0</v>
      </c>
      <c r="I15" s="29">
        <v>8.0</v>
      </c>
      <c r="J15" s="26">
        <v>1050.0</v>
      </c>
      <c r="K15" s="29">
        <v>3000.0</v>
      </c>
      <c r="L15" s="29" t="s">
        <v>138</v>
      </c>
      <c r="M15" s="29">
        <v>0.0</v>
      </c>
      <c r="N15" s="29">
        <v>9.0</v>
      </c>
      <c r="O15" s="29">
        <v>1.0</v>
      </c>
      <c r="P15" s="35">
        <v>0.4</v>
      </c>
      <c r="Q15" s="37">
        <v>0.45</v>
      </c>
      <c r="R15" s="34">
        <v>40.0</v>
      </c>
      <c r="S15" s="34">
        <v>5.25</v>
      </c>
      <c r="T15" s="34">
        <v>7.0</v>
      </c>
      <c r="U15" s="34">
        <v>9.72</v>
      </c>
      <c r="V15" s="34">
        <v>36.75</v>
      </c>
      <c r="W15" s="35">
        <v>126.309998</v>
      </c>
      <c r="X15" s="37">
        <v>109.699997</v>
      </c>
      <c r="Y15" s="32">
        <v>0.236</v>
      </c>
      <c r="Z15" s="32">
        <v>78.75</v>
      </c>
      <c r="AA15" s="43">
        <v>0.328941</v>
      </c>
      <c r="AB15" s="43">
        <f t="shared" si="5"/>
        <v>0.328941</v>
      </c>
      <c r="AC15" s="43">
        <v>0.460517</v>
      </c>
      <c r="AD15" s="43">
        <f t="shared" si="6"/>
        <v>0.460517</v>
      </c>
      <c r="AE15" s="29">
        <v>20.0</v>
      </c>
      <c r="AF15" s="45">
        <v>143.0</v>
      </c>
      <c r="AG15" s="29">
        <v>22.0</v>
      </c>
      <c r="AH15" s="34"/>
      <c r="AI15" s="34"/>
      <c r="AJ15" s="34"/>
      <c r="AK15" s="34"/>
      <c r="AL15" s="34"/>
      <c r="AM15" s="48"/>
      <c r="AN15" s="32"/>
      <c r="AO15" s="32"/>
      <c r="AP15" s="49"/>
      <c r="AQ15" s="45"/>
      <c r="AR15" s="51"/>
      <c r="AS15" s="51"/>
      <c r="AT15" s="51"/>
      <c r="AU15" s="51"/>
      <c r="AV15" s="51"/>
      <c r="AW15" s="53"/>
      <c r="AX15" s="53"/>
      <c r="AY15" s="53"/>
    </row>
    <row r="16" ht="15.75" customHeight="1">
      <c r="A16" s="66" t="s">
        <v>142</v>
      </c>
      <c r="B16" s="30">
        <v>1.5</v>
      </c>
      <c r="C16" s="29">
        <v>32.0</v>
      </c>
      <c r="D16" s="30">
        <v>0.45</v>
      </c>
      <c r="E16" s="32">
        <v>0.85</v>
      </c>
      <c r="F16" s="29">
        <v>1.0</v>
      </c>
      <c r="G16" s="26">
        <v>900.0</v>
      </c>
      <c r="H16" s="29">
        <v>210.0</v>
      </c>
      <c r="I16" s="29">
        <v>7.0</v>
      </c>
      <c r="J16" s="26">
        <v>1100.0</v>
      </c>
      <c r="K16" s="29">
        <v>1400.0</v>
      </c>
      <c r="L16" s="29" t="s">
        <v>138</v>
      </c>
      <c r="M16" s="29">
        <v>0.0</v>
      </c>
      <c r="N16" s="29">
        <v>8.0</v>
      </c>
      <c r="O16" s="29">
        <v>1.0</v>
      </c>
      <c r="P16" s="35">
        <v>0.4</v>
      </c>
      <c r="Q16" s="37">
        <v>0.45</v>
      </c>
      <c r="R16" s="34">
        <v>62.0</v>
      </c>
      <c r="S16" s="34">
        <v>5.25</v>
      </c>
      <c r="T16" s="34">
        <v>7.0</v>
      </c>
      <c r="U16" s="34">
        <v>9.72</v>
      </c>
      <c r="V16" s="34">
        <v>16.8</v>
      </c>
      <c r="W16" s="35">
        <v>57.700001</v>
      </c>
      <c r="X16" s="37">
        <v>50.119999</v>
      </c>
      <c r="Y16" s="32">
        <v>0.108</v>
      </c>
      <c r="Z16" s="32">
        <v>36.0</v>
      </c>
      <c r="AA16" s="43">
        <v>0.328941</v>
      </c>
      <c r="AB16" s="43">
        <f t="shared" si="5"/>
        <v>0.328941</v>
      </c>
      <c r="AC16" s="43">
        <v>0.460517</v>
      </c>
      <c r="AD16" s="43">
        <f t="shared" si="6"/>
        <v>0.460517</v>
      </c>
      <c r="AE16" s="29">
        <v>20.0</v>
      </c>
      <c r="AF16" s="45">
        <v>143.0</v>
      </c>
      <c r="AG16" s="29">
        <v>22.0</v>
      </c>
      <c r="AH16" s="34"/>
      <c r="AI16" s="34"/>
      <c r="AJ16" s="34"/>
      <c r="AK16" s="34"/>
      <c r="AL16" s="34"/>
      <c r="AM16" s="48"/>
      <c r="AN16" s="32"/>
      <c r="AO16" s="32"/>
      <c r="AP16" s="49"/>
      <c r="AQ16" s="45"/>
      <c r="AR16" s="51"/>
      <c r="AS16" s="51"/>
      <c r="AT16" s="51"/>
      <c r="AU16" s="51"/>
      <c r="AV16" s="51"/>
      <c r="AW16" s="53"/>
      <c r="AX16" s="53"/>
      <c r="AY16" s="53"/>
    </row>
    <row r="17" ht="15.75" customHeight="1">
      <c r="A17" s="28" t="s">
        <v>143</v>
      </c>
      <c r="B17" s="30">
        <v>1.6</v>
      </c>
      <c r="C17" s="29">
        <v>20.0</v>
      </c>
      <c r="D17" s="30">
        <v>0.7</v>
      </c>
      <c r="E17" s="32">
        <v>0.35</v>
      </c>
      <c r="F17" s="29">
        <v>1.0</v>
      </c>
      <c r="G17" s="26">
        <v>900.0</v>
      </c>
      <c r="H17" s="29">
        <v>215.0</v>
      </c>
      <c r="I17" s="29">
        <v>7.0</v>
      </c>
      <c r="J17" s="26">
        <v>2000.0</v>
      </c>
      <c r="K17" s="29">
        <v>3000.0</v>
      </c>
      <c r="L17" s="29" t="s">
        <v>138</v>
      </c>
      <c r="M17" s="29">
        <v>1.0</v>
      </c>
      <c r="N17" s="29">
        <v>6.0</v>
      </c>
      <c r="O17" s="29">
        <v>1.0</v>
      </c>
      <c r="P17" s="35">
        <v>0.4</v>
      </c>
      <c r="Q17" s="37">
        <v>0.45</v>
      </c>
      <c r="R17" s="34">
        <v>38.0</v>
      </c>
      <c r="S17" s="34">
        <v>5.25</v>
      </c>
      <c r="T17" s="34">
        <v>7.0</v>
      </c>
      <c r="U17" s="34">
        <v>8.83</v>
      </c>
      <c r="V17" s="34">
        <v>36.03</v>
      </c>
      <c r="W17" s="35">
        <v>130.830002</v>
      </c>
      <c r="X17" s="37">
        <v>100.379997</v>
      </c>
      <c r="Y17" s="32">
        <v>0.232</v>
      </c>
      <c r="Z17" s="32">
        <v>77.21</v>
      </c>
      <c r="AA17" s="43">
        <v>0.361835</v>
      </c>
      <c r="AB17" s="43">
        <f t="shared" si="5"/>
        <v>0.361835</v>
      </c>
      <c r="AC17" s="43">
        <v>0.506569</v>
      </c>
      <c r="AD17" s="43">
        <f t="shared" si="6"/>
        <v>0.506569</v>
      </c>
      <c r="AE17" s="29">
        <v>20.0</v>
      </c>
      <c r="AF17" s="45">
        <v>80.0</v>
      </c>
      <c r="AG17" s="29">
        <v>20.0</v>
      </c>
      <c r="AH17" s="34"/>
      <c r="AI17" s="34"/>
      <c r="AJ17" s="34"/>
      <c r="AK17" s="34"/>
      <c r="AL17" s="34"/>
      <c r="AM17" s="48"/>
      <c r="AN17" s="32"/>
      <c r="AO17" s="32"/>
      <c r="AP17" s="49"/>
      <c r="AQ17" s="45"/>
      <c r="AR17" s="51"/>
      <c r="AS17" s="51"/>
      <c r="AT17" s="51"/>
      <c r="AU17" s="51"/>
      <c r="AV17" s="51"/>
      <c r="AW17" s="53"/>
      <c r="AX17" s="53"/>
      <c r="AY17" s="53"/>
    </row>
    <row r="18" ht="15.75" customHeight="1">
      <c r="A18" s="75"/>
      <c r="B18" s="76"/>
      <c r="C18" s="75"/>
      <c r="D18" s="76"/>
      <c r="E18" s="77"/>
      <c r="F18" s="75"/>
      <c r="G18" s="75"/>
      <c r="H18" s="75"/>
      <c r="I18" s="75"/>
      <c r="J18" s="75"/>
      <c r="K18" s="75"/>
      <c r="L18" s="75"/>
      <c r="M18" s="75"/>
      <c r="N18" s="75"/>
      <c r="O18" s="75"/>
      <c r="P18" s="78"/>
      <c r="Q18" s="78"/>
      <c r="R18" s="79"/>
      <c r="S18" s="79"/>
      <c r="T18" s="79"/>
      <c r="U18" s="79"/>
      <c r="V18" s="79"/>
      <c r="W18" s="80"/>
      <c r="X18" s="80"/>
      <c r="Y18" s="77"/>
      <c r="Z18" s="77"/>
      <c r="AA18" s="81"/>
      <c r="AB18" s="81"/>
      <c r="AC18" s="81"/>
      <c r="AD18" s="81"/>
      <c r="AE18" s="75"/>
      <c r="AF18" s="82"/>
      <c r="AG18" s="75"/>
      <c r="AH18" s="79"/>
      <c r="AI18" s="79"/>
      <c r="AJ18" s="79"/>
      <c r="AK18" s="79"/>
      <c r="AL18" s="79"/>
      <c r="AM18" s="83"/>
      <c r="AN18" s="77"/>
      <c r="AO18" s="77"/>
      <c r="AP18" s="84"/>
      <c r="AQ18" s="82"/>
      <c r="AR18" s="75"/>
      <c r="AS18" s="75"/>
      <c r="AT18" s="75"/>
      <c r="AU18" s="75"/>
      <c r="AV18" s="75"/>
      <c r="AW18" s="79"/>
      <c r="AX18" s="79"/>
      <c r="AY18" s="79"/>
    </row>
    <row r="19" ht="15.75" customHeight="1">
      <c r="A19" s="5" t="s">
        <v>145</v>
      </c>
      <c r="B19" s="8" t="s">
        <v>8</v>
      </c>
      <c r="C19" s="7" t="s">
        <v>15</v>
      </c>
      <c r="D19" s="8" t="s">
        <v>18</v>
      </c>
      <c r="E19" s="11" t="s">
        <v>19</v>
      </c>
      <c r="F19" s="7" t="s">
        <v>29</v>
      </c>
      <c r="G19" s="7" t="s">
        <v>30</v>
      </c>
      <c r="H19" s="7" t="s">
        <v>31</v>
      </c>
      <c r="I19" s="7" t="s">
        <v>32</v>
      </c>
      <c r="J19" s="7" t="s">
        <v>34</v>
      </c>
      <c r="K19" s="7" t="s">
        <v>36</v>
      </c>
      <c r="L19" s="7" t="s">
        <v>39</v>
      </c>
      <c r="M19" s="7" t="s">
        <v>40</v>
      </c>
      <c r="N19" s="7" t="s">
        <v>41</v>
      </c>
      <c r="O19" s="7" t="s">
        <v>42</v>
      </c>
      <c r="P19" s="16" t="s">
        <v>44</v>
      </c>
      <c r="Q19" s="18" t="s">
        <v>49</v>
      </c>
      <c r="R19" s="9" t="s">
        <v>57</v>
      </c>
      <c r="S19" s="9" t="s">
        <v>60</v>
      </c>
      <c r="T19" s="9" t="s">
        <v>62</v>
      </c>
      <c r="U19" s="9" t="s">
        <v>63</v>
      </c>
      <c r="V19" s="9" t="s">
        <v>64</v>
      </c>
      <c r="W19" s="9" t="s">
        <v>65</v>
      </c>
      <c r="X19" s="9" t="s">
        <v>66</v>
      </c>
      <c r="Y19" s="11" t="s">
        <v>68</v>
      </c>
      <c r="Z19" s="11" t="s">
        <v>69</v>
      </c>
      <c r="AA19" s="21" t="s">
        <v>70</v>
      </c>
      <c r="AB19" s="21" t="s">
        <v>71</v>
      </c>
      <c r="AC19" s="21" t="s">
        <v>72</v>
      </c>
      <c r="AD19" s="21" t="s">
        <v>73</v>
      </c>
      <c r="AE19" s="7" t="s">
        <v>74</v>
      </c>
      <c r="AF19" s="13" t="s">
        <v>75</v>
      </c>
      <c r="AG19" s="7" t="s">
        <v>76</v>
      </c>
      <c r="AH19" s="7" t="s">
        <v>78</v>
      </c>
      <c r="AI19" s="7" t="s">
        <v>79</v>
      </c>
      <c r="AJ19" s="7" t="s">
        <v>81</v>
      </c>
      <c r="AK19" s="7" t="s">
        <v>82</v>
      </c>
      <c r="AL19" s="7" t="s">
        <v>84</v>
      </c>
      <c r="AM19" s="86" t="s">
        <v>86</v>
      </c>
      <c r="AN19" s="7" t="s">
        <v>88</v>
      </c>
      <c r="AO19" s="7" t="s">
        <v>91</v>
      </c>
      <c r="AP19" s="24" t="s">
        <v>92</v>
      </c>
      <c r="AQ19" s="13" t="s">
        <v>93</v>
      </c>
      <c r="AR19" s="7" t="s">
        <v>94</v>
      </c>
      <c r="AS19" s="7" t="s">
        <v>95</v>
      </c>
      <c r="AT19" s="7" t="s">
        <v>96</v>
      </c>
      <c r="AU19" s="7" t="s">
        <v>98</v>
      </c>
      <c r="AV19" s="7" t="s">
        <v>99</v>
      </c>
      <c r="AW19" s="9" t="s">
        <v>101</v>
      </c>
      <c r="AX19" s="9" t="s">
        <v>102</v>
      </c>
      <c r="AY19" s="9" t="s">
        <v>103</v>
      </c>
    </row>
    <row r="20" ht="15.75" customHeight="1">
      <c r="A20" s="28" t="s">
        <v>147</v>
      </c>
      <c r="B20" s="30">
        <v>1.15</v>
      </c>
      <c r="C20" s="29">
        <v>27.0</v>
      </c>
      <c r="D20" s="30">
        <v>0.8</v>
      </c>
      <c r="E20" s="32">
        <v>0.08</v>
      </c>
      <c r="F20" s="29">
        <v>1.0</v>
      </c>
      <c r="G20" s="26">
        <v>600.0</v>
      </c>
      <c r="H20" s="29">
        <v>240.0</v>
      </c>
      <c r="I20" s="29">
        <v>64.0</v>
      </c>
      <c r="J20" s="26">
        <v>1400.0</v>
      </c>
      <c r="K20" s="29">
        <v>3600.0</v>
      </c>
      <c r="L20" s="29" t="s">
        <v>148</v>
      </c>
      <c r="M20" s="29">
        <v>1.0</v>
      </c>
      <c r="N20" s="29">
        <v>1.0</v>
      </c>
      <c r="O20" s="29">
        <v>3.0</v>
      </c>
      <c r="P20" s="35">
        <v>0.0</v>
      </c>
      <c r="Q20" s="37">
        <v>0.0</v>
      </c>
      <c r="R20" s="34">
        <v>1.0</v>
      </c>
      <c r="S20" s="34">
        <v>10.5</v>
      </c>
      <c r="T20" s="34">
        <v>14.0</v>
      </c>
      <c r="U20" s="34">
        <v>2.88</v>
      </c>
      <c r="V20" s="34">
        <v>27.57</v>
      </c>
      <c r="W20" s="35">
        <v>33.470001</v>
      </c>
      <c r="X20" s="37">
        <v>45.900002</v>
      </c>
      <c r="Y20" s="32">
        <v>0.08</v>
      </c>
      <c r="Z20" s="32">
        <v>169.65</v>
      </c>
      <c r="AA20" s="43">
        <v>0.236837</v>
      </c>
      <c r="AB20" s="43">
        <f t="shared" ref="AB20:AB26" si="7">AA20</f>
        <v>0.236837</v>
      </c>
      <c r="AC20" s="43">
        <v>0.331572</v>
      </c>
      <c r="AD20" s="43">
        <f t="shared" ref="AD20:AD26" si="8">AC20</f>
        <v>0.331572</v>
      </c>
      <c r="AE20" s="29">
        <v>70.0</v>
      </c>
      <c r="AF20" s="45">
        <v>18.0</v>
      </c>
      <c r="AG20" s="29">
        <v>1.0</v>
      </c>
      <c r="AH20" s="34"/>
      <c r="AI20" s="34"/>
      <c r="AJ20" s="34"/>
      <c r="AK20" s="34"/>
      <c r="AL20" s="34"/>
      <c r="AM20" s="48"/>
      <c r="AN20" s="32"/>
      <c r="AO20" s="32"/>
      <c r="AP20" s="49"/>
      <c r="AQ20" s="45"/>
      <c r="AR20" s="51"/>
      <c r="AS20" s="51"/>
      <c r="AT20" s="51"/>
      <c r="AU20" s="51"/>
      <c r="AV20" s="51"/>
      <c r="AW20" s="53"/>
      <c r="AX20" s="53"/>
      <c r="AY20" s="53"/>
    </row>
    <row r="21" ht="15.75" customHeight="1">
      <c r="A21" s="66" t="s">
        <v>150</v>
      </c>
      <c r="B21" s="30">
        <v>1.15</v>
      </c>
      <c r="C21" s="29">
        <v>29.0</v>
      </c>
      <c r="D21" s="30">
        <v>0.8</v>
      </c>
      <c r="E21" s="32">
        <v>0.075</v>
      </c>
      <c r="F21" s="29">
        <v>1.0</v>
      </c>
      <c r="G21" s="26">
        <v>600.0</v>
      </c>
      <c r="H21" s="29">
        <v>240.0</v>
      </c>
      <c r="I21" s="29">
        <v>30.0</v>
      </c>
      <c r="J21" s="26">
        <v>1050.0</v>
      </c>
      <c r="K21" s="29">
        <v>3600.0</v>
      </c>
      <c r="L21" s="29" t="s">
        <v>148</v>
      </c>
      <c r="M21" s="29">
        <v>1.0</v>
      </c>
      <c r="N21" s="29">
        <v>1.0</v>
      </c>
      <c r="O21" s="29">
        <v>3.0</v>
      </c>
      <c r="P21" s="35">
        <v>0.0</v>
      </c>
      <c r="Q21" s="37">
        <v>0.0</v>
      </c>
      <c r="R21" s="34">
        <v>0.6</v>
      </c>
      <c r="S21" s="34">
        <v>9.98</v>
      </c>
      <c r="T21" s="34">
        <v>13.3</v>
      </c>
      <c r="U21" s="34">
        <v>4.76</v>
      </c>
      <c r="V21" s="34">
        <v>13.99</v>
      </c>
      <c r="W21" s="35">
        <v>33.299999</v>
      </c>
      <c r="X21" s="37">
        <v>34.990002</v>
      </c>
      <c r="Y21" s="32">
        <v>0.069</v>
      </c>
      <c r="Z21" s="32">
        <v>34.26</v>
      </c>
      <c r="AA21" s="43">
        <v>0.285521</v>
      </c>
      <c r="AB21" s="43">
        <f t="shared" si="7"/>
        <v>0.285521</v>
      </c>
      <c r="AC21" s="43">
        <v>0.399729</v>
      </c>
      <c r="AD21" s="43">
        <f t="shared" si="8"/>
        <v>0.399729</v>
      </c>
      <c r="AE21" s="29">
        <v>70.0</v>
      </c>
      <c r="AF21" s="45">
        <v>18.0</v>
      </c>
      <c r="AG21" s="29">
        <v>1.0</v>
      </c>
      <c r="AH21" s="34"/>
      <c r="AI21" s="34"/>
      <c r="AJ21" s="34"/>
      <c r="AK21" s="34"/>
      <c r="AL21" s="34"/>
      <c r="AM21" s="48"/>
      <c r="AN21" s="32"/>
      <c r="AO21" s="32"/>
      <c r="AP21" s="49"/>
      <c r="AQ21" s="45"/>
      <c r="AR21" s="51"/>
      <c r="AS21" s="51"/>
      <c r="AT21" s="51"/>
      <c r="AU21" s="51"/>
      <c r="AV21" s="51"/>
      <c r="AW21" s="53"/>
      <c r="AX21" s="53"/>
      <c r="AY21" s="53"/>
    </row>
    <row r="22" ht="15.75" customHeight="1">
      <c r="A22" s="28" t="s">
        <v>152</v>
      </c>
      <c r="B22" s="30">
        <v>1.25</v>
      </c>
      <c r="C22" s="29">
        <v>29.0</v>
      </c>
      <c r="D22" s="30">
        <v>0.85</v>
      </c>
      <c r="E22" s="32">
        <v>0.08</v>
      </c>
      <c r="F22" s="29">
        <v>1.0</v>
      </c>
      <c r="G22" s="26">
        <v>600.0</v>
      </c>
      <c r="H22" s="29">
        <v>220.0</v>
      </c>
      <c r="I22" s="29">
        <v>30.0</v>
      </c>
      <c r="J22" s="26">
        <v>1500.0</v>
      </c>
      <c r="K22" s="29">
        <v>3600.0</v>
      </c>
      <c r="L22" s="29" t="s">
        <v>148</v>
      </c>
      <c r="M22" s="29">
        <v>1.0</v>
      </c>
      <c r="N22" s="29">
        <v>1.0</v>
      </c>
      <c r="O22" s="29">
        <v>3.0</v>
      </c>
      <c r="P22" s="35">
        <v>0.0</v>
      </c>
      <c r="Q22" s="37">
        <v>0.0</v>
      </c>
      <c r="R22" s="34">
        <v>0.6</v>
      </c>
      <c r="S22" s="34">
        <v>5.92</v>
      </c>
      <c r="T22" s="34">
        <v>10.0</v>
      </c>
      <c r="U22" s="34">
        <v>2.18</v>
      </c>
      <c r="V22" s="34">
        <v>19.86</v>
      </c>
      <c r="W22" s="35">
        <v>59.599998</v>
      </c>
      <c r="X22" s="37">
        <v>55.41</v>
      </c>
      <c r="Y22" s="32">
        <v>0.115</v>
      </c>
      <c r="Z22" s="32">
        <v>57.56</v>
      </c>
      <c r="AA22" s="43">
        <v>0.312494</v>
      </c>
      <c r="AB22" s="43">
        <f t="shared" si="7"/>
        <v>0.312494</v>
      </c>
      <c r="AC22" s="43">
        <v>0.437491</v>
      </c>
      <c r="AD22" s="43">
        <f t="shared" si="8"/>
        <v>0.437491</v>
      </c>
      <c r="AE22" s="29">
        <v>70.0</v>
      </c>
      <c r="AF22" s="45">
        <v>16.0</v>
      </c>
      <c r="AG22" s="29">
        <v>1.0</v>
      </c>
      <c r="AH22" s="34"/>
      <c r="AI22" s="34"/>
      <c r="AJ22" s="34"/>
      <c r="AK22" s="34"/>
      <c r="AL22" s="34"/>
      <c r="AM22" s="48"/>
      <c r="AN22" s="32"/>
      <c r="AO22" s="32"/>
      <c r="AP22" s="49"/>
      <c r="AQ22" s="45"/>
      <c r="AR22" s="51"/>
      <c r="AS22" s="51"/>
      <c r="AT22" s="51"/>
      <c r="AU22" s="51"/>
      <c r="AV22" s="51"/>
      <c r="AW22" s="53"/>
      <c r="AX22" s="53"/>
      <c r="AY22" s="53"/>
    </row>
    <row r="23" ht="15.75" customHeight="1">
      <c r="A23" s="28" t="s">
        <v>154</v>
      </c>
      <c r="B23" s="30">
        <v>1.25</v>
      </c>
      <c r="C23" s="29">
        <v>27.0</v>
      </c>
      <c r="D23" s="30">
        <v>0.85</v>
      </c>
      <c r="E23" s="32">
        <v>0.08</v>
      </c>
      <c r="F23" s="29">
        <v>1.0</v>
      </c>
      <c r="G23" s="26">
        <v>600.0</v>
      </c>
      <c r="H23" s="29">
        <v>235.0</v>
      </c>
      <c r="I23" s="29">
        <v>30.0</v>
      </c>
      <c r="J23" s="26">
        <v>1500.0</v>
      </c>
      <c r="K23" s="29">
        <v>3600.0</v>
      </c>
      <c r="L23" s="29" t="s">
        <v>148</v>
      </c>
      <c r="M23" s="29">
        <v>1.0</v>
      </c>
      <c r="N23" s="29">
        <v>1.0</v>
      </c>
      <c r="O23" s="29">
        <v>0.0</v>
      </c>
      <c r="P23" s="35">
        <v>0.0</v>
      </c>
      <c r="Q23" s="37">
        <v>0.0</v>
      </c>
      <c r="R23" s="34">
        <v>0.6</v>
      </c>
      <c r="S23" s="34">
        <v>5.92</v>
      </c>
      <c r="T23" s="34">
        <v>10.0</v>
      </c>
      <c r="U23" s="34">
        <v>2.18</v>
      </c>
      <c r="V23" s="34">
        <v>30.0</v>
      </c>
      <c r="W23" s="35">
        <v>59.599998</v>
      </c>
      <c r="X23" s="37">
        <v>55.41</v>
      </c>
      <c r="Y23" s="32">
        <v>0.115</v>
      </c>
      <c r="Z23" s="32">
        <v>57.56</v>
      </c>
      <c r="AA23" s="43">
        <v>0.312494</v>
      </c>
      <c r="AB23" s="43">
        <f t="shared" si="7"/>
        <v>0.312494</v>
      </c>
      <c r="AC23" s="43">
        <v>0.437491</v>
      </c>
      <c r="AD23" s="43">
        <f t="shared" si="8"/>
        <v>0.437491</v>
      </c>
      <c r="AE23" s="29">
        <v>70.0</v>
      </c>
      <c r="AF23" s="45">
        <v>16.0</v>
      </c>
      <c r="AG23" s="29">
        <v>1.0</v>
      </c>
      <c r="AH23" s="34"/>
      <c r="AI23" s="34"/>
      <c r="AJ23" s="34"/>
      <c r="AK23" s="34"/>
      <c r="AL23" s="34"/>
      <c r="AM23" s="48"/>
      <c r="AN23" s="32"/>
      <c r="AO23" s="32"/>
      <c r="AP23" s="49"/>
      <c r="AQ23" s="45"/>
      <c r="AR23" s="51"/>
      <c r="AS23" s="51"/>
      <c r="AT23" s="51"/>
      <c r="AU23" s="51"/>
      <c r="AV23" s="51"/>
      <c r="AW23" s="53"/>
      <c r="AX23" s="53"/>
      <c r="AY23" s="53"/>
    </row>
    <row r="24" ht="15.75" customHeight="1">
      <c r="A24" s="61" t="s">
        <v>156</v>
      </c>
      <c r="B24" s="30">
        <v>1.2</v>
      </c>
      <c r="C24" s="29">
        <v>26.0</v>
      </c>
      <c r="D24" s="30">
        <v>0.87</v>
      </c>
      <c r="E24" s="32">
        <v>0.07</v>
      </c>
      <c r="F24" s="29">
        <v>1.0</v>
      </c>
      <c r="G24" s="26">
        <v>600.0</v>
      </c>
      <c r="H24" s="29">
        <v>240.0</v>
      </c>
      <c r="I24" s="29">
        <v>30.0</v>
      </c>
      <c r="J24" s="26">
        <v>1250.0</v>
      </c>
      <c r="K24" s="29">
        <v>3600.0</v>
      </c>
      <c r="L24" s="29" t="s">
        <v>148</v>
      </c>
      <c r="M24" s="29">
        <v>1.0</v>
      </c>
      <c r="N24" s="29">
        <v>1.0</v>
      </c>
      <c r="O24" s="29">
        <v>3.0</v>
      </c>
      <c r="P24" s="35">
        <v>0.0</v>
      </c>
      <c r="Q24" s="37">
        <v>0.0</v>
      </c>
      <c r="R24" s="34">
        <v>0.6</v>
      </c>
      <c r="S24" s="34">
        <v>5.5</v>
      </c>
      <c r="T24" s="34">
        <v>9.0</v>
      </c>
      <c r="U24" s="34">
        <v>3.7</v>
      </c>
      <c r="V24" s="34">
        <v>29.04</v>
      </c>
      <c r="W24" s="35">
        <v>18.43</v>
      </c>
      <c r="X24" s="37">
        <v>37.279999</v>
      </c>
      <c r="Y24" s="32">
        <v>0.056</v>
      </c>
      <c r="Z24" s="32">
        <v>148.9125</v>
      </c>
      <c r="AA24" s="43">
        <v>0.184207</v>
      </c>
      <c r="AB24" s="43">
        <f t="shared" si="7"/>
        <v>0.184207</v>
      </c>
      <c r="AC24" s="43">
        <v>0.25789</v>
      </c>
      <c r="AD24" s="43">
        <f t="shared" si="8"/>
        <v>0.25789</v>
      </c>
      <c r="AE24" s="29">
        <v>70.0</v>
      </c>
      <c r="AF24" s="45">
        <v>19.0</v>
      </c>
      <c r="AG24" s="29">
        <v>1.0</v>
      </c>
      <c r="AH24" s="34"/>
      <c r="AI24" s="34"/>
      <c r="AJ24" s="34"/>
      <c r="AK24" s="34"/>
      <c r="AL24" s="34"/>
      <c r="AM24" s="48"/>
      <c r="AN24" s="32"/>
      <c r="AO24" s="32"/>
      <c r="AP24" s="49"/>
      <c r="AQ24" s="45"/>
      <c r="AR24" s="51"/>
      <c r="AS24" s="51"/>
      <c r="AT24" s="51"/>
      <c r="AU24" s="51"/>
      <c r="AV24" s="51"/>
      <c r="AW24" s="53"/>
      <c r="AX24" s="53"/>
      <c r="AY24" s="53"/>
    </row>
    <row r="25" ht="15.75" customHeight="1">
      <c r="A25" s="28" t="s">
        <v>158</v>
      </c>
      <c r="B25" s="30">
        <v>1.38</v>
      </c>
      <c r="C25" s="29">
        <v>26.0</v>
      </c>
      <c r="D25" s="30">
        <v>0.86</v>
      </c>
      <c r="E25" s="32">
        <v>0.07</v>
      </c>
      <c r="F25" s="29">
        <v>1.0</v>
      </c>
      <c r="G25" s="26">
        <v>300.0</v>
      </c>
      <c r="H25" s="29">
        <v>230.0</v>
      </c>
      <c r="I25" s="29">
        <v>50.0</v>
      </c>
      <c r="J25" s="26">
        <v>2350.0</v>
      </c>
      <c r="K25" s="29">
        <v>3700.0</v>
      </c>
      <c r="L25" s="29" t="s">
        <v>148</v>
      </c>
      <c r="M25" s="29">
        <v>1.0</v>
      </c>
      <c r="N25" s="29">
        <v>1.0</v>
      </c>
      <c r="O25" s="29">
        <v>3.0</v>
      </c>
      <c r="P25" s="35">
        <v>0.0</v>
      </c>
      <c r="Q25" s="37">
        <v>0.0</v>
      </c>
      <c r="R25" s="34">
        <v>1.0</v>
      </c>
      <c r="S25" s="34">
        <v>10.24</v>
      </c>
      <c r="T25" s="34">
        <v>13.65</v>
      </c>
      <c r="U25" s="34">
        <v>2.85</v>
      </c>
      <c r="V25" s="34">
        <v>31.0</v>
      </c>
      <c r="W25" s="35">
        <v>90.080002</v>
      </c>
      <c r="X25" s="37">
        <v>104.599998</v>
      </c>
      <c r="Y25" s="32">
        <v>0.082</v>
      </c>
      <c r="Z25" s="32">
        <v>132.17</v>
      </c>
      <c r="AA25" s="43">
        <v>0.265784</v>
      </c>
      <c r="AB25" s="43">
        <f t="shared" si="7"/>
        <v>0.265784</v>
      </c>
      <c r="AC25" s="43">
        <v>0.372098</v>
      </c>
      <c r="AD25" s="43">
        <f t="shared" si="8"/>
        <v>0.372098</v>
      </c>
      <c r="AE25" s="29">
        <v>70.0</v>
      </c>
      <c r="AF25" s="45">
        <v>16.0</v>
      </c>
      <c r="AG25" s="29">
        <v>1.0</v>
      </c>
      <c r="AH25" s="34"/>
      <c r="AI25" s="34"/>
      <c r="AJ25" s="34"/>
      <c r="AK25" s="34"/>
      <c r="AL25" s="34"/>
      <c r="AM25" s="48"/>
      <c r="AN25" s="32"/>
      <c r="AO25" s="32"/>
      <c r="AP25" s="49"/>
      <c r="AQ25" s="45"/>
      <c r="AR25" s="51"/>
      <c r="AS25" s="51"/>
      <c r="AT25" s="51"/>
      <c r="AU25" s="51"/>
      <c r="AV25" s="51"/>
      <c r="AW25" s="53"/>
      <c r="AX25" s="53"/>
      <c r="AY25" s="53"/>
    </row>
    <row r="26" ht="15.75" customHeight="1">
      <c r="A26" s="28" t="s">
        <v>160</v>
      </c>
      <c r="B26" s="30">
        <v>1.3</v>
      </c>
      <c r="C26" s="29">
        <v>35.0</v>
      </c>
      <c r="D26" s="30">
        <v>0.75</v>
      </c>
      <c r="E26" s="32">
        <v>0.09</v>
      </c>
      <c r="F26" s="29">
        <v>1.0</v>
      </c>
      <c r="G26" s="26">
        <v>600.0</v>
      </c>
      <c r="H26" s="29">
        <v>230.0</v>
      </c>
      <c r="I26" s="29">
        <v>25.0</v>
      </c>
      <c r="J26" s="26">
        <v>1200.0</v>
      </c>
      <c r="K26" s="29">
        <v>3700.0</v>
      </c>
      <c r="L26" s="29" t="s">
        <v>148</v>
      </c>
      <c r="M26" s="29">
        <v>1.0</v>
      </c>
      <c r="N26" s="29">
        <v>1.0</v>
      </c>
      <c r="O26" s="29">
        <v>3.0</v>
      </c>
      <c r="P26" s="35">
        <v>0.0</v>
      </c>
      <c r="Q26" s="37">
        <v>0.0</v>
      </c>
      <c r="R26" s="34">
        <v>1.0</v>
      </c>
      <c r="S26" s="34">
        <v>10.07</v>
      </c>
      <c r="T26" s="34">
        <v>13.43</v>
      </c>
      <c r="U26" s="34">
        <v>3.42</v>
      </c>
      <c r="V26" s="34">
        <v>28.76</v>
      </c>
      <c r="W26" s="35">
        <v>37.25</v>
      </c>
      <c r="X26" s="37">
        <v>47.209999</v>
      </c>
      <c r="Y26" s="32">
        <v>0.085</v>
      </c>
      <c r="Z26" s="32">
        <v>42.35</v>
      </c>
      <c r="AA26" s="43">
        <v>0.249995</v>
      </c>
      <c r="AB26" s="43">
        <f t="shared" si="7"/>
        <v>0.249995</v>
      </c>
      <c r="AC26" s="43">
        <v>0.349993</v>
      </c>
      <c r="AD26" s="43">
        <f t="shared" si="8"/>
        <v>0.349993</v>
      </c>
      <c r="AE26" s="29">
        <v>40.0</v>
      </c>
      <c r="AF26" s="45">
        <v>23.0</v>
      </c>
      <c r="AG26" s="29">
        <v>1.0</v>
      </c>
      <c r="AH26" s="34"/>
      <c r="AI26" s="34"/>
      <c r="AJ26" s="34"/>
      <c r="AK26" s="34"/>
      <c r="AL26" s="34"/>
      <c r="AM26" s="48"/>
      <c r="AN26" s="32"/>
      <c r="AO26" s="32"/>
      <c r="AP26" s="49"/>
      <c r="AQ26" s="45"/>
      <c r="AR26" s="51"/>
      <c r="AS26" s="51"/>
      <c r="AT26" s="51"/>
      <c r="AU26" s="51"/>
      <c r="AV26" s="51"/>
      <c r="AW26" s="53"/>
      <c r="AX26" s="53"/>
      <c r="AY26" s="53"/>
    </row>
    <row r="27" ht="15.75" customHeight="1">
      <c r="A27" s="75"/>
      <c r="B27" s="76"/>
      <c r="C27" s="75"/>
      <c r="D27" s="76"/>
      <c r="E27" s="77"/>
      <c r="F27" s="75"/>
      <c r="G27" s="75"/>
      <c r="H27" s="75"/>
      <c r="I27" s="75"/>
      <c r="J27" s="75"/>
      <c r="K27" s="75"/>
      <c r="L27" s="75"/>
      <c r="M27" s="75"/>
      <c r="N27" s="75"/>
      <c r="O27" s="75"/>
      <c r="P27" s="78"/>
      <c r="Q27" s="78"/>
      <c r="R27" s="79"/>
      <c r="S27" s="79"/>
      <c r="T27" s="79"/>
      <c r="U27" s="79"/>
      <c r="V27" s="79"/>
      <c r="W27" s="80"/>
      <c r="X27" s="80"/>
      <c r="Y27" s="77"/>
      <c r="Z27" s="77"/>
      <c r="AA27" s="81"/>
      <c r="AB27" s="81"/>
      <c r="AC27" s="81"/>
      <c r="AD27" s="81"/>
      <c r="AE27" s="75"/>
      <c r="AF27" s="82"/>
      <c r="AG27" s="75"/>
      <c r="AH27" s="79"/>
      <c r="AI27" s="79"/>
      <c r="AJ27" s="79"/>
      <c r="AK27" s="79"/>
      <c r="AL27" s="79"/>
      <c r="AM27" s="83"/>
      <c r="AN27" s="77"/>
      <c r="AO27" s="77"/>
      <c r="AP27" s="84"/>
      <c r="AQ27" s="82"/>
      <c r="AR27" s="75"/>
      <c r="AS27" s="75"/>
      <c r="AT27" s="75"/>
      <c r="AU27" s="75"/>
      <c r="AV27" s="75"/>
      <c r="AW27" s="79"/>
      <c r="AX27" s="79"/>
      <c r="AY27" s="79"/>
    </row>
    <row r="28" ht="15.75" customHeight="1">
      <c r="A28" s="5" t="s">
        <v>161</v>
      </c>
      <c r="B28" s="8" t="s">
        <v>8</v>
      </c>
      <c r="C28" s="7" t="s">
        <v>15</v>
      </c>
      <c r="D28" s="8" t="s">
        <v>18</v>
      </c>
      <c r="E28" s="11" t="s">
        <v>19</v>
      </c>
      <c r="F28" s="7" t="s">
        <v>29</v>
      </c>
      <c r="G28" s="7" t="s">
        <v>30</v>
      </c>
      <c r="H28" s="7" t="s">
        <v>31</v>
      </c>
      <c r="I28" s="7" t="s">
        <v>32</v>
      </c>
      <c r="J28" s="7" t="s">
        <v>34</v>
      </c>
      <c r="K28" s="7" t="s">
        <v>36</v>
      </c>
      <c r="L28" s="7" t="s">
        <v>39</v>
      </c>
      <c r="M28" s="7" t="s">
        <v>40</v>
      </c>
      <c r="N28" s="7" t="s">
        <v>41</v>
      </c>
      <c r="O28" s="7" t="s">
        <v>42</v>
      </c>
      <c r="P28" s="16" t="s">
        <v>44</v>
      </c>
      <c r="Q28" s="18" t="s">
        <v>49</v>
      </c>
      <c r="R28" s="9" t="s">
        <v>57</v>
      </c>
      <c r="S28" s="9" t="s">
        <v>60</v>
      </c>
      <c r="T28" s="9" t="s">
        <v>62</v>
      </c>
      <c r="U28" s="9" t="s">
        <v>63</v>
      </c>
      <c r="V28" s="9" t="s">
        <v>64</v>
      </c>
      <c r="W28" s="9" t="s">
        <v>65</v>
      </c>
      <c r="X28" s="9" t="s">
        <v>66</v>
      </c>
      <c r="Y28" s="11" t="s">
        <v>68</v>
      </c>
      <c r="Z28" s="11" t="s">
        <v>69</v>
      </c>
      <c r="AA28" s="21" t="s">
        <v>70</v>
      </c>
      <c r="AB28" s="21" t="s">
        <v>71</v>
      </c>
      <c r="AC28" s="21" t="s">
        <v>72</v>
      </c>
      <c r="AD28" s="21" t="s">
        <v>73</v>
      </c>
      <c r="AE28" s="7" t="s">
        <v>74</v>
      </c>
      <c r="AF28" s="13" t="s">
        <v>75</v>
      </c>
      <c r="AG28" s="7" t="s">
        <v>76</v>
      </c>
      <c r="AH28" s="7" t="s">
        <v>78</v>
      </c>
      <c r="AI28" s="7" t="s">
        <v>79</v>
      </c>
      <c r="AJ28" s="7" t="s">
        <v>81</v>
      </c>
      <c r="AK28" s="7" t="s">
        <v>82</v>
      </c>
      <c r="AL28" s="7" t="s">
        <v>84</v>
      </c>
      <c r="AM28" s="86" t="s">
        <v>86</v>
      </c>
      <c r="AN28" s="7" t="s">
        <v>88</v>
      </c>
      <c r="AO28" s="7" t="s">
        <v>91</v>
      </c>
      <c r="AP28" s="24" t="s">
        <v>92</v>
      </c>
      <c r="AQ28" s="13" t="s">
        <v>93</v>
      </c>
      <c r="AR28" s="7" t="s">
        <v>94</v>
      </c>
      <c r="AS28" s="7" t="s">
        <v>95</v>
      </c>
      <c r="AT28" s="7" t="s">
        <v>96</v>
      </c>
      <c r="AU28" s="7" t="s">
        <v>98</v>
      </c>
      <c r="AV28" s="7" t="s">
        <v>99</v>
      </c>
      <c r="AW28" s="9" t="s">
        <v>101</v>
      </c>
      <c r="AX28" s="9" t="s">
        <v>102</v>
      </c>
      <c r="AY28" s="9" t="s">
        <v>103</v>
      </c>
    </row>
    <row r="29" ht="15.75" customHeight="1">
      <c r="A29" s="66" t="s">
        <v>164</v>
      </c>
      <c r="B29" s="30">
        <v>1.55</v>
      </c>
      <c r="C29" s="29">
        <v>36.0</v>
      </c>
      <c r="D29" s="30">
        <v>0.98</v>
      </c>
      <c r="E29" s="32">
        <v>0.1</v>
      </c>
      <c r="F29" s="29">
        <v>2.0</v>
      </c>
      <c r="G29" s="26">
        <v>300.0</v>
      </c>
      <c r="H29" s="29">
        <v>215.0</v>
      </c>
      <c r="I29" s="29">
        <v>30.0</v>
      </c>
      <c r="J29" s="26">
        <v>2700.0</v>
      </c>
      <c r="K29" s="29">
        <v>8192.0</v>
      </c>
      <c r="L29" s="29" t="s">
        <v>165</v>
      </c>
      <c r="M29" s="29">
        <v>1.0</v>
      </c>
      <c r="N29" s="29">
        <v>1.0</v>
      </c>
      <c r="O29" s="29">
        <v>3.0</v>
      </c>
      <c r="P29" s="35">
        <v>0.4</v>
      </c>
      <c r="Q29" s="37">
        <v>0.55</v>
      </c>
      <c r="R29" s="34">
        <v>0.6</v>
      </c>
      <c r="S29" s="34">
        <v>4.81</v>
      </c>
      <c r="T29" s="34">
        <v>6.41</v>
      </c>
      <c r="U29" s="34">
        <v>7.8</v>
      </c>
      <c r="V29" s="34">
        <v>175.06</v>
      </c>
      <c r="W29" s="35">
        <v>140.759995</v>
      </c>
      <c r="X29" s="37">
        <v>100.940002</v>
      </c>
      <c r="Y29" s="32">
        <v>0.242</v>
      </c>
      <c r="Z29" s="32">
        <v>140.0</v>
      </c>
      <c r="AA29" s="43">
        <v>0.305257</v>
      </c>
      <c r="AB29" s="43">
        <v>0.419728</v>
      </c>
      <c r="AC29" s="43">
        <v>0.368</v>
      </c>
      <c r="AD29" s="43">
        <v>0.506</v>
      </c>
      <c r="AE29" s="29">
        <v>70.0</v>
      </c>
      <c r="AF29" s="45">
        <v>30.0</v>
      </c>
      <c r="AG29" s="29">
        <v>0.0</v>
      </c>
      <c r="AH29" s="34"/>
      <c r="AI29" s="34"/>
      <c r="AJ29" s="34"/>
      <c r="AK29" s="34"/>
      <c r="AL29" s="34"/>
      <c r="AM29" s="48"/>
      <c r="AN29" s="32"/>
      <c r="AO29" s="32"/>
      <c r="AP29" s="49"/>
      <c r="AQ29" s="45"/>
      <c r="AR29" s="51"/>
      <c r="AS29" s="51"/>
      <c r="AT29" s="51"/>
      <c r="AU29" s="51"/>
      <c r="AV29" s="51"/>
      <c r="AW29" s="53"/>
      <c r="AX29" s="53"/>
      <c r="AY29" s="53"/>
    </row>
    <row r="30" ht="15.75" customHeight="1">
      <c r="A30" s="61" t="s">
        <v>166</v>
      </c>
      <c r="B30" s="30">
        <v>1.8</v>
      </c>
      <c r="C30" s="29">
        <v>28.0</v>
      </c>
      <c r="D30" s="30">
        <v>0.98</v>
      </c>
      <c r="E30" s="32">
        <v>0.1</v>
      </c>
      <c r="F30" s="29">
        <v>2.0</v>
      </c>
      <c r="G30" s="26">
        <v>300.0</v>
      </c>
      <c r="H30" s="29">
        <v>220.0</v>
      </c>
      <c r="I30" s="29">
        <v>30.0</v>
      </c>
      <c r="J30" s="26">
        <v>3300.0</v>
      </c>
      <c r="K30" s="29">
        <v>8192.0</v>
      </c>
      <c r="L30" s="29" t="s">
        <v>165</v>
      </c>
      <c r="M30" s="29">
        <v>1.0</v>
      </c>
      <c r="N30" s="29">
        <v>1.0</v>
      </c>
      <c r="O30" s="29">
        <v>3.0</v>
      </c>
      <c r="P30" s="35">
        <v>0.4</v>
      </c>
      <c r="Q30" s="37">
        <v>0.55</v>
      </c>
      <c r="R30" s="34">
        <v>0.5</v>
      </c>
      <c r="S30" s="34">
        <v>2.88</v>
      </c>
      <c r="T30" s="34">
        <v>9.31</v>
      </c>
      <c r="U30" s="34">
        <v>7.29</v>
      </c>
      <c r="V30" s="34">
        <v>135.45</v>
      </c>
      <c r="W30" s="35">
        <v>105.989998</v>
      </c>
      <c r="X30" s="37">
        <v>101.559998</v>
      </c>
      <c r="Y30" s="32">
        <v>0.208</v>
      </c>
      <c r="Z30" s="32">
        <v>110.04</v>
      </c>
      <c r="AA30" s="43">
        <v>0.30552</v>
      </c>
      <c r="AB30" s="43">
        <f>AA30</f>
        <v>0.30552</v>
      </c>
      <c r="AC30" s="43">
        <v>0.429727</v>
      </c>
      <c r="AD30" s="43">
        <f>AC30</f>
        <v>0.429727</v>
      </c>
      <c r="AE30" s="29">
        <v>60.0</v>
      </c>
      <c r="AF30" s="45">
        <v>24.0</v>
      </c>
      <c r="AG30" s="29">
        <v>0.0</v>
      </c>
      <c r="AH30" s="34">
        <v>0.3</v>
      </c>
      <c r="AI30" s="34">
        <v>1.01</v>
      </c>
      <c r="AJ30" s="34">
        <v>2.12</v>
      </c>
      <c r="AK30" s="34">
        <v>7.29</v>
      </c>
      <c r="AL30" s="34">
        <v>105.45</v>
      </c>
      <c r="AM30" s="57">
        <v>105.989998</v>
      </c>
      <c r="AN30" s="32">
        <v>0.208</v>
      </c>
      <c r="AO30" s="32">
        <v>100.04</v>
      </c>
      <c r="AP30" s="49">
        <v>60.0</v>
      </c>
      <c r="AQ30" s="45">
        <v>16.0</v>
      </c>
      <c r="AR30" s="51">
        <v>0.0</v>
      </c>
      <c r="AS30" s="29">
        <v>150.0</v>
      </c>
      <c r="AT30" s="51">
        <v>3.0</v>
      </c>
      <c r="AU30" s="29">
        <v>45.0</v>
      </c>
      <c r="AV30" s="51"/>
      <c r="AW30" s="53"/>
      <c r="AX30" s="53"/>
      <c r="AY30" s="53"/>
    </row>
    <row r="31" ht="15.75" customHeight="1">
      <c r="A31" s="61" t="s">
        <v>168</v>
      </c>
      <c r="B31" s="30">
        <v>1.4</v>
      </c>
      <c r="C31" s="29">
        <v>30.0</v>
      </c>
      <c r="D31" s="30">
        <v>0.96</v>
      </c>
      <c r="E31" s="32">
        <v>0.09</v>
      </c>
      <c r="F31" s="29">
        <v>2.0</v>
      </c>
      <c r="G31" s="26">
        <v>300.0</v>
      </c>
      <c r="H31" s="29">
        <v>220.0</v>
      </c>
      <c r="I31" s="29">
        <v>25.0</v>
      </c>
      <c r="J31" s="26">
        <v>2050.0</v>
      </c>
      <c r="K31" s="29">
        <v>8192.0</v>
      </c>
      <c r="L31" s="29" t="s">
        <v>165</v>
      </c>
      <c r="M31" s="29">
        <v>1.0</v>
      </c>
      <c r="N31" s="29">
        <v>1.0</v>
      </c>
      <c r="O31" s="29">
        <v>3.0</v>
      </c>
      <c r="P31" s="35">
        <v>0.4</v>
      </c>
      <c r="Q31" s="37">
        <v>0.55</v>
      </c>
      <c r="R31" s="34">
        <v>0.6</v>
      </c>
      <c r="S31" s="34">
        <v>7.39</v>
      </c>
      <c r="T31" s="34">
        <v>9.85</v>
      </c>
      <c r="U31" s="34">
        <v>6.05</v>
      </c>
      <c r="V31" s="34">
        <v>99.34</v>
      </c>
      <c r="W31" s="35">
        <v>110.38999</v>
      </c>
      <c r="X31" s="37">
        <v>94.769997</v>
      </c>
      <c r="Y31" s="32">
        <v>0.205</v>
      </c>
      <c r="Z31" s="32">
        <v>118.716</v>
      </c>
      <c r="AA31" s="43">
        <v>0.12</v>
      </c>
      <c r="AB31" s="43">
        <v>0.48</v>
      </c>
      <c r="AC31" s="43">
        <v>0.25</v>
      </c>
      <c r="AD31" s="43">
        <v>0.5</v>
      </c>
      <c r="AE31" s="29">
        <v>60.0</v>
      </c>
      <c r="AF31" s="45">
        <v>20.0</v>
      </c>
      <c r="AG31" s="29">
        <v>1.0</v>
      </c>
      <c r="AH31" s="34">
        <v>0.6</v>
      </c>
      <c r="AI31" s="34">
        <v>3.25</v>
      </c>
      <c r="AJ31" s="34">
        <v>3.69</v>
      </c>
      <c r="AK31" s="34">
        <v>3.35</v>
      </c>
      <c r="AL31" s="34">
        <v>99.34</v>
      </c>
      <c r="AM31" s="57">
        <v>110.38999</v>
      </c>
      <c r="AN31" s="32">
        <v>0.205</v>
      </c>
      <c r="AO31" s="32">
        <v>118.716</v>
      </c>
      <c r="AP31" s="49">
        <v>50.0</v>
      </c>
      <c r="AQ31" s="45">
        <v>20.0</v>
      </c>
      <c r="AR31" s="29">
        <v>1.0</v>
      </c>
      <c r="AS31" s="51">
        <v>220.0</v>
      </c>
      <c r="AT31" s="51">
        <v>3.0</v>
      </c>
      <c r="AU31" s="51"/>
      <c r="AV31" s="51"/>
      <c r="AW31" s="53"/>
      <c r="AX31" s="34">
        <v>0.55</v>
      </c>
      <c r="AY31" s="34">
        <v>0.075</v>
      </c>
    </row>
    <row r="32" ht="15.75" customHeight="1">
      <c r="A32" s="66" t="s">
        <v>170</v>
      </c>
      <c r="B32" s="30">
        <v>1.55</v>
      </c>
      <c r="C32" s="29">
        <v>30.0</v>
      </c>
      <c r="D32" s="30">
        <v>0.98</v>
      </c>
      <c r="E32" s="32">
        <v>0.09</v>
      </c>
      <c r="F32" s="29">
        <v>2.0</v>
      </c>
      <c r="G32" s="26">
        <v>300.0</v>
      </c>
      <c r="H32" s="29">
        <v>215.0</v>
      </c>
      <c r="I32" s="29">
        <v>35.0</v>
      </c>
      <c r="J32" s="26">
        <v>1800.0</v>
      </c>
      <c r="K32" s="29">
        <v>8192.0</v>
      </c>
      <c r="L32" s="29" t="s">
        <v>165</v>
      </c>
      <c r="M32" s="29">
        <v>1.0</v>
      </c>
      <c r="N32" s="29">
        <v>1.0</v>
      </c>
      <c r="O32" s="29">
        <v>3.0</v>
      </c>
      <c r="P32" s="35">
        <v>0.4</v>
      </c>
      <c r="Q32" s="37">
        <v>0.55</v>
      </c>
      <c r="R32" s="34">
        <v>0.6</v>
      </c>
      <c r="S32" s="34">
        <v>6.58</v>
      </c>
      <c r="T32" s="34">
        <v>8.77</v>
      </c>
      <c r="U32" s="34">
        <v>7.0</v>
      </c>
      <c r="V32" s="34">
        <v>123.56</v>
      </c>
      <c r="W32" s="35">
        <v>149.779999</v>
      </c>
      <c r="X32" s="37">
        <v>105.389999</v>
      </c>
      <c r="Y32" s="32">
        <v>0.256</v>
      </c>
      <c r="Z32" s="32">
        <v>113.58</v>
      </c>
      <c r="AA32" s="43">
        <v>0.15</v>
      </c>
      <c r="AB32" s="43">
        <v>0.47</v>
      </c>
      <c r="AC32" s="43">
        <v>0.3</v>
      </c>
      <c r="AD32" s="43">
        <v>0.5</v>
      </c>
      <c r="AE32" s="29">
        <v>70.0</v>
      </c>
      <c r="AF32" s="45">
        <v>21.0</v>
      </c>
      <c r="AG32" s="29">
        <v>1.0</v>
      </c>
      <c r="AH32" s="34"/>
      <c r="AI32" s="34"/>
      <c r="AJ32" s="34"/>
      <c r="AK32" s="34"/>
      <c r="AL32" s="34"/>
      <c r="AM32" s="57"/>
      <c r="AN32" s="32"/>
      <c r="AO32" s="32"/>
      <c r="AP32" s="49"/>
      <c r="AQ32" s="45"/>
      <c r="AR32" s="51"/>
      <c r="AS32" s="51"/>
      <c r="AT32" s="51"/>
      <c r="AU32" s="51"/>
      <c r="AV32" s="51"/>
      <c r="AW32" s="53"/>
      <c r="AX32" s="53"/>
      <c r="AY32" s="53"/>
    </row>
    <row r="33" ht="15.75" customHeight="1">
      <c r="A33" s="61" t="s">
        <v>171</v>
      </c>
      <c r="B33" s="30">
        <v>1.4</v>
      </c>
      <c r="C33" s="29">
        <v>33.0</v>
      </c>
      <c r="D33" s="30">
        <v>0.97</v>
      </c>
      <c r="E33" s="32">
        <v>0.09</v>
      </c>
      <c r="F33" s="29">
        <v>2.0</v>
      </c>
      <c r="G33" s="26">
        <v>300.0</v>
      </c>
      <c r="H33" s="29">
        <v>225.0</v>
      </c>
      <c r="I33" s="29">
        <v>30.0</v>
      </c>
      <c r="J33" s="26">
        <v>3100.0</v>
      </c>
      <c r="K33" s="29">
        <v>8192.0</v>
      </c>
      <c r="L33" s="29" t="s">
        <v>165</v>
      </c>
      <c r="M33" s="29">
        <v>1.0</v>
      </c>
      <c r="N33" s="29">
        <v>1.0</v>
      </c>
      <c r="O33" s="29">
        <v>3.0</v>
      </c>
      <c r="P33" s="35">
        <v>0.4</v>
      </c>
      <c r="Q33" s="37">
        <v>0.55</v>
      </c>
      <c r="R33" s="34">
        <v>0.6</v>
      </c>
      <c r="S33" s="34">
        <v>4.1</v>
      </c>
      <c r="T33" s="34">
        <v>4.9</v>
      </c>
      <c r="U33" s="34">
        <v>7.0</v>
      </c>
      <c r="V33" s="34">
        <v>137.88</v>
      </c>
      <c r="W33" s="35">
        <v>97.269997</v>
      </c>
      <c r="X33" s="37">
        <v>94.410004</v>
      </c>
      <c r="Y33" s="32">
        <v>0.192</v>
      </c>
      <c r="Z33" s="32">
        <v>110.994</v>
      </c>
      <c r="AA33" s="43">
        <v>0.2421</v>
      </c>
      <c r="AB33" s="43">
        <v>0.332888</v>
      </c>
      <c r="AC33" s="43">
        <v>0.338941</v>
      </c>
      <c r="AD33" s="43">
        <v>0.466044</v>
      </c>
      <c r="AE33" s="29">
        <v>70.0</v>
      </c>
      <c r="AF33" s="45">
        <v>23.0</v>
      </c>
      <c r="AG33" s="29">
        <v>0.0</v>
      </c>
      <c r="AH33" s="34"/>
      <c r="AI33" s="34"/>
      <c r="AJ33" s="34"/>
      <c r="AK33" s="34"/>
      <c r="AL33" s="34"/>
      <c r="AM33" s="57"/>
      <c r="AN33" s="32"/>
      <c r="AO33" s="32"/>
      <c r="AP33" s="49"/>
      <c r="AQ33" s="45"/>
      <c r="AR33" s="51"/>
      <c r="AS33" s="51"/>
      <c r="AT33" s="51"/>
      <c r="AU33" s="51"/>
      <c r="AV33" s="51"/>
      <c r="AW33" s="53"/>
      <c r="AX33" s="53"/>
      <c r="AY33" s="53"/>
    </row>
    <row r="34" ht="15.75" customHeight="1">
      <c r="A34" s="61" t="s">
        <v>173</v>
      </c>
      <c r="B34" s="30">
        <v>1.4</v>
      </c>
      <c r="C34" s="29">
        <v>33.0</v>
      </c>
      <c r="D34" s="30">
        <v>0.99</v>
      </c>
      <c r="E34" s="32">
        <v>0.1</v>
      </c>
      <c r="F34" s="29">
        <v>2.0</v>
      </c>
      <c r="G34" s="26">
        <v>300.0</v>
      </c>
      <c r="H34" s="29">
        <v>225.0</v>
      </c>
      <c r="I34" s="29">
        <v>25.0</v>
      </c>
      <c r="J34" s="26">
        <v>3100.0</v>
      </c>
      <c r="K34" s="29">
        <v>8192.0</v>
      </c>
      <c r="L34" s="29" t="s">
        <v>165</v>
      </c>
      <c r="M34" s="29">
        <v>1.0</v>
      </c>
      <c r="N34" s="29">
        <v>1.0</v>
      </c>
      <c r="O34" s="29">
        <v>3.0</v>
      </c>
      <c r="P34" s="35">
        <v>0.4</v>
      </c>
      <c r="Q34" s="37">
        <v>0.4</v>
      </c>
      <c r="R34" s="34">
        <v>0.6</v>
      </c>
      <c r="S34" s="34">
        <v>4.1</v>
      </c>
      <c r="T34" s="34">
        <v>4.9</v>
      </c>
      <c r="U34" s="34">
        <v>12.0</v>
      </c>
      <c r="V34" s="34">
        <v>92.88</v>
      </c>
      <c r="W34" s="35">
        <v>99.699997</v>
      </c>
      <c r="X34" s="37">
        <v>96.769997</v>
      </c>
      <c r="Y34" s="32">
        <v>0.197</v>
      </c>
      <c r="Z34" s="32">
        <v>110.994</v>
      </c>
      <c r="AA34" s="43">
        <v>0.2421</v>
      </c>
      <c r="AB34" s="43">
        <v>0.332888</v>
      </c>
      <c r="AC34" s="43">
        <v>0.338941</v>
      </c>
      <c r="AD34" s="43">
        <v>0.466044</v>
      </c>
      <c r="AE34" s="29">
        <v>65.0</v>
      </c>
      <c r="AF34" s="45">
        <v>25.0</v>
      </c>
      <c r="AG34" s="29">
        <v>3.0</v>
      </c>
      <c r="AH34" s="34">
        <v>0.5</v>
      </c>
      <c r="AI34" s="34">
        <v>4.1</v>
      </c>
      <c r="AJ34" s="34">
        <v>4.9</v>
      </c>
      <c r="AK34" s="34">
        <v>7.0</v>
      </c>
      <c r="AL34" s="34">
        <v>122.0</v>
      </c>
      <c r="AM34" s="57">
        <v>99.699997</v>
      </c>
      <c r="AN34" s="32">
        <v>0.197</v>
      </c>
      <c r="AO34" s="32">
        <v>113.672</v>
      </c>
      <c r="AP34" s="49">
        <v>65.0</v>
      </c>
      <c r="AQ34" s="45">
        <v>21.0</v>
      </c>
      <c r="AR34" s="29">
        <v>0.0</v>
      </c>
      <c r="AS34" s="29">
        <v>225.0</v>
      </c>
      <c r="AT34" s="29">
        <v>0.0</v>
      </c>
      <c r="AU34" s="51"/>
      <c r="AV34" s="51"/>
      <c r="AW34" s="53"/>
      <c r="AX34" s="53"/>
      <c r="AY34" s="34"/>
    </row>
    <row r="35" ht="15.75" customHeight="1">
      <c r="A35" s="66" t="s">
        <v>175</v>
      </c>
      <c r="B35" s="30">
        <v>2.0</v>
      </c>
      <c r="C35" s="29">
        <v>30.0</v>
      </c>
      <c r="D35" s="30">
        <v>0.98</v>
      </c>
      <c r="E35" s="32">
        <v>0.09</v>
      </c>
      <c r="F35" s="29">
        <v>2.0</v>
      </c>
      <c r="G35" s="26">
        <v>300.0</v>
      </c>
      <c r="H35" s="29">
        <v>210.0</v>
      </c>
      <c r="I35" s="29">
        <v>30.0</v>
      </c>
      <c r="J35" s="26">
        <v>3000.0</v>
      </c>
      <c r="K35" s="29">
        <v>8192.0</v>
      </c>
      <c r="L35" s="29" t="s">
        <v>165</v>
      </c>
      <c r="M35" s="29">
        <v>1.0</v>
      </c>
      <c r="N35" s="29">
        <v>1.0</v>
      </c>
      <c r="O35" s="29">
        <v>3.0</v>
      </c>
      <c r="P35" s="35">
        <v>0.4</v>
      </c>
      <c r="Q35" s="37">
        <v>0.55</v>
      </c>
      <c r="R35" s="34">
        <v>0.5</v>
      </c>
      <c r="S35" s="34">
        <v>2.84</v>
      </c>
      <c r="T35" s="34">
        <v>3.78</v>
      </c>
      <c r="U35" s="34">
        <v>6.68</v>
      </c>
      <c r="V35" s="34">
        <v>136.01</v>
      </c>
      <c r="W35" s="35">
        <v>109.0</v>
      </c>
      <c r="X35" s="37">
        <v>78.790001</v>
      </c>
      <c r="Y35" s="32">
        <v>0.188</v>
      </c>
      <c r="Z35" s="32">
        <v>83.66</v>
      </c>
      <c r="AA35" s="43">
        <v>0.379204</v>
      </c>
      <c r="AB35" s="43">
        <f>AA35</f>
        <v>0.379204</v>
      </c>
      <c r="AC35" s="43">
        <v>0.452886</v>
      </c>
      <c r="AD35" s="43">
        <f>AC35</f>
        <v>0.452886</v>
      </c>
      <c r="AE35" s="29">
        <v>60.0</v>
      </c>
      <c r="AF35" s="45">
        <v>28.0</v>
      </c>
      <c r="AG35" s="29">
        <v>2.0</v>
      </c>
      <c r="AH35" s="34">
        <v>0.3</v>
      </c>
      <c r="AI35" s="34">
        <v>1.04</v>
      </c>
      <c r="AJ35" s="34">
        <v>2.18</v>
      </c>
      <c r="AK35" s="34">
        <v>6.68</v>
      </c>
      <c r="AL35" s="34">
        <v>136.01</v>
      </c>
      <c r="AM35" s="57">
        <v>109.0</v>
      </c>
      <c r="AN35" s="32">
        <v>0.188</v>
      </c>
      <c r="AO35" s="32">
        <v>138.758</v>
      </c>
      <c r="AP35" s="49">
        <v>60.0</v>
      </c>
      <c r="AQ35" s="45">
        <v>19.0</v>
      </c>
      <c r="AR35" s="51">
        <v>2.0</v>
      </c>
      <c r="AS35" s="29">
        <v>150.0</v>
      </c>
      <c r="AT35" s="51">
        <v>3.0</v>
      </c>
      <c r="AU35" s="29">
        <v>45.0</v>
      </c>
      <c r="AV35" s="51"/>
      <c r="AW35" s="53"/>
      <c r="AX35" s="53"/>
      <c r="AY35" s="53"/>
    </row>
    <row r="36" ht="15.75" customHeight="1">
      <c r="A36" s="75"/>
      <c r="B36" s="76"/>
      <c r="C36" s="75"/>
      <c r="D36" s="76"/>
      <c r="E36" s="77"/>
      <c r="F36" s="75"/>
      <c r="G36" s="75"/>
      <c r="H36" s="75"/>
      <c r="I36" s="75"/>
      <c r="J36" s="75"/>
      <c r="K36" s="75"/>
      <c r="L36" s="75"/>
      <c r="M36" s="75"/>
      <c r="N36" s="75"/>
      <c r="O36" s="75"/>
      <c r="P36" s="78"/>
      <c r="Q36" s="78"/>
      <c r="R36" s="79"/>
      <c r="S36" s="79"/>
      <c r="T36" s="79"/>
      <c r="U36" s="79"/>
      <c r="V36" s="79"/>
      <c r="W36" s="80"/>
      <c r="X36" s="80"/>
      <c r="Y36" s="77"/>
      <c r="Z36" s="77"/>
      <c r="AA36" s="81"/>
      <c r="AB36" s="81"/>
      <c r="AC36" s="81"/>
      <c r="AD36" s="81"/>
      <c r="AE36" s="75"/>
      <c r="AF36" s="82"/>
      <c r="AG36" s="75"/>
      <c r="AH36" s="79"/>
      <c r="AI36" s="79"/>
      <c r="AJ36" s="79"/>
      <c r="AK36" s="79"/>
      <c r="AL36" s="79"/>
      <c r="AM36" s="83"/>
      <c r="AN36" s="77"/>
      <c r="AO36" s="77"/>
      <c r="AP36" s="84"/>
      <c r="AQ36" s="82"/>
      <c r="AR36" s="75"/>
      <c r="AS36" s="75"/>
      <c r="AT36" s="75"/>
      <c r="AU36" s="75"/>
      <c r="AV36" s="75"/>
      <c r="AW36" s="79"/>
      <c r="AX36" s="79"/>
      <c r="AY36" s="79"/>
    </row>
    <row r="37" ht="15.75" customHeight="1">
      <c r="A37" s="5" t="s">
        <v>177</v>
      </c>
      <c r="B37" s="8" t="s">
        <v>8</v>
      </c>
      <c r="C37" s="7" t="s">
        <v>15</v>
      </c>
      <c r="D37" s="8" t="s">
        <v>18</v>
      </c>
      <c r="E37" s="11" t="s">
        <v>19</v>
      </c>
      <c r="F37" s="7" t="s">
        <v>29</v>
      </c>
      <c r="G37" s="7" t="s">
        <v>30</v>
      </c>
      <c r="H37" s="7" t="s">
        <v>31</v>
      </c>
      <c r="I37" s="7" t="s">
        <v>32</v>
      </c>
      <c r="J37" s="7" t="s">
        <v>34</v>
      </c>
      <c r="K37" s="7" t="s">
        <v>36</v>
      </c>
      <c r="L37" s="7" t="s">
        <v>39</v>
      </c>
      <c r="M37" s="7" t="s">
        <v>40</v>
      </c>
      <c r="N37" s="7" t="s">
        <v>41</v>
      </c>
      <c r="O37" s="7" t="s">
        <v>42</v>
      </c>
      <c r="P37" s="16" t="s">
        <v>44</v>
      </c>
      <c r="Q37" s="18" t="s">
        <v>49</v>
      </c>
      <c r="R37" s="9" t="s">
        <v>57</v>
      </c>
      <c r="S37" s="9" t="s">
        <v>60</v>
      </c>
      <c r="T37" s="9" t="s">
        <v>62</v>
      </c>
      <c r="U37" s="9" t="s">
        <v>63</v>
      </c>
      <c r="V37" s="9" t="s">
        <v>64</v>
      </c>
      <c r="W37" s="9" t="s">
        <v>65</v>
      </c>
      <c r="X37" s="9" t="s">
        <v>66</v>
      </c>
      <c r="Y37" s="11" t="s">
        <v>68</v>
      </c>
      <c r="Z37" s="11" t="s">
        <v>69</v>
      </c>
      <c r="AA37" s="21" t="s">
        <v>70</v>
      </c>
      <c r="AB37" s="21" t="s">
        <v>71</v>
      </c>
      <c r="AC37" s="21" t="s">
        <v>72</v>
      </c>
      <c r="AD37" s="21" t="s">
        <v>73</v>
      </c>
      <c r="AE37" s="7" t="s">
        <v>74</v>
      </c>
      <c r="AF37" s="13" t="s">
        <v>75</v>
      </c>
      <c r="AG37" s="7" t="s">
        <v>76</v>
      </c>
      <c r="AH37" s="7" t="s">
        <v>78</v>
      </c>
      <c r="AI37" s="7" t="s">
        <v>79</v>
      </c>
      <c r="AJ37" s="7" t="s">
        <v>81</v>
      </c>
      <c r="AK37" s="7" t="s">
        <v>82</v>
      </c>
      <c r="AL37" s="7" t="s">
        <v>84</v>
      </c>
      <c r="AM37" s="86" t="s">
        <v>86</v>
      </c>
      <c r="AN37" s="7" t="s">
        <v>88</v>
      </c>
      <c r="AO37" s="7" t="s">
        <v>91</v>
      </c>
      <c r="AP37" s="24" t="s">
        <v>92</v>
      </c>
      <c r="AQ37" s="13" t="s">
        <v>93</v>
      </c>
      <c r="AR37" s="7" t="s">
        <v>94</v>
      </c>
      <c r="AS37" s="7" t="s">
        <v>95</v>
      </c>
      <c r="AT37" s="7" t="s">
        <v>96</v>
      </c>
      <c r="AU37" s="7" t="s">
        <v>98</v>
      </c>
      <c r="AV37" s="7" t="s">
        <v>99</v>
      </c>
      <c r="AW37" s="9" t="s">
        <v>101</v>
      </c>
      <c r="AX37" s="9" t="s">
        <v>102</v>
      </c>
      <c r="AY37" s="9" t="s">
        <v>103</v>
      </c>
    </row>
    <row r="38" ht="15.75" customHeight="1">
      <c r="A38" s="28" t="s">
        <v>179</v>
      </c>
      <c r="B38" s="30">
        <v>1.6</v>
      </c>
      <c r="C38" s="29">
        <v>32.0</v>
      </c>
      <c r="D38" s="30">
        <v>0.97</v>
      </c>
      <c r="E38" s="32">
        <v>0.08</v>
      </c>
      <c r="F38" s="29">
        <v>2.0</v>
      </c>
      <c r="G38" s="26">
        <v>300.0</v>
      </c>
      <c r="H38" s="29">
        <v>195.0</v>
      </c>
      <c r="I38" s="29">
        <v>100.0</v>
      </c>
      <c r="J38" s="26">
        <v>5200.0</v>
      </c>
      <c r="K38" s="29">
        <v>8192.0</v>
      </c>
      <c r="L38" s="29" t="s">
        <v>180</v>
      </c>
      <c r="M38" s="29">
        <v>1.0</v>
      </c>
      <c r="N38" s="29">
        <v>1.0</v>
      </c>
      <c r="O38" s="29">
        <v>1.0</v>
      </c>
      <c r="P38" s="35">
        <v>0.4</v>
      </c>
      <c r="Q38" s="37">
        <v>0.55</v>
      </c>
      <c r="R38" s="34">
        <v>2.0</v>
      </c>
      <c r="S38" s="34">
        <v>5.34</v>
      </c>
      <c r="T38" s="34">
        <v>7.7</v>
      </c>
      <c r="U38" s="34">
        <v>3.56</v>
      </c>
      <c r="V38" s="34">
        <v>156.25</v>
      </c>
      <c r="W38" s="35">
        <v>279.470001</v>
      </c>
      <c r="X38" s="37">
        <v>118.269997</v>
      </c>
      <c r="Y38" s="32">
        <v>0.398</v>
      </c>
      <c r="Z38" s="32">
        <v>132.81</v>
      </c>
      <c r="AA38" s="43">
        <v>0.592093</v>
      </c>
      <c r="AB38" s="43">
        <f>AA38</f>
        <v>0.592093</v>
      </c>
      <c r="AC38" s="43">
        <v>0.828931</v>
      </c>
      <c r="AD38" s="43">
        <f>AC38</f>
        <v>0.828931</v>
      </c>
      <c r="AE38" s="29">
        <v>50.0</v>
      </c>
      <c r="AF38" s="45">
        <v>25.0</v>
      </c>
      <c r="AG38" s="29">
        <v>2.0</v>
      </c>
      <c r="AH38" s="34"/>
      <c r="AI38" s="34"/>
      <c r="AJ38" s="34"/>
      <c r="AK38" s="34"/>
      <c r="AL38" s="34"/>
      <c r="AM38" s="48"/>
      <c r="AN38" s="32"/>
      <c r="AO38" s="32"/>
      <c r="AP38" s="49"/>
      <c r="AQ38" s="45"/>
      <c r="AR38" s="51"/>
      <c r="AS38" s="51"/>
      <c r="AT38" s="51"/>
      <c r="AU38" s="51"/>
      <c r="AV38" s="51"/>
      <c r="AW38" s="53"/>
      <c r="AX38" s="53"/>
      <c r="AY38" s="53"/>
    </row>
    <row r="39" ht="15.75" customHeight="1">
      <c r="A39" s="28" t="s">
        <v>181</v>
      </c>
      <c r="B39" s="94">
        <v>1.42</v>
      </c>
      <c r="C39" s="95">
        <v>35.0</v>
      </c>
      <c r="D39" s="96">
        <v>0.97</v>
      </c>
      <c r="E39" s="97">
        <v>0.075</v>
      </c>
      <c r="F39" s="95">
        <v>2.0</v>
      </c>
      <c r="G39" s="98">
        <v>300.0</v>
      </c>
      <c r="H39" s="95">
        <v>150.0</v>
      </c>
      <c r="I39" s="95">
        <v>150.0</v>
      </c>
      <c r="J39" s="98">
        <v>1700.0</v>
      </c>
      <c r="K39" s="95">
        <v>8192.0</v>
      </c>
      <c r="L39" s="95" t="s">
        <v>180</v>
      </c>
      <c r="M39" s="95">
        <v>1.0</v>
      </c>
      <c r="N39" s="95">
        <v>1.0</v>
      </c>
      <c r="O39" s="95">
        <v>1.0</v>
      </c>
      <c r="P39" s="41">
        <v>0.4</v>
      </c>
      <c r="Q39" s="41">
        <v>0.55</v>
      </c>
      <c r="R39" s="41">
        <v>2.0</v>
      </c>
      <c r="S39" s="41">
        <v>7.63</v>
      </c>
      <c r="T39" s="41">
        <v>10.17</v>
      </c>
      <c r="U39" s="41">
        <v>30.0</v>
      </c>
      <c r="V39" s="41">
        <v>159.14</v>
      </c>
      <c r="W39" s="41">
        <v>292.230011</v>
      </c>
      <c r="X39" s="41">
        <v>116.290001</v>
      </c>
      <c r="Y39" s="97">
        <v>0.409</v>
      </c>
      <c r="Z39" s="97">
        <v>136.43</v>
      </c>
      <c r="AA39" s="74">
        <v>0.25</v>
      </c>
      <c r="AB39" s="74">
        <v>0.08</v>
      </c>
      <c r="AC39" s="74">
        <v>0.3</v>
      </c>
      <c r="AD39" s="74">
        <v>0.1</v>
      </c>
      <c r="AE39" s="29">
        <v>0.0</v>
      </c>
      <c r="AF39" s="45">
        <v>20.0</v>
      </c>
      <c r="AG39" s="29">
        <v>2.0</v>
      </c>
      <c r="AH39" s="34"/>
      <c r="AI39" s="34"/>
      <c r="AJ39" s="34"/>
      <c r="AK39" s="34"/>
      <c r="AL39" s="34"/>
      <c r="AM39" s="48"/>
      <c r="AN39" s="32"/>
      <c r="AO39" s="32"/>
      <c r="AP39" s="49"/>
      <c r="AQ39" s="45"/>
      <c r="AR39" s="51"/>
      <c r="AS39" s="51"/>
      <c r="AT39" s="51"/>
      <c r="AU39" s="51"/>
      <c r="AV39" s="51"/>
      <c r="AW39" s="53"/>
      <c r="AX39" s="53"/>
      <c r="AY39" s="53"/>
    </row>
    <row r="40" ht="15.75" customHeight="1">
      <c r="A40" s="75"/>
      <c r="B40" s="76"/>
      <c r="C40" s="75"/>
      <c r="D40" s="76"/>
      <c r="E40" s="77"/>
      <c r="F40" s="75"/>
      <c r="G40" s="75"/>
      <c r="H40" s="75"/>
      <c r="I40" s="75"/>
      <c r="J40" s="75"/>
      <c r="K40" s="75"/>
      <c r="L40" s="75"/>
      <c r="M40" s="75"/>
      <c r="N40" s="75"/>
      <c r="O40" s="75"/>
      <c r="P40" s="78"/>
      <c r="Q40" s="78"/>
      <c r="R40" s="79"/>
      <c r="S40" s="79"/>
      <c r="T40" s="79"/>
      <c r="U40" s="79"/>
      <c r="V40" s="79"/>
      <c r="W40" s="80"/>
      <c r="X40" s="80"/>
      <c r="Y40" s="77"/>
      <c r="Z40" s="77"/>
      <c r="AA40" s="81"/>
      <c r="AB40" s="81"/>
      <c r="AC40" s="81"/>
      <c r="AD40" s="81"/>
      <c r="AE40" s="75"/>
      <c r="AF40" s="82"/>
      <c r="AG40" s="75"/>
      <c r="AH40" s="79"/>
      <c r="AI40" s="79"/>
      <c r="AJ40" s="79"/>
      <c r="AK40" s="79"/>
      <c r="AL40" s="79"/>
      <c r="AM40" s="83"/>
      <c r="AN40" s="77"/>
      <c r="AO40" s="77"/>
      <c r="AP40" s="84"/>
      <c r="AQ40" s="82"/>
      <c r="AR40" s="75"/>
      <c r="AS40" s="75"/>
      <c r="AT40" s="75"/>
      <c r="AU40" s="75"/>
      <c r="AV40" s="75"/>
      <c r="AW40" s="79"/>
      <c r="AX40" s="79"/>
      <c r="AY40" s="79"/>
    </row>
    <row r="41" ht="15.75" customHeight="1">
      <c r="A41" s="5" t="s">
        <v>184</v>
      </c>
      <c r="B41" s="8" t="s">
        <v>8</v>
      </c>
      <c r="C41" s="7" t="s">
        <v>15</v>
      </c>
      <c r="D41" s="8" t="s">
        <v>18</v>
      </c>
      <c r="E41" s="11" t="s">
        <v>19</v>
      </c>
      <c r="F41" s="7" t="s">
        <v>29</v>
      </c>
      <c r="G41" s="7" t="s">
        <v>30</v>
      </c>
      <c r="H41" s="7" t="s">
        <v>31</v>
      </c>
      <c r="I41" s="7" t="s">
        <v>32</v>
      </c>
      <c r="J41" s="7" t="s">
        <v>34</v>
      </c>
      <c r="K41" s="7" t="s">
        <v>36</v>
      </c>
      <c r="L41" s="7" t="s">
        <v>39</v>
      </c>
      <c r="M41" s="7" t="s">
        <v>40</v>
      </c>
      <c r="N41" s="7" t="s">
        <v>41</v>
      </c>
      <c r="O41" s="7" t="s">
        <v>42</v>
      </c>
      <c r="P41" s="16" t="s">
        <v>44</v>
      </c>
      <c r="Q41" s="18" t="s">
        <v>49</v>
      </c>
      <c r="R41" s="9" t="s">
        <v>57</v>
      </c>
      <c r="S41" s="9" t="s">
        <v>60</v>
      </c>
      <c r="T41" s="9" t="s">
        <v>62</v>
      </c>
      <c r="U41" s="9" t="s">
        <v>63</v>
      </c>
      <c r="V41" s="9" t="s">
        <v>64</v>
      </c>
      <c r="W41" s="9" t="s">
        <v>65</v>
      </c>
      <c r="X41" s="9" t="s">
        <v>66</v>
      </c>
      <c r="Y41" s="11" t="s">
        <v>68</v>
      </c>
      <c r="Z41" s="11" t="s">
        <v>69</v>
      </c>
      <c r="AA41" s="21" t="s">
        <v>70</v>
      </c>
      <c r="AB41" s="21" t="s">
        <v>71</v>
      </c>
      <c r="AC41" s="21" t="s">
        <v>72</v>
      </c>
      <c r="AD41" s="21" t="s">
        <v>73</v>
      </c>
      <c r="AE41" s="7" t="s">
        <v>74</v>
      </c>
      <c r="AF41" s="13" t="s">
        <v>75</v>
      </c>
      <c r="AG41" s="7" t="s">
        <v>76</v>
      </c>
      <c r="AH41" s="7" t="s">
        <v>78</v>
      </c>
      <c r="AI41" s="7" t="s">
        <v>79</v>
      </c>
      <c r="AJ41" s="7" t="s">
        <v>81</v>
      </c>
      <c r="AK41" s="7" t="s">
        <v>82</v>
      </c>
      <c r="AL41" s="7" t="s">
        <v>84</v>
      </c>
      <c r="AM41" s="86" t="s">
        <v>86</v>
      </c>
      <c r="AN41" s="7" t="s">
        <v>88</v>
      </c>
      <c r="AO41" s="7" t="s">
        <v>91</v>
      </c>
      <c r="AP41" s="24" t="s">
        <v>92</v>
      </c>
      <c r="AQ41" s="13" t="s">
        <v>93</v>
      </c>
      <c r="AR41" s="7" t="s">
        <v>94</v>
      </c>
      <c r="AS41" s="7" t="s">
        <v>95</v>
      </c>
      <c r="AT41" s="7" t="s">
        <v>96</v>
      </c>
      <c r="AU41" s="7" t="s">
        <v>98</v>
      </c>
      <c r="AV41" s="7" t="s">
        <v>99</v>
      </c>
      <c r="AW41" s="9" t="s">
        <v>101</v>
      </c>
      <c r="AX41" s="9" t="s">
        <v>102</v>
      </c>
      <c r="AY41" s="9" t="s">
        <v>103</v>
      </c>
    </row>
    <row r="42" ht="15.75" customHeight="1">
      <c r="A42" s="28" t="s">
        <v>186</v>
      </c>
      <c r="B42" s="30">
        <v>1.95</v>
      </c>
      <c r="C42" s="29">
        <v>115.0</v>
      </c>
      <c r="D42" s="30">
        <v>0.99</v>
      </c>
      <c r="E42" s="32">
        <v>1.455</v>
      </c>
      <c r="F42" s="29">
        <v>2.5</v>
      </c>
      <c r="G42" s="26">
        <v>100.0</v>
      </c>
      <c r="H42" s="29">
        <v>200.0</v>
      </c>
      <c r="I42" s="29">
        <v>10.0</v>
      </c>
      <c r="J42" s="26">
        <v>4750.0</v>
      </c>
      <c r="K42" s="29">
        <v>8192.0</v>
      </c>
      <c r="L42" s="29" t="s">
        <v>187</v>
      </c>
      <c r="M42" s="29">
        <v>0.0</v>
      </c>
      <c r="N42" s="29">
        <v>1.0</v>
      </c>
      <c r="O42" s="29">
        <v>0.0</v>
      </c>
      <c r="P42" s="35">
        <v>0.35</v>
      </c>
      <c r="Q42" s="37">
        <v>0.4</v>
      </c>
      <c r="R42" s="34">
        <v>0.2</v>
      </c>
      <c r="S42" s="34">
        <v>60.6</v>
      </c>
      <c r="T42" s="34">
        <v>80.8</v>
      </c>
      <c r="U42" s="34">
        <v>53.85</v>
      </c>
      <c r="V42" s="34">
        <v>176.48</v>
      </c>
      <c r="W42" s="35">
        <v>133.830002</v>
      </c>
      <c r="X42" s="37">
        <v>172.860001</v>
      </c>
      <c r="Y42" s="32">
        <v>0.307</v>
      </c>
      <c r="Z42" s="32">
        <v>136.5</v>
      </c>
      <c r="AA42" s="43">
        <v>0.24671</v>
      </c>
      <c r="AB42" s="43">
        <f t="shared" ref="AB42:AB45" si="9">AA42</f>
        <v>0.24671</v>
      </c>
      <c r="AC42" s="43">
        <v>0.34539</v>
      </c>
      <c r="AD42" s="43">
        <f t="shared" ref="AD42:AD45" si="10">AC42</f>
        <v>0.34539</v>
      </c>
      <c r="AE42" s="29">
        <v>20.0</v>
      </c>
      <c r="AF42" s="45">
        <v>78.0</v>
      </c>
      <c r="AG42" s="29">
        <v>15.0</v>
      </c>
      <c r="AH42" s="34">
        <v>0.2</v>
      </c>
      <c r="AI42" s="34">
        <v>1.5</v>
      </c>
      <c r="AJ42" s="34">
        <v>2.0</v>
      </c>
      <c r="AK42" s="34">
        <v>53.85</v>
      </c>
      <c r="AL42" s="34">
        <v>176.48</v>
      </c>
      <c r="AM42" s="57">
        <v>133.830002</v>
      </c>
      <c r="AN42" s="32">
        <v>0.1</v>
      </c>
      <c r="AO42" s="32">
        <v>136.5</v>
      </c>
      <c r="AP42" s="49">
        <v>20.0</v>
      </c>
      <c r="AQ42" s="45">
        <v>25.0</v>
      </c>
      <c r="AR42" s="51">
        <v>2.0</v>
      </c>
      <c r="AS42" s="29">
        <v>100.0</v>
      </c>
      <c r="AT42" s="51">
        <v>0.0</v>
      </c>
      <c r="AU42" s="29">
        <v>40.0</v>
      </c>
      <c r="AV42" s="29">
        <v>10.0</v>
      </c>
      <c r="AW42" s="53"/>
      <c r="AX42" s="53"/>
      <c r="AY42" s="53"/>
    </row>
    <row r="43" ht="15.75" customHeight="1">
      <c r="A43" s="66" t="s">
        <v>188</v>
      </c>
      <c r="B43" s="30">
        <v>1.65</v>
      </c>
      <c r="C43" s="29">
        <v>80.0</v>
      </c>
      <c r="D43" s="30">
        <v>0.98</v>
      </c>
      <c r="E43" s="32">
        <v>0.25</v>
      </c>
      <c r="F43" s="29">
        <v>2.5</v>
      </c>
      <c r="G43" s="26">
        <v>300.0</v>
      </c>
      <c r="H43" s="29">
        <v>215.0</v>
      </c>
      <c r="I43" s="29">
        <v>20.0</v>
      </c>
      <c r="J43" s="26">
        <v>5000.0</v>
      </c>
      <c r="K43" s="29">
        <v>8192.0</v>
      </c>
      <c r="L43" s="29" t="s">
        <v>187</v>
      </c>
      <c r="M43" s="29">
        <v>1.0</v>
      </c>
      <c r="N43" s="29">
        <v>1.0</v>
      </c>
      <c r="O43" s="29">
        <v>0.0</v>
      </c>
      <c r="P43" s="35">
        <v>0.5</v>
      </c>
      <c r="Q43" s="37">
        <v>0.65</v>
      </c>
      <c r="R43" s="34">
        <v>0.3</v>
      </c>
      <c r="S43" s="34">
        <v>19.35</v>
      </c>
      <c r="T43" s="34">
        <v>25.8</v>
      </c>
      <c r="U43" s="34">
        <v>18.61</v>
      </c>
      <c r="V43" s="34">
        <v>150.48</v>
      </c>
      <c r="W43" s="35">
        <v>153.770004</v>
      </c>
      <c r="X43" s="37">
        <v>107.690002</v>
      </c>
      <c r="Y43" s="32">
        <v>0.262</v>
      </c>
      <c r="Z43" s="32">
        <v>116.39</v>
      </c>
      <c r="AA43" s="43">
        <v>0.388808</v>
      </c>
      <c r="AB43" s="43">
        <f t="shared" si="9"/>
        <v>0.388808</v>
      </c>
      <c r="AC43" s="43">
        <v>0.544331</v>
      </c>
      <c r="AD43" s="43">
        <f t="shared" si="10"/>
        <v>0.544331</v>
      </c>
      <c r="AE43" s="29">
        <v>30.0</v>
      </c>
      <c r="AF43" s="45">
        <v>30.0</v>
      </c>
      <c r="AG43" s="29">
        <v>4.0</v>
      </c>
      <c r="AH43" s="34">
        <v>0.3</v>
      </c>
      <c r="AI43" s="34">
        <v>1.5</v>
      </c>
      <c r="AJ43" s="34">
        <v>2.0</v>
      </c>
      <c r="AK43" s="34">
        <v>18.61</v>
      </c>
      <c r="AL43" s="34">
        <v>150.48</v>
      </c>
      <c r="AM43" s="57">
        <v>153.770004</v>
      </c>
      <c r="AN43" s="32">
        <v>0.262</v>
      </c>
      <c r="AO43" s="32">
        <v>116.39</v>
      </c>
      <c r="AP43" s="49">
        <v>30.0</v>
      </c>
      <c r="AQ43" s="45">
        <v>30.0</v>
      </c>
      <c r="AR43" s="51">
        <v>4.0</v>
      </c>
      <c r="AS43" s="29">
        <v>120.0</v>
      </c>
      <c r="AT43" s="51">
        <v>0.0</v>
      </c>
      <c r="AU43" s="29">
        <v>40.0</v>
      </c>
      <c r="AV43" s="29">
        <v>15.0</v>
      </c>
      <c r="AW43" s="53"/>
      <c r="AX43" s="53"/>
      <c r="AY43" s="53"/>
    </row>
    <row r="44" ht="15.75" customHeight="1">
      <c r="A44" s="61" t="s">
        <v>190</v>
      </c>
      <c r="B44" s="30">
        <v>1.65</v>
      </c>
      <c r="C44" s="29">
        <v>80.0</v>
      </c>
      <c r="D44" s="30">
        <v>0.98</v>
      </c>
      <c r="E44" s="32">
        <v>0.25</v>
      </c>
      <c r="F44" s="29">
        <v>2.5</v>
      </c>
      <c r="G44" s="26">
        <v>300.0</v>
      </c>
      <c r="H44" s="29">
        <v>215.0</v>
      </c>
      <c r="I44" s="29">
        <v>20.0</v>
      </c>
      <c r="J44" s="26">
        <v>5000.0</v>
      </c>
      <c r="K44" s="29">
        <v>8192.0</v>
      </c>
      <c r="L44" s="29" t="s">
        <v>187</v>
      </c>
      <c r="M44" s="29">
        <v>1.0</v>
      </c>
      <c r="N44" s="29">
        <v>1.0</v>
      </c>
      <c r="O44" s="29">
        <v>0.0</v>
      </c>
      <c r="P44" s="35">
        <v>0.35</v>
      </c>
      <c r="Q44" s="37">
        <v>0.4</v>
      </c>
      <c r="R44" s="34">
        <v>0.3</v>
      </c>
      <c r="S44" s="34">
        <v>19.35</v>
      </c>
      <c r="T44" s="34">
        <v>25.8</v>
      </c>
      <c r="U44" s="34">
        <v>18.61</v>
      </c>
      <c r="V44" s="34">
        <v>150.48</v>
      </c>
      <c r="W44" s="35">
        <v>153.770004</v>
      </c>
      <c r="X44" s="37">
        <v>107.690002</v>
      </c>
      <c r="Y44" s="32">
        <v>0.262</v>
      </c>
      <c r="Z44" s="32">
        <v>116.39</v>
      </c>
      <c r="AA44" s="43">
        <v>0.388808</v>
      </c>
      <c r="AB44" s="43">
        <f t="shared" si="9"/>
        <v>0.388808</v>
      </c>
      <c r="AC44" s="43">
        <v>0.544331</v>
      </c>
      <c r="AD44" s="43">
        <f t="shared" si="10"/>
        <v>0.544331</v>
      </c>
      <c r="AE44" s="29">
        <v>30.0</v>
      </c>
      <c r="AF44" s="45">
        <v>31.0</v>
      </c>
      <c r="AG44" s="29">
        <v>4.0</v>
      </c>
      <c r="AH44" s="34">
        <v>0.3</v>
      </c>
      <c r="AI44" s="34">
        <v>1.5</v>
      </c>
      <c r="AJ44" s="34">
        <v>2.0</v>
      </c>
      <c r="AK44" s="34">
        <v>18.61</v>
      </c>
      <c r="AL44" s="34">
        <v>150.48</v>
      </c>
      <c r="AM44" s="57">
        <v>153.770004</v>
      </c>
      <c r="AN44" s="32">
        <v>0.262</v>
      </c>
      <c r="AO44" s="32">
        <v>116.39</v>
      </c>
      <c r="AP44" s="49">
        <v>30.0</v>
      </c>
      <c r="AQ44" s="45">
        <v>31.0</v>
      </c>
      <c r="AR44" s="51">
        <v>4.0</v>
      </c>
      <c r="AS44" s="29">
        <v>120.0</v>
      </c>
      <c r="AT44" s="51">
        <v>0.0</v>
      </c>
      <c r="AU44" s="29">
        <v>40.0</v>
      </c>
      <c r="AV44" s="29">
        <v>15.0</v>
      </c>
      <c r="AW44" s="53"/>
      <c r="AX44" s="53"/>
      <c r="AY44" s="53"/>
    </row>
    <row r="45" ht="15.75" customHeight="1">
      <c r="A45" s="28" t="s">
        <v>192</v>
      </c>
      <c r="B45" s="30">
        <v>1.7</v>
      </c>
      <c r="C45" s="29">
        <v>88.0</v>
      </c>
      <c r="D45" s="30">
        <v>0.98</v>
      </c>
      <c r="E45" s="32">
        <v>1.25</v>
      </c>
      <c r="F45" s="29">
        <v>2.5</v>
      </c>
      <c r="G45" s="26">
        <v>300.0</v>
      </c>
      <c r="H45" s="29">
        <v>230.0</v>
      </c>
      <c r="I45" s="29">
        <v>10.0</v>
      </c>
      <c r="J45" s="26">
        <v>1700.0</v>
      </c>
      <c r="K45" s="29">
        <v>8192.0</v>
      </c>
      <c r="L45" s="29" t="s">
        <v>187</v>
      </c>
      <c r="M45" s="29">
        <v>0.0</v>
      </c>
      <c r="N45" s="29">
        <v>1.0</v>
      </c>
      <c r="O45" s="29">
        <v>0.0</v>
      </c>
      <c r="P45" s="35">
        <v>0.35</v>
      </c>
      <c r="Q45" s="37">
        <v>0.4</v>
      </c>
      <c r="R45" s="34">
        <v>0.28</v>
      </c>
      <c r="S45" s="34">
        <v>23.78</v>
      </c>
      <c r="T45" s="34">
        <v>31.7</v>
      </c>
      <c r="U45" s="34">
        <v>22.92</v>
      </c>
      <c r="V45" s="34">
        <v>123.45</v>
      </c>
      <c r="W45" s="35">
        <v>5.72</v>
      </c>
      <c r="X45" s="37">
        <v>208.720001</v>
      </c>
      <c r="Y45" s="32">
        <v>0.215</v>
      </c>
      <c r="Z45" s="32">
        <v>95.49</v>
      </c>
      <c r="AA45" s="43">
        <v>0.055783</v>
      </c>
      <c r="AB45" s="43">
        <f t="shared" si="9"/>
        <v>0.055783</v>
      </c>
      <c r="AC45" s="43">
        <v>0.142096</v>
      </c>
      <c r="AD45" s="43">
        <f t="shared" si="10"/>
        <v>0.142096</v>
      </c>
      <c r="AE45" s="29">
        <v>20.0</v>
      </c>
      <c r="AF45" s="45">
        <v>33.0</v>
      </c>
      <c r="AG45" s="29">
        <v>15.0</v>
      </c>
      <c r="AH45" s="34">
        <v>0.23</v>
      </c>
      <c r="AI45" s="34">
        <v>2.8</v>
      </c>
      <c r="AJ45" s="34">
        <v>3.0</v>
      </c>
      <c r="AK45" s="34">
        <v>22.92</v>
      </c>
      <c r="AL45" s="34">
        <v>123.45</v>
      </c>
      <c r="AM45" s="57">
        <v>5.72</v>
      </c>
      <c r="AN45" s="32">
        <v>0.215</v>
      </c>
      <c r="AO45" s="32">
        <v>95.49</v>
      </c>
      <c r="AP45" s="49">
        <v>20.0</v>
      </c>
      <c r="AQ45" s="45">
        <v>25.0</v>
      </c>
      <c r="AR45" s="51">
        <v>2.0</v>
      </c>
      <c r="AS45" s="29">
        <v>230.0</v>
      </c>
      <c r="AT45" s="51">
        <v>0.0</v>
      </c>
      <c r="AU45" s="29">
        <v>40.0</v>
      </c>
      <c r="AV45" s="29">
        <v>15.0</v>
      </c>
      <c r="AW45" s="53"/>
      <c r="AX45" s="53"/>
      <c r="AY45" s="53"/>
    </row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0"/>
  <cols>
    <col customWidth="1" min="1" max="1" width="14.57"/>
    <col customWidth="1" min="2" max="38" width="11.71"/>
    <col customWidth="1" min="39" max="39" width="4.57"/>
    <col customWidth="1" min="40" max="42" width="11.71"/>
    <col customWidth="1" min="43" max="43" width="3.71"/>
    <col customWidth="1" min="44" max="47" width="11.71"/>
    <col customWidth="1" min="48" max="48" width="4.57"/>
    <col customWidth="1" min="49" max="50" width="11.71"/>
    <col customWidth="1" min="51" max="51" width="4.57"/>
    <col customWidth="1" min="52" max="58" width="11.71"/>
    <col customWidth="1" min="59" max="59" width="4.57"/>
    <col customWidth="1" min="60" max="61" width="11.71"/>
    <col customWidth="1" min="62" max="62" width="4.57"/>
    <col customWidth="1" min="63" max="64" width="11.71"/>
  </cols>
  <sheetData>
    <row r="1" ht="15.75" customHeight="1">
      <c r="A1" s="2" t="s">
        <v>1</v>
      </c>
      <c r="B1" s="4" t="s">
        <v>3</v>
      </c>
      <c r="C1" s="4" t="s">
        <v>5</v>
      </c>
      <c r="D1" s="4" t="s">
        <v>6</v>
      </c>
      <c r="E1" s="6" t="s">
        <v>7</v>
      </c>
      <c r="F1" s="4" t="s">
        <v>9</v>
      </c>
      <c r="G1" s="4" t="s">
        <v>10</v>
      </c>
      <c r="H1" s="6" t="s">
        <v>11</v>
      </c>
      <c r="I1" s="6" t="s">
        <v>12</v>
      </c>
      <c r="J1" s="10" t="s">
        <v>13</v>
      </c>
      <c r="K1" s="12" t="s">
        <v>27</v>
      </c>
      <c r="L1" s="12" t="s">
        <v>33</v>
      </c>
      <c r="M1" s="12" t="s">
        <v>35</v>
      </c>
      <c r="N1" s="12" t="s">
        <v>37</v>
      </c>
      <c r="O1" s="14" t="s">
        <v>38</v>
      </c>
      <c r="P1" s="14" t="s">
        <v>46</v>
      </c>
      <c r="Q1" s="14" t="s">
        <v>47</v>
      </c>
      <c r="R1" s="14" t="s">
        <v>48</v>
      </c>
      <c r="S1" s="14"/>
      <c r="T1" s="14"/>
      <c r="U1" s="14"/>
      <c r="V1" s="14"/>
      <c r="W1" s="14"/>
      <c r="X1" s="17"/>
      <c r="Y1" s="12" t="s">
        <v>51</v>
      </c>
      <c r="Z1" s="12" t="s">
        <v>52</v>
      </c>
      <c r="AA1" s="12" t="s">
        <v>53</v>
      </c>
      <c r="AB1" s="14" t="s">
        <v>54</v>
      </c>
      <c r="AC1" s="14" t="s">
        <v>55</v>
      </c>
      <c r="AD1" s="14" t="s">
        <v>56</v>
      </c>
      <c r="AE1" s="14" t="s">
        <v>58</v>
      </c>
      <c r="AF1" s="14" t="s">
        <v>59</v>
      </c>
      <c r="AG1" s="14" t="s">
        <v>61</v>
      </c>
      <c r="AM1" s="22"/>
      <c r="AN1" s="16" t="s">
        <v>77</v>
      </c>
      <c r="AO1" s="16" t="s">
        <v>80</v>
      </c>
      <c r="AP1" s="16" t="s">
        <v>83</v>
      </c>
      <c r="AQ1" s="22"/>
      <c r="AR1" s="4" t="s">
        <v>85</v>
      </c>
      <c r="AS1" s="4" t="s">
        <v>87</v>
      </c>
      <c r="AT1" s="4" t="s">
        <v>89</v>
      </c>
      <c r="AU1" s="6" t="s">
        <v>90</v>
      </c>
      <c r="AV1" s="25"/>
      <c r="AW1" s="6" t="s">
        <v>16</v>
      </c>
      <c r="AX1" s="4" t="s">
        <v>97</v>
      </c>
      <c r="AY1" s="25"/>
      <c r="AZ1" s="27" t="s">
        <v>100</v>
      </c>
      <c r="BA1" s="27" t="s">
        <v>105</v>
      </c>
      <c r="BB1" s="27" t="s">
        <v>106</v>
      </c>
      <c r="BC1" s="27" t="s">
        <v>107</v>
      </c>
      <c r="BD1" s="27" t="s">
        <v>108</v>
      </c>
      <c r="BE1" s="27" t="s">
        <v>109</v>
      </c>
      <c r="BF1" s="27" t="s">
        <v>110</v>
      </c>
      <c r="BG1" s="25"/>
      <c r="BH1" s="6" t="s">
        <v>111</v>
      </c>
      <c r="BI1" s="6" t="s">
        <v>112</v>
      </c>
      <c r="BJ1" s="33"/>
      <c r="BK1" s="38" t="s">
        <v>114</v>
      </c>
      <c r="BL1" s="42" t="s">
        <v>115</v>
      </c>
    </row>
    <row r="2" ht="15.75" customHeight="1">
      <c r="A2" s="44" t="s">
        <v>104</v>
      </c>
      <c r="B2" s="46">
        <f>SUM('Raw Values'!R2+'Raw Values'!S2)</f>
        <v>4.18</v>
      </c>
      <c r="C2" s="46">
        <f>SUM('Raw Values'!R2+'Raw Values'!T2)</f>
        <v>6.2</v>
      </c>
      <c r="D2" s="46">
        <f>SUM('Raw Values'!R2+'Raw Values'!T2+'Raw Values'!V2)</f>
        <v>54.3</v>
      </c>
      <c r="E2" s="52">
        <f t="shared" ref="E2:E11" si="3">SUM(B2/C2)</f>
        <v>0.6741935484</v>
      </c>
      <c r="F2" s="46">
        <f>SUM($B2+'Firing Inaccuracy(Crouching) Ra'!$M2)</f>
        <v>37.54210859</v>
      </c>
      <c r="G2" s="46">
        <f>SUM($C2+'Firing Inaccuracy(Standing) Raw'!$M2)</f>
        <v>85.24867135</v>
      </c>
      <c r="H2" s="46">
        <f>SUM($D2+'Firing Inaccuracy(Standing) Raw'!$M2)</f>
        <v>133.3486714</v>
      </c>
      <c r="I2" s="52">
        <f t="shared" ref="I2:I11" si="4">SUM(F2/G2)</f>
        <v>0.4403835038</v>
      </c>
      <c r="J2" s="55"/>
      <c r="K2" s="55"/>
      <c r="L2" s="55"/>
      <c r="M2" s="55">
        <f>SUM(('Raw Values'!$AC2+(('Raw Values'!$AD2-'Raw Values'!$AC2)/7)))</f>
        <v>0.8112</v>
      </c>
      <c r="N2" s="56">
        <f>SUM(('Raw Values'!$AC2+(2*('Raw Values'!$AD2-'Raw Values'!$AC2)/7)))</f>
        <v>0.8112</v>
      </c>
      <c r="O2" s="56">
        <f>SUM(('Raw Values'!$AC2+(3*('Raw Values'!$AD2-'Raw Values'!$AC2)/7)))</f>
        <v>0.8112</v>
      </c>
      <c r="P2" s="56">
        <f>SUM(('Raw Values'!$AC2+(4*('Raw Values'!$AD2-'Raw Values'!$AC2)/7)))</f>
        <v>0.8112</v>
      </c>
      <c r="Q2" s="56">
        <f>SUM(('Raw Values'!$AC2+(5*('Raw Values'!$AD2-'Raw Values'!$AC2)/7)))</f>
        <v>0.8112</v>
      </c>
      <c r="R2" s="56">
        <f>SUM(('Raw Values'!$AC2+(6*('Raw Values'!$AD2-'Raw Values'!$AC2)/7)))</f>
        <v>0.8112</v>
      </c>
      <c r="S2" s="56"/>
      <c r="T2" s="56"/>
      <c r="U2" s="56"/>
      <c r="V2" s="56"/>
      <c r="W2" s="56"/>
      <c r="X2" s="58"/>
      <c r="Y2" s="59"/>
      <c r="Z2" s="59"/>
      <c r="AA2" s="55"/>
      <c r="AB2" s="60">
        <f>SUM(('Raw Values'!$AA2+(('Raw Values'!$AB2-'Raw Values'!$AA2)/7)))</f>
        <v>0.449927</v>
      </c>
      <c r="AC2" s="60">
        <f>SUM(('Raw Values'!$AA2+(2*('Raw Values'!$AB2-'Raw Values'!$AA2)/7)))</f>
        <v>0.449927</v>
      </c>
      <c r="AD2" s="60">
        <f>SUM(('Raw Values'!$AA2+(3*('Raw Values'!$AB2-'Raw Values'!$AA2)/7)))</f>
        <v>0.449927</v>
      </c>
      <c r="AE2" s="60">
        <f>SUM(('Raw Values'!$AA2+(4*('Raw Values'!$AB2-'Raw Values'!$AA2)/7)))</f>
        <v>0.449927</v>
      </c>
      <c r="AF2" s="60">
        <f>SUM(('Raw Values'!$AA2+(5*('Raw Values'!$AB2-'Raw Values'!$AA2)/7)))</f>
        <v>0.449927</v>
      </c>
      <c r="AG2" s="62">
        <f>SUM(('Raw Values'!$AA2+(6*('Raw Values'!$AB2-'Raw Values'!$AA2)/7)))</f>
        <v>0.449927</v>
      </c>
      <c r="AM2" s="63"/>
      <c r="AN2" s="65">
        <f t="shared" ref="AN2:AP2" si="1">SUM(DEGREES(atan(B2/1000))*2)</f>
        <v>0.478989927</v>
      </c>
      <c r="AO2" s="65">
        <f t="shared" si="1"/>
        <v>0.7104585627</v>
      </c>
      <c r="AP2" s="65">
        <f t="shared" si="1"/>
        <v>6.216216967</v>
      </c>
      <c r="AQ2" s="63"/>
      <c r="AR2" s="46">
        <f t="shared" ref="AR2:AT2" si="2">SUM((pi())*B2^2)</f>
        <v>54.89116348</v>
      </c>
      <c r="AS2" s="46">
        <f t="shared" si="2"/>
        <v>120.7628216</v>
      </c>
      <c r="AT2" s="46">
        <f t="shared" si="2"/>
        <v>9262.954523</v>
      </c>
      <c r="AU2" s="52">
        <f t="shared" ref="AU2:AU11" si="7">SUM(AR2/AS2)</f>
        <v>0.4545369407</v>
      </c>
      <c r="AV2" s="63"/>
      <c r="AW2" s="52">
        <f>SUM('Raw Values'!B2/2)</f>
        <v>0.932</v>
      </c>
      <c r="AX2" s="46">
        <f>Sum((1-AW2)*'Raw Values'!C2 * 0.5)</f>
        <v>2.142</v>
      </c>
      <c r="AY2" s="63"/>
      <c r="AZ2" s="67">
        <f>ROUNDDOWN('Raw Values'!C2*('Raw Values'!$D2^(18/500)))</f>
        <v>62</v>
      </c>
      <c r="BA2" s="67">
        <f>ROUNDDOWN('Raw Values'!C2*('Raw Values'!$D2^(18/500))*4)</f>
        <v>250</v>
      </c>
      <c r="BB2" s="67">
        <f>ROUNDDOWN('Raw Values'!C2*('Raw Values'!$D2^(18/500))*1.25)</f>
        <v>78</v>
      </c>
      <c r="BC2" s="67">
        <f>ROUNDDOWN('Raw Values'!C2*('Raw Values'!$D2^(18/500))*0.75)</f>
        <v>46</v>
      </c>
      <c r="BD2" s="67">
        <f>ROUNDDOWN('Raw Values'!C2*('Raw Values'!$D2^(18/500))*AW2)</f>
        <v>58</v>
      </c>
      <c r="BE2" s="67">
        <f>ROUNDDOWN('Raw Values'!C2*('Raw Values'!$D2^(18/500))*AW2*4)</f>
        <v>233</v>
      </c>
      <c r="BF2" s="67">
        <f>ROUNDDOWN('Raw Values'!C2*('Raw Values'!$D2^(18/500))*AW2*1.25)</f>
        <v>72</v>
      </c>
      <c r="BG2" s="63"/>
      <c r="BH2" s="69">
        <f>SUM(AZ2*(1/'Raw Values'!$E2))</f>
        <v>275.5555556</v>
      </c>
      <c r="BI2" s="69">
        <f t="shared" ref="BI2:BI11" si="8">SUM(BH2*AW2)</f>
        <v>256.8177778</v>
      </c>
      <c r="BJ2" s="33"/>
      <c r="BK2" s="70">
        <f>SUM(AZ2*'Raw Values'!I2)</f>
        <v>434</v>
      </c>
      <c r="BL2" s="71">
        <f t="shared" ref="BL2:BL11" si="9">SUM(BK2*AW2)</f>
        <v>404.488</v>
      </c>
    </row>
    <row r="3" ht="15.75" customHeight="1">
      <c r="A3" s="44" t="s">
        <v>118</v>
      </c>
      <c r="B3" s="46">
        <f>SUM('Raw Values'!R3+'Raw Values'!S3)</f>
        <v>1.52</v>
      </c>
      <c r="C3" s="46">
        <f>SUM('Raw Values'!R3+'Raw Values'!T3)</f>
        <v>2.52</v>
      </c>
      <c r="D3" s="46">
        <f>SUM('Raw Values'!R3+'Raw Values'!T3+'Raw Values'!V3)</f>
        <v>9.02</v>
      </c>
      <c r="E3" s="52">
        <f t="shared" si="3"/>
        <v>0.6031746032</v>
      </c>
      <c r="F3" s="46">
        <f>SUM($B3+'Firing Inaccuracy(Crouching) Ra'!$M4)</f>
        <v>14.48667752</v>
      </c>
      <c r="G3" s="46">
        <f>SUM($C3+'Firing Inaccuracy(Standing) Raw'!$M4)</f>
        <v>18.64139075</v>
      </c>
      <c r="H3" s="46">
        <f>SUM($D3+'Firing Inaccuracy(Standing) Raw'!$M3)</f>
        <v>39.80803771</v>
      </c>
      <c r="I3" s="52">
        <f t="shared" si="4"/>
        <v>0.7771242884</v>
      </c>
      <c r="J3" s="55"/>
      <c r="K3" s="55"/>
      <c r="L3" s="55"/>
      <c r="M3" s="55">
        <f>SUM(('Raw Values'!$AC3+(('Raw Values'!$AD3-'Raw Values'!$AC3)/7)))</f>
        <v>0.9</v>
      </c>
      <c r="N3" s="56">
        <f>SUM(('Raw Values'!$AC3+(2*('Raw Values'!$AD3-'Raw Values'!$AC3)/7)))</f>
        <v>0.9</v>
      </c>
      <c r="O3" s="56">
        <f>SUM(('Raw Values'!$AC3+(3*('Raw Values'!$AD3-'Raw Values'!$AC3)/7)))</f>
        <v>0.9</v>
      </c>
      <c r="P3" s="56">
        <f>SUM(('Raw Values'!$AC3+(4*('Raw Values'!$AD3-'Raw Values'!$AC3)/7)))</f>
        <v>0.9</v>
      </c>
      <c r="Q3" s="56">
        <f>SUM(('Raw Values'!$AC3+(5*('Raw Values'!$AD3-'Raw Values'!$AC3)/7)))</f>
        <v>0.9</v>
      </c>
      <c r="R3" s="56">
        <f>SUM(('Raw Values'!$AC3+(6*('Raw Values'!$AD3-'Raw Values'!$AC3)/7)))</f>
        <v>0.9</v>
      </c>
      <c r="S3" s="56"/>
      <c r="T3" s="56"/>
      <c r="U3" s="56"/>
      <c r="V3" s="56"/>
      <c r="W3" s="56"/>
      <c r="X3" s="72"/>
      <c r="Y3" s="59"/>
      <c r="Z3" s="59"/>
      <c r="AA3" s="55"/>
      <c r="AB3" s="60">
        <f>SUM(('Raw Values'!$AA3+(('Raw Values'!$AB3-'Raw Values'!$AA3)/7)))</f>
        <v>0.7</v>
      </c>
      <c r="AC3" s="60">
        <f>SUM(('Raw Values'!$AA3+(2*('Raw Values'!$AB3-'Raw Values'!$AA3)/7)))</f>
        <v>0.7</v>
      </c>
      <c r="AD3" s="60">
        <f>SUM(('Raw Values'!$AA3+(3*('Raw Values'!$AB3-'Raw Values'!$AA3)/7)))</f>
        <v>0.7</v>
      </c>
      <c r="AE3" s="60">
        <f>SUM(('Raw Values'!$AA3+(4*('Raw Values'!$AB3-'Raw Values'!$AA3)/7)))</f>
        <v>0.7</v>
      </c>
      <c r="AF3" s="60">
        <f>SUM(('Raw Values'!$AA3+(5*('Raw Values'!$AB3-'Raw Values'!$AA3)/7)))</f>
        <v>0.7</v>
      </c>
      <c r="AG3" s="62">
        <f>SUM(('Raw Values'!$AA3+(6*('Raw Values'!$AB3-'Raw Values'!$AA3)/7)))</f>
        <v>0.7</v>
      </c>
      <c r="AM3" s="63"/>
      <c r="AN3" s="65">
        <f t="shared" ref="AN3:AP3" si="5">SUM(DEGREES(atan(B3/1000))*2)</f>
        <v>0.1741790356</v>
      </c>
      <c r="AO3" s="65">
        <f t="shared" si="5"/>
        <v>0.2887701175</v>
      </c>
      <c r="AP3" s="65">
        <f t="shared" si="5"/>
        <v>1.033587832</v>
      </c>
      <c r="AQ3" s="63"/>
      <c r="AR3" s="46">
        <f t="shared" ref="AR3:AT3" si="6">SUM((pi())*B3^2)</f>
        <v>7.258335667</v>
      </c>
      <c r="AS3" s="46">
        <f t="shared" si="6"/>
        <v>19.95036999</v>
      </c>
      <c r="AT3" s="46">
        <f t="shared" si="6"/>
        <v>255.6012349</v>
      </c>
      <c r="AU3" s="52">
        <f t="shared" si="7"/>
        <v>0.3638196019</v>
      </c>
      <c r="AV3" s="63"/>
      <c r="AW3" s="52">
        <f>SUM('Raw Values'!B3/2)</f>
        <v>0.932</v>
      </c>
      <c r="AX3" s="46">
        <f>Sum((1-AW3)*'Raw Values'!C3 * 0.5)</f>
        <v>2.924</v>
      </c>
      <c r="AY3" s="63"/>
      <c r="AZ3" s="67">
        <f>ROUNDDOWN('Raw Values'!C3*('Raw Values'!$D3^(18/500)))</f>
        <v>85</v>
      </c>
      <c r="BA3" s="67">
        <f>ROUNDDOWN('Raw Values'!C3*('Raw Values'!$D3^(18/500))*4)</f>
        <v>343</v>
      </c>
      <c r="BB3" s="67">
        <f>ROUNDDOWN('Raw Values'!C3*('Raw Values'!$D3^(18/500))*1.25)</f>
        <v>107</v>
      </c>
      <c r="BC3" s="67">
        <f>ROUNDDOWN('Raw Values'!C3*('Raw Values'!$D3^(18/500))*0.75)</f>
        <v>64</v>
      </c>
      <c r="BD3" s="67">
        <f>ROUNDDOWN('Raw Values'!C3*('Raw Values'!$D3^(18/500))*AW3)</f>
        <v>79</v>
      </c>
      <c r="BE3" s="67">
        <f>ROUNDDOWN('Raw Values'!C3*('Raw Values'!$D3^(18/500))*AW3*4)</f>
        <v>319</v>
      </c>
      <c r="BF3" s="67">
        <f>ROUNDDOWN('Raw Values'!C3*('Raw Values'!$D3^(18/500))*AW3*1.25)</f>
        <v>99</v>
      </c>
      <c r="BG3" s="63"/>
      <c r="BH3" s="69">
        <f>SUM(AZ3*(1/'Raw Values'!$E3))</f>
        <v>170</v>
      </c>
      <c r="BI3" s="69">
        <f t="shared" si="8"/>
        <v>158.44</v>
      </c>
      <c r="BJ3" s="33"/>
      <c r="BK3" s="70">
        <f>SUM(AZ3*'Raw Values'!I3)</f>
        <v>680</v>
      </c>
      <c r="BL3" s="71">
        <f t="shared" si="9"/>
        <v>633.76</v>
      </c>
    </row>
    <row r="4" ht="15.75" customHeight="1">
      <c r="A4" s="44" t="s">
        <v>120</v>
      </c>
      <c r="B4" s="46">
        <f>SUM('Raw Values'!R4+'Raw Values'!S4)</f>
        <v>7.25</v>
      </c>
      <c r="C4" s="46">
        <f>SUM('Raw Values'!R4+'Raw Values'!T4)</f>
        <v>9</v>
      </c>
      <c r="D4" s="46">
        <f>SUM('Raw Values'!R4+'Raw Values'!T4+'Raw Values'!V4)</f>
        <v>26.85</v>
      </c>
      <c r="E4" s="52">
        <f t="shared" si="3"/>
        <v>0.8055555556</v>
      </c>
      <c r="F4" s="46">
        <f>SUM($B4+'Firing Inaccuracy(Crouching) Ra'!$AJ4)</f>
        <v>20.23887957</v>
      </c>
      <c r="G4" s="46">
        <f>SUM($C4+'Firing Inaccuracy(Standing) Raw'!$AJ4)</f>
        <v>25.54012112</v>
      </c>
      <c r="H4" s="46">
        <f>SUM($D4+'Firing Inaccuracy(Standing) Raw'!$M4)</f>
        <v>42.97139075</v>
      </c>
      <c r="I4" s="52">
        <f t="shared" si="4"/>
        <v>0.7924347528</v>
      </c>
      <c r="J4" s="55"/>
      <c r="K4" s="55"/>
      <c r="L4" s="55"/>
      <c r="M4" s="55">
        <f>SUM(('Raw Values'!$AC4+(('Raw Values'!$AD4-'Raw Values'!$AC4)/7)))</f>
        <v>0.524989</v>
      </c>
      <c r="N4" s="56">
        <f>SUM(('Raw Values'!$AC4+(2*('Raw Values'!$AD4-'Raw Values'!$AC4)/7)))</f>
        <v>0.524989</v>
      </c>
      <c r="O4" s="56">
        <f>SUM(('Raw Values'!$AC4+(3*('Raw Values'!$AD4-'Raw Values'!$AC4)/7)))</f>
        <v>0.524989</v>
      </c>
      <c r="P4" s="56">
        <f>SUM(('Raw Values'!$AC4+(4*('Raw Values'!$AD4-'Raw Values'!$AC4)/7)))</f>
        <v>0.524989</v>
      </c>
      <c r="Q4" s="56">
        <f>SUM(('Raw Values'!$AC4+(5*('Raw Values'!$AD4-'Raw Values'!$AC4)/7)))</f>
        <v>0.524989</v>
      </c>
      <c r="R4" s="56">
        <f>SUM(('Raw Values'!$AC4+(6*('Raw Values'!$AD4-'Raw Values'!$AC4)/7)))</f>
        <v>0.524989</v>
      </c>
      <c r="S4" s="56"/>
      <c r="T4" s="56"/>
      <c r="U4" s="56"/>
      <c r="V4" s="56"/>
      <c r="W4" s="56"/>
      <c r="X4" s="72"/>
      <c r="Y4" s="59"/>
      <c r="Z4" s="59"/>
      <c r="AA4" s="55"/>
      <c r="AB4" s="60">
        <f>SUM(('Raw Values'!$AA4+(('Raw Values'!$AB4-'Raw Values'!$AA4)/7)))</f>
        <v>0.437491</v>
      </c>
      <c r="AC4" s="60">
        <f>SUM(('Raw Values'!$AA4+(2*('Raw Values'!$AB4-'Raw Values'!$AA4)/7)))</f>
        <v>0.437491</v>
      </c>
      <c r="AD4" s="60">
        <f>SUM(('Raw Values'!$AA4+(3*('Raw Values'!$AB4-'Raw Values'!$AA4)/7)))</f>
        <v>0.437491</v>
      </c>
      <c r="AE4" s="60">
        <f>SUM(('Raw Values'!$AA4+(4*('Raw Values'!$AB4-'Raw Values'!$AA4)/7)))</f>
        <v>0.437491</v>
      </c>
      <c r="AF4" s="60">
        <f>SUM(('Raw Values'!$AA4+(5*('Raw Values'!$AB4-'Raw Values'!$AA4)/7)))</f>
        <v>0.437491</v>
      </c>
      <c r="AG4" s="62">
        <f>SUM(('Raw Values'!$AA4+(6*('Raw Values'!$AB4-'Raw Values'!$AA4)/7)))</f>
        <v>0.437491</v>
      </c>
      <c r="AH4" s="87"/>
      <c r="AI4" s="87"/>
      <c r="AJ4" s="87"/>
      <c r="AK4" s="87"/>
      <c r="AL4" s="87"/>
      <c r="AM4" s="88"/>
      <c r="AN4" s="65">
        <f t="shared" ref="AN4:AP4" si="10">SUM(DEGREES(atan(B4/1000))*2)</f>
        <v>0.8307742473</v>
      </c>
      <c r="AO4" s="65">
        <f t="shared" si="10"/>
        <v>1.031296187</v>
      </c>
      <c r="AP4" s="65">
        <f t="shared" si="10"/>
        <v>3.076044305</v>
      </c>
      <c r="AQ4" s="63"/>
      <c r="AR4" s="46">
        <f t="shared" ref="AR4:AT4" si="11">SUM((pi())*B4^2)</f>
        <v>165.1299639</v>
      </c>
      <c r="AS4" s="46">
        <f t="shared" si="11"/>
        <v>254.4690049</v>
      </c>
      <c r="AT4" s="46">
        <f t="shared" si="11"/>
        <v>2264.84483</v>
      </c>
      <c r="AU4" s="52">
        <f t="shared" si="7"/>
        <v>0.6489197531</v>
      </c>
      <c r="AV4" s="63"/>
      <c r="AW4" s="52">
        <f>SUM('Raw Values'!B4/2)</f>
        <v>0.575</v>
      </c>
      <c r="AX4" s="46">
        <f>Sum((1-AW4)*'Raw Values'!C4 * 0.5)</f>
        <v>8.075</v>
      </c>
      <c r="AY4" s="63"/>
      <c r="AZ4" s="67">
        <f>ROUNDDOWN('Raw Values'!C4*('Raw Values'!$D4^(18/500)))</f>
        <v>37</v>
      </c>
      <c r="BA4" s="67">
        <f>ROUNDDOWN('Raw Values'!C4*('Raw Values'!$D4^(18/500))*4)</f>
        <v>150</v>
      </c>
      <c r="BB4" s="67">
        <f>ROUNDDOWN('Raw Values'!C4*('Raw Values'!$D4^(18/500))*1.25)</f>
        <v>47</v>
      </c>
      <c r="BC4" s="67">
        <f>ROUNDDOWN('Raw Values'!C4*('Raw Values'!$D4^(18/500))*0.75)</f>
        <v>28</v>
      </c>
      <c r="BD4" s="67">
        <f>ROUNDDOWN('Raw Values'!C4*('Raw Values'!$D4^(18/500))*AW4)</f>
        <v>21</v>
      </c>
      <c r="BE4" s="67">
        <f>ROUNDDOWN('Raw Values'!C4*('Raw Values'!$D4^(18/500))*AW4*4)</f>
        <v>86</v>
      </c>
      <c r="BF4" s="67">
        <f>ROUNDDOWN('Raw Values'!C4*('Raw Values'!$D4^(18/500))*AW4*1.25)</f>
        <v>27</v>
      </c>
      <c r="BG4" s="63"/>
      <c r="BH4" s="69">
        <f>SUM(AZ4*(1/'Raw Values'!$E4))</f>
        <v>308.3333333</v>
      </c>
      <c r="BI4" s="69">
        <f t="shared" si="8"/>
        <v>177.2916667</v>
      </c>
      <c r="BJ4" s="33"/>
      <c r="BK4" s="70">
        <f>SUM(AZ4*'Raw Values'!I4)</f>
        <v>1110</v>
      </c>
      <c r="BL4" s="71">
        <f t="shared" si="9"/>
        <v>638.25</v>
      </c>
    </row>
    <row r="5" ht="15.75" customHeight="1">
      <c r="A5" s="90" t="s">
        <v>122</v>
      </c>
      <c r="B5" s="46">
        <f>SUM('Raw Values'!R5+'Raw Values'!S5)</f>
        <v>8.83</v>
      </c>
      <c r="C5" s="46">
        <f>SUM('Raw Values'!R5+'Raw Values'!T5)</f>
        <v>11.1</v>
      </c>
      <c r="D5" s="46">
        <f>SUM('Raw Values'!R5+'Raw Values'!T5+'Raw Values'!V5)</f>
        <v>51.1</v>
      </c>
      <c r="E5" s="52">
        <f t="shared" si="3"/>
        <v>0.7954954955</v>
      </c>
      <c r="F5" s="46">
        <f>SUM($B5+'Firing Inaccuracy(Crouching) Ra'!$Z5)</f>
        <v>33.94877998</v>
      </c>
      <c r="G5" s="46">
        <f>SUM($C5+'Firing Inaccuracy(Standing) Raw'!$Z5)</f>
        <v>36.21877998</v>
      </c>
      <c r="H5" s="46">
        <f>SUM($D5+'Firing Inaccuracy(Standing) Raw'!$M5)</f>
        <v>74.42414762</v>
      </c>
      <c r="I5" s="52">
        <f t="shared" si="4"/>
        <v>0.9373253323</v>
      </c>
      <c r="J5" s="59">
        <f>SUM(('Raw Values'!$AC5+(1*('Raw Values'!$AD5-'Raw Values'!$AC5)/5)))</f>
        <v>0.26</v>
      </c>
      <c r="K5" s="74">
        <f>SUM(('Raw Values'!$AC5+(2*('Raw Values'!$AD5-'Raw Values'!$AC5)/5)))</f>
        <v>0.32</v>
      </c>
      <c r="L5" s="74">
        <f>SUM(('Raw Values'!$AC5+(3*('Raw Values'!$AD5-'Raw Values'!$AC5)/5)))</f>
        <v>0.38</v>
      </c>
      <c r="M5" s="74">
        <f>SUM(('Raw Values'!$AC5+(4*('Raw Values'!$AD5-'Raw Values'!$AC5)/5)))</f>
        <v>0.44</v>
      </c>
      <c r="N5" s="74"/>
      <c r="O5" s="56"/>
      <c r="P5" s="56"/>
      <c r="Q5" s="56"/>
      <c r="R5" s="56"/>
      <c r="S5" s="56"/>
      <c r="T5" s="56"/>
      <c r="U5" s="56"/>
      <c r="V5" s="56"/>
      <c r="W5" s="56"/>
      <c r="X5" s="72"/>
      <c r="Y5" s="59">
        <f>SUM(('Raw Values'!$AA5+(1*('Raw Values'!$AB5-'Raw Values'!$AA5)/5)))</f>
        <v>0.26</v>
      </c>
      <c r="Z5" s="74">
        <f>SUM(('Raw Values'!$AA5+(2*('Raw Values'!$AB5-'Raw Values'!$AA5)/5)))</f>
        <v>0.32</v>
      </c>
      <c r="AA5" s="74">
        <f>SUM(('Raw Values'!$AC5+(3*('Raw Values'!$AD5-'Raw Values'!$AC5)/5)))</f>
        <v>0.38</v>
      </c>
      <c r="AB5" s="74">
        <f>SUM(('Raw Values'!$AA5+(4*('Raw Values'!$AB5-'Raw Values'!$AA5)/5)))</f>
        <v>0.44</v>
      </c>
      <c r="AC5" s="74"/>
      <c r="AD5" s="60"/>
      <c r="AE5" s="60"/>
      <c r="AF5" s="60"/>
      <c r="AG5" s="62"/>
      <c r="AH5" s="87"/>
      <c r="AI5" s="87"/>
      <c r="AJ5" s="87"/>
      <c r="AK5" s="87"/>
      <c r="AL5" s="87"/>
      <c r="AM5" s="88"/>
      <c r="AN5" s="65">
        <f t="shared" ref="AN5:AP5" si="12">SUM(DEGREES(atan(B5/1000))*2)</f>
        <v>1.01181717</v>
      </c>
      <c r="AO5" s="65">
        <f t="shared" si="12"/>
        <v>1.271914069</v>
      </c>
      <c r="AP5" s="65">
        <f t="shared" si="12"/>
        <v>5.850539878</v>
      </c>
      <c r="AQ5" s="63"/>
      <c r="AR5" s="46">
        <f t="shared" ref="AR5:AT5" si="13">SUM((pi())*B5^2)</f>
        <v>244.9465234</v>
      </c>
      <c r="AS5" s="46">
        <f t="shared" si="13"/>
        <v>387.0756308</v>
      </c>
      <c r="AT5" s="46">
        <f t="shared" si="13"/>
        <v>8203.358153</v>
      </c>
      <c r="AU5" s="52">
        <f t="shared" si="7"/>
        <v>0.6328130834</v>
      </c>
      <c r="AV5" s="63"/>
      <c r="AW5" s="52">
        <f>SUM('Raw Values'!B5/2)</f>
        <v>0.9115</v>
      </c>
      <c r="AX5" s="46">
        <f>Sum((1-AW5)*'Raw Values'!C5 * 0.5)</f>
        <v>1.416</v>
      </c>
      <c r="AY5" s="63"/>
      <c r="AZ5" s="67">
        <f>ROUNDDOWN('Raw Values'!C5*('Raw Values'!$D5^(18/500)))</f>
        <v>31</v>
      </c>
      <c r="BA5" s="67">
        <f>ROUNDDOWN('Raw Values'!C5*('Raw Values'!$D5^(18/500))*4)</f>
        <v>127</v>
      </c>
      <c r="BB5" s="67">
        <f>ROUNDDOWN('Raw Values'!C5*('Raw Values'!$D5^(18/500))*1.25)</f>
        <v>39</v>
      </c>
      <c r="BC5" s="67">
        <f>ROUNDDOWN('Raw Values'!C5*('Raw Values'!$D5^(18/500))*0.75)</f>
        <v>23</v>
      </c>
      <c r="BD5" s="67">
        <f>ROUNDDOWN('Raw Values'!C5*('Raw Values'!$D5^(18/500))*AW5)</f>
        <v>28</v>
      </c>
      <c r="BE5" s="67">
        <f>ROUNDDOWN('Raw Values'!C5*('Raw Values'!$D5^(18/500))*AW5*4)</f>
        <v>115</v>
      </c>
      <c r="BF5" s="67">
        <f>ROUNDDOWN('Raw Values'!C5*('Raw Values'!$D5^(18/500))*AW5*1.25)</f>
        <v>36</v>
      </c>
      <c r="BG5" s="63"/>
      <c r="BH5" s="69">
        <f>SUM(AZ5*(1/'Raw Values'!$E5))</f>
        <v>206.6666667</v>
      </c>
      <c r="BI5" s="69">
        <f t="shared" si="8"/>
        <v>188.3766667</v>
      </c>
      <c r="BJ5" s="33"/>
      <c r="BK5" s="70">
        <f>SUM(AZ5*'Raw Values'!I5)</f>
        <v>620</v>
      </c>
      <c r="BL5" s="71">
        <f t="shared" si="9"/>
        <v>565.13</v>
      </c>
    </row>
    <row r="6" ht="15.75" customHeight="1">
      <c r="A6" s="92" t="s">
        <v>124</v>
      </c>
      <c r="B6" s="46">
        <f>SUM('Raw Values'!R6+'Raw Values'!S6)</f>
        <v>6.2</v>
      </c>
      <c r="C6" s="46">
        <f>SUM('Raw Values'!R6+'Raw Values'!T6)</f>
        <v>7.6</v>
      </c>
      <c r="D6" s="46">
        <f>SUM('Raw Values'!R6+'Raw Values'!T6+'Raw Values'!V6)</f>
        <v>17.6</v>
      </c>
      <c r="E6" s="52">
        <f t="shared" si="3"/>
        <v>0.8157894737</v>
      </c>
      <c r="F6" s="46">
        <f>SUM($B6+'Firing Inaccuracy(Crouching) Ra'!$Z6)</f>
        <v>36.50244131</v>
      </c>
      <c r="G6" s="46">
        <f>SUM($C6+'Firing Inaccuracy(Standing) Raw'!$Z6)</f>
        <v>37.90244131</v>
      </c>
      <c r="H6" s="46">
        <f>SUM($D6+'Firing Inaccuracy(Standing) Raw'!$M6)</f>
        <v>47.22080707</v>
      </c>
      <c r="I6" s="52">
        <f t="shared" si="4"/>
        <v>0.9630630653</v>
      </c>
      <c r="J6" s="55">
        <f>SUM(('Raw Values'!$AC6+(1*('Raw Values'!$AD6-'Raw Values'!$AC6)/5)))</f>
        <v>0.226</v>
      </c>
      <c r="K6" s="56">
        <f>SUM(('Raw Values'!$AC6+(2*('Raw Values'!$AD6-'Raw Values'!$AC6)/5)))</f>
        <v>0.252</v>
      </c>
      <c r="L6" s="56">
        <f>SUM(('Raw Values'!$AC6+(3*('Raw Values'!$AD6-'Raw Values'!$AC6)/5)))</f>
        <v>0.278</v>
      </c>
      <c r="M6" s="56">
        <f>SUM(('Raw Values'!$AC6+(4*('Raw Values'!$AD6-'Raw Values'!$AC6)/5)))</f>
        <v>0.304</v>
      </c>
      <c r="N6" s="56"/>
      <c r="O6" s="56"/>
      <c r="P6" s="56"/>
      <c r="Q6" s="56"/>
      <c r="R6" s="56"/>
      <c r="S6" s="56"/>
      <c r="T6" s="56"/>
      <c r="U6" s="56"/>
      <c r="V6" s="56"/>
      <c r="W6" s="56"/>
      <c r="X6" s="72"/>
      <c r="Y6" s="55">
        <f>SUM(('Raw Values'!$AA6+(1*('Raw Values'!$AB6-'Raw Values'!$AA6)/5)))</f>
        <v>0.226</v>
      </c>
      <c r="Z6" s="56">
        <f>SUM(('Raw Values'!$AA6+(2*('Raw Values'!$AB6-'Raw Values'!$AA6)/5)))</f>
        <v>0.252</v>
      </c>
      <c r="AA6" s="56">
        <f>SUM(('Raw Values'!$AC6+(3*('Raw Values'!$AD6-'Raw Values'!$AC6)/5)))</f>
        <v>0.278</v>
      </c>
      <c r="AB6" s="56">
        <f>SUM(('Raw Values'!$AA6+(4*('Raw Values'!$AB6-'Raw Values'!$AA6)/5)))</f>
        <v>0.304</v>
      </c>
      <c r="AC6" s="56"/>
      <c r="AD6" s="60"/>
      <c r="AE6" s="60"/>
      <c r="AF6" s="60"/>
      <c r="AG6" s="62"/>
      <c r="AH6" s="87"/>
      <c r="AI6" s="87"/>
      <c r="AJ6" s="87"/>
      <c r="AK6" s="87"/>
      <c r="AL6" s="87"/>
      <c r="AM6" s="88"/>
      <c r="AN6" s="65">
        <f t="shared" ref="AN6:AP6" si="14">SUM(DEGREES(atan(B6/1000))*2)</f>
        <v>0.7104585627</v>
      </c>
      <c r="AO6" s="65">
        <f t="shared" si="14"/>
        <v>0.8708790815</v>
      </c>
      <c r="AP6" s="65">
        <f t="shared" si="14"/>
        <v>2.016603235</v>
      </c>
      <c r="AQ6" s="63"/>
      <c r="AR6" s="46">
        <f t="shared" ref="AR6:AT6" si="15">SUM((pi())*B6^2)</f>
        <v>120.7628216</v>
      </c>
      <c r="AS6" s="46">
        <f t="shared" si="15"/>
        <v>181.4583917</v>
      </c>
      <c r="AT6" s="46">
        <f t="shared" si="15"/>
        <v>973.1397404</v>
      </c>
      <c r="AU6" s="52">
        <f t="shared" si="7"/>
        <v>0.6655124654</v>
      </c>
      <c r="AV6" s="63"/>
      <c r="AW6" s="52">
        <f>SUM('Raw Values'!B6/2)</f>
        <v>0.47</v>
      </c>
      <c r="AX6" s="46">
        <f>Sum((1-AW6)*'Raw Values'!C6 * 0.5)</f>
        <v>7.95</v>
      </c>
      <c r="AY6" s="63"/>
      <c r="AZ6" s="67">
        <f>ROUNDDOWN('Raw Values'!C6*('Raw Values'!$D6^(18/500)))</f>
        <v>29</v>
      </c>
      <c r="BA6" s="67">
        <f>ROUNDDOWN('Raw Values'!C6*('Raw Values'!$D6^(18/500))*4)</f>
        <v>119</v>
      </c>
      <c r="BB6" s="67">
        <f>ROUNDDOWN('Raw Values'!C6*('Raw Values'!$D6^(18/500))*1.25)</f>
        <v>37</v>
      </c>
      <c r="BC6" s="67">
        <f>ROUNDDOWN('Raw Values'!C6*('Raw Values'!$D6^(18/500))*0.75)</f>
        <v>22</v>
      </c>
      <c r="BD6" s="67">
        <f>ROUNDDOWN('Raw Values'!C6*('Raw Values'!$D6^(18/500))*AW6)</f>
        <v>14</v>
      </c>
      <c r="BE6" s="67">
        <f>ROUNDDOWN('Raw Values'!C6*('Raw Values'!$D6^(18/500))*AW6*4)</f>
        <v>56</v>
      </c>
      <c r="BF6" s="67">
        <f>ROUNDDOWN('Raw Values'!C6*('Raw Values'!$D6^(18/500))*AW6*1.25)</f>
        <v>17</v>
      </c>
      <c r="BG6" s="63"/>
      <c r="BH6" s="69">
        <f>SUM(AZ6*(1/'Raw Values'!$E6))</f>
        <v>193.3333333</v>
      </c>
      <c r="BI6" s="69">
        <f t="shared" si="8"/>
        <v>90.86666667</v>
      </c>
      <c r="BJ6" s="33"/>
      <c r="BK6" s="70">
        <f>SUM(AZ6*'Raw Values'!I6)</f>
        <v>580</v>
      </c>
      <c r="BL6" s="71">
        <f t="shared" si="9"/>
        <v>272.6</v>
      </c>
    </row>
    <row r="7" ht="15.75" customHeight="1">
      <c r="A7" s="90" t="s">
        <v>125</v>
      </c>
      <c r="B7" s="46">
        <f>SUM('Raw Values'!R7+'Raw Values'!S7)</f>
        <v>5.68</v>
      </c>
      <c r="C7" s="46">
        <f>SUM('Raw Values'!R7+'Raw Values'!T7)</f>
        <v>6.9</v>
      </c>
      <c r="D7" s="46">
        <f>SUM('Raw Values'!R7+'Raw Values'!T7+'Raw Values'!V7)</f>
        <v>19.9</v>
      </c>
      <c r="E7" s="52">
        <f t="shared" si="3"/>
        <v>0.8231884058</v>
      </c>
      <c r="F7" s="46">
        <f>SUM($B7+'Firing Inaccuracy(Crouching) Ra'!$S7)</f>
        <v>23.32374268</v>
      </c>
      <c r="G7" s="46">
        <f>SUM($C7+'Firing Inaccuracy(Standing) Raw'!$S7)</f>
        <v>31.11849011</v>
      </c>
      <c r="H7" s="46">
        <f>SUM($D7+'Firing Inaccuracy(Standing) Raw'!$M7)</f>
        <v>44.08928658</v>
      </c>
      <c r="I7" s="52">
        <f t="shared" si="4"/>
        <v>0.7495139576</v>
      </c>
      <c r="J7" s="55"/>
      <c r="K7" s="55"/>
      <c r="L7" s="55"/>
      <c r="M7" s="55">
        <f>SUM(('Raw Values'!$AC7+(('Raw Values'!$AD7-'Raw Values'!$AC7)/7)))</f>
        <v>0.349532</v>
      </c>
      <c r="N7" s="56">
        <f>SUM(('Raw Values'!$AC7+(2*('Raw Values'!$AD7-'Raw Values'!$AC7)/7)))</f>
        <v>0.349532</v>
      </c>
      <c r="O7" s="56">
        <f>SUM(('Raw Values'!$AC7+(3*('Raw Values'!$AD7-'Raw Values'!$AC7)/7)))</f>
        <v>0.349532</v>
      </c>
      <c r="P7" s="56">
        <f>SUM(('Raw Values'!$AC7+(4*('Raw Values'!$AD7-'Raw Values'!$AC7)/7)))</f>
        <v>0.349532</v>
      </c>
      <c r="Q7" s="56">
        <f>SUM(('Raw Values'!$AC7+(5*('Raw Values'!$AD7-'Raw Values'!$AC7)/7)))</f>
        <v>0.349532</v>
      </c>
      <c r="R7" s="56">
        <f>SUM(('Raw Values'!$AC7+(6*('Raw Values'!$AD7-'Raw Values'!$AC7)/7)))</f>
        <v>0.349532</v>
      </c>
      <c r="S7" s="56"/>
      <c r="T7" s="56"/>
      <c r="U7" s="56"/>
      <c r="V7" s="56"/>
      <c r="W7" s="56"/>
      <c r="X7" s="17"/>
      <c r="Y7" s="59"/>
      <c r="Z7" s="59"/>
      <c r="AA7" s="55"/>
      <c r="AB7" s="60">
        <f>SUM(('Raw Values'!$AA7+(('Raw Values'!$AB7-'Raw Values'!$AA7)/7)))</f>
        <v>0.291277</v>
      </c>
      <c r="AC7" s="60">
        <f>SUM(('Raw Values'!$AA7+(2*('Raw Values'!$AB7-'Raw Values'!$AA7)/7)))</f>
        <v>0.291277</v>
      </c>
      <c r="AD7" s="60">
        <f>SUM(('Raw Values'!$AA7+(3*('Raw Values'!$AB7-'Raw Values'!$AA7)/7)))</f>
        <v>0.291277</v>
      </c>
      <c r="AE7" s="60">
        <f>SUM(('Raw Values'!$AA7+(4*('Raw Values'!$AB7-'Raw Values'!$AA7)/7)))</f>
        <v>0.291277</v>
      </c>
      <c r="AF7" s="60">
        <f>SUM(('Raw Values'!$AA7+(5*('Raw Values'!$AB7-'Raw Values'!$AA7)/7)))</f>
        <v>0.291277</v>
      </c>
      <c r="AG7" s="62">
        <f>SUM(('Raw Values'!$AA7+(6*('Raw Values'!$AB7-'Raw Values'!$AA7)/7)))</f>
        <v>0.291277</v>
      </c>
      <c r="AH7" s="87"/>
      <c r="AI7" s="87"/>
      <c r="AJ7" s="87"/>
      <c r="AK7" s="87"/>
      <c r="AL7" s="87"/>
      <c r="AM7" s="88"/>
      <c r="AN7" s="65">
        <f t="shared" ref="AN7:AP7" si="16">SUM(DEGREES(atan(B7/1000))*2)</f>
        <v>0.6508730558</v>
      </c>
      <c r="AO7" s="65">
        <f t="shared" si="16"/>
        <v>0.7906692095</v>
      </c>
      <c r="AP7" s="65">
        <f t="shared" si="16"/>
        <v>2.280071079</v>
      </c>
      <c r="AQ7" s="63"/>
      <c r="AR7" s="46">
        <f t="shared" ref="AR7:AT7" si="17">SUM((pi())*B7^2)</f>
        <v>101.3553188</v>
      </c>
      <c r="AS7" s="46">
        <f t="shared" si="17"/>
        <v>149.5712262</v>
      </c>
      <c r="AT7" s="46">
        <f t="shared" si="17"/>
        <v>1244.102107</v>
      </c>
      <c r="AU7" s="52">
        <f t="shared" si="7"/>
        <v>0.6776391514</v>
      </c>
      <c r="AV7" s="63"/>
      <c r="AW7" s="52">
        <f>SUM('Raw Values'!B7/2)</f>
        <v>0.505</v>
      </c>
      <c r="AX7" s="46">
        <f>Sum((1-AW7)*'Raw Values'!C7 * 0.5)</f>
        <v>8.6625</v>
      </c>
      <c r="AY7" s="63"/>
      <c r="AZ7" s="67">
        <f>ROUNDDOWN('Raw Values'!C7*('Raw Values'!$D7^(18/500)))</f>
        <v>34</v>
      </c>
      <c r="BA7" s="67">
        <f>ROUNDDOWN('Raw Values'!C7*('Raw Values'!$D7^(18/500))*4)</f>
        <v>139</v>
      </c>
      <c r="BB7" s="67">
        <f>ROUNDDOWN('Raw Values'!C7*('Raw Values'!$D7^(18/500))*1.25)</f>
        <v>43</v>
      </c>
      <c r="BC7" s="67">
        <f>ROUNDDOWN('Raw Values'!C7*('Raw Values'!$D7^(18/500))*0.75)</f>
        <v>26</v>
      </c>
      <c r="BD7" s="67">
        <f>ROUNDDOWN('Raw Values'!C7*('Raw Values'!$D7^(18/500))*AW7)</f>
        <v>17</v>
      </c>
      <c r="BE7" s="67">
        <f>ROUNDDOWN('Raw Values'!C7*('Raw Values'!$D7^(18/500))*AW7*4)</f>
        <v>70</v>
      </c>
      <c r="BF7" s="67">
        <f>ROUNDDOWN('Raw Values'!C7*('Raw Values'!$D7^(18/500))*AW7*1.25)</f>
        <v>22</v>
      </c>
      <c r="BG7" s="63"/>
      <c r="BH7" s="69">
        <f>SUM(AZ7*(1/'Raw Values'!$E7))</f>
        <v>200</v>
      </c>
      <c r="BI7" s="69">
        <f t="shared" si="8"/>
        <v>101</v>
      </c>
      <c r="BJ7" s="33"/>
      <c r="BK7" s="70">
        <f>SUM(AZ7*'Raw Values'!I7)</f>
        <v>442</v>
      </c>
      <c r="BL7" s="71">
        <f t="shared" si="9"/>
        <v>223.21</v>
      </c>
    </row>
    <row r="8" ht="15.75" customHeight="1">
      <c r="A8" s="90" t="s">
        <v>127</v>
      </c>
      <c r="B8" s="46">
        <f>SUM('Raw Values'!AH8+'Raw Values'!AI8)</f>
        <v>5.18</v>
      </c>
      <c r="C8" s="46">
        <f>SUM('Raw Values'!AH8+'Raw Values'!AJ8)</f>
        <v>6.4</v>
      </c>
      <c r="D8" s="46">
        <f>SUM('Raw Values'!AH8+'Raw Values'!AJ8+'Raw Values'!AL8)</f>
        <v>20.27</v>
      </c>
      <c r="E8" s="52">
        <f t="shared" si="3"/>
        <v>0.809375</v>
      </c>
      <c r="F8" s="46">
        <f>SUM($B8+'Firing Inaccuracy(Crouching) Ra'!$R8)</f>
        <v>23.52948723</v>
      </c>
      <c r="G8" s="46">
        <f>SUM($C8+'Firing Inaccuracy(Standing) Raw'!$R8)</f>
        <v>31.58715392</v>
      </c>
      <c r="H8" s="46">
        <f>SUM($D8+'Firing Inaccuracy(Standing) Raw'!$M8)</f>
        <v>45.42685804</v>
      </c>
      <c r="I8" s="52">
        <f t="shared" si="4"/>
        <v>0.7449068468</v>
      </c>
      <c r="J8" s="55"/>
      <c r="K8" s="55"/>
      <c r="L8" s="55"/>
      <c r="M8" s="55">
        <f>SUM(('Raw Values'!$AC8+(('Raw Values'!$AD8-'Raw Values'!$AC8)/7)))</f>
        <v>0.349532</v>
      </c>
      <c r="N8" s="56">
        <f>SUM(('Raw Values'!$AC8+(2*('Raw Values'!$AD8-'Raw Values'!$AC8)/7)))</f>
        <v>0.349532</v>
      </c>
      <c r="O8" s="56">
        <f>SUM(('Raw Values'!$AC8+(3*('Raw Values'!$AD8-'Raw Values'!$AC8)/7)))</f>
        <v>0.349532</v>
      </c>
      <c r="P8" s="56">
        <f>SUM(('Raw Values'!$AC8+(4*('Raw Values'!$AD8-'Raw Values'!$AC8)/7)))</f>
        <v>0.349532</v>
      </c>
      <c r="Q8" s="56">
        <f>SUM(('Raw Values'!$AC8+(5*('Raw Values'!$AD8-'Raw Values'!$AC8)/7)))</f>
        <v>0.349532</v>
      </c>
      <c r="R8" s="56">
        <f>SUM(('Raw Values'!$AC8+(6*('Raw Values'!$AD8-'Raw Values'!$AC8)/7)))</f>
        <v>0.349532</v>
      </c>
      <c r="S8" s="56"/>
      <c r="T8" s="56"/>
      <c r="U8" s="56"/>
      <c r="V8" s="56"/>
      <c r="W8" s="56"/>
      <c r="X8" s="58"/>
      <c r="Y8" s="59"/>
      <c r="Z8" s="59"/>
      <c r="AA8" s="55"/>
      <c r="AB8" s="60">
        <f>SUM(('Raw Values'!$AA8+(('Raw Values'!$AB8-'Raw Values'!$AA8)/7)))</f>
        <v>0.291277</v>
      </c>
      <c r="AC8" s="60">
        <f>SUM(('Raw Values'!$AA8+(2*('Raw Values'!$AB8-'Raw Values'!$AA8)/7)))</f>
        <v>0.291277</v>
      </c>
      <c r="AD8" s="60">
        <f>SUM(('Raw Values'!$AA8+(3*('Raw Values'!$AB8-'Raw Values'!$AA8)/7)))</f>
        <v>0.291277</v>
      </c>
      <c r="AE8" s="60">
        <f>SUM(('Raw Values'!$AA8+(4*('Raw Values'!$AB8-'Raw Values'!$AA8)/7)))</f>
        <v>0.291277</v>
      </c>
      <c r="AF8" s="60">
        <f>SUM(('Raw Values'!$AA8+(5*('Raw Values'!$AB8-'Raw Values'!$AA8)/7)))</f>
        <v>0.291277</v>
      </c>
      <c r="AG8" s="62">
        <f>SUM(('Raw Values'!$AA8+(6*('Raw Values'!$AB8-'Raw Values'!$AA8)/7)))</f>
        <v>0.291277</v>
      </c>
      <c r="AH8" s="87"/>
      <c r="AI8" s="87"/>
      <c r="AJ8" s="87"/>
      <c r="AK8" s="87"/>
      <c r="AL8" s="87"/>
      <c r="AM8" s="88"/>
      <c r="AN8" s="65">
        <f t="shared" ref="AN8:AP8" si="18">SUM(DEGREES(atan(B8/1000))*2)</f>
        <v>0.5935789667</v>
      </c>
      <c r="AO8" s="65">
        <f t="shared" si="18"/>
        <v>0.7333759649</v>
      </c>
      <c r="AP8" s="65">
        <f t="shared" si="18"/>
        <v>2.322452859</v>
      </c>
      <c r="AQ8" s="63"/>
      <c r="AR8" s="46">
        <f t="shared" ref="AR8:AT8" si="19">SUM((pi())*B8^2)</f>
        <v>84.29647072</v>
      </c>
      <c r="AS8" s="46">
        <f t="shared" si="19"/>
        <v>128.6796351</v>
      </c>
      <c r="AT8" s="46">
        <f t="shared" si="19"/>
        <v>1290.795284</v>
      </c>
      <c r="AU8" s="52">
        <f t="shared" si="7"/>
        <v>0.6550878906</v>
      </c>
      <c r="AV8" s="63"/>
      <c r="AW8" s="52">
        <f>SUM('Raw Values'!B8/2)</f>
        <v>0.505</v>
      </c>
      <c r="AX8" s="46">
        <f>Sum((1-AW8)*'Raw Values'!C8 * 0.5)</f>
        <v>8.6625</v>
      </c>
      <c r="AY8" s="63"/>
      <c r="AZ8" s="67">
        <f>ROUNDDOWN('Raw Values'!C8*('Raw Values'!$D8^(18/500)))</f>
        <v>34</v>
      </c>
      <c r="BA8" s="67">
        <f>ROUNDDOWN('Raw Values'!C8*('Raw Values'!$D8^(18/500))*4)</f>
        <v>139</v>
      </c>
      <c r="BB8" s="67">
        <f>ROUNDDOWN('Raw Values'!C8*('Raw Values'!$D8^(18/500))*1.25)</f>
        <v>43</v>
      </c>
      <c r="BC8" s="67">
        <f>ROUNDDOWN('Raw Values'!C8*('Raw Values'!$D8^(18/500))*0.75)</f>
        <v>26</v>
      </c>
      <c r="BD8" s="67">
        <f>ROUNDDOWN('Raw Values'!C8*('Raw Values'!$D8^(18/500))*AW8)</f>
        <v>17</v>
      </c>
      <c r="BE8" s="67">
        <f>ROUNDDOWN('Raw Values'!C8*('Raw Values'!$D8^(18/500))*AW8*4)</f>
        <v>70</v>
      </c>
      <c r="BF8" s="67">
        <f>ROUNDDOWN('Raw Values'!C8*('Raw Values'!$D8^(18/500))*AW8*1.25)</f>
        <v>22</v>
      </c>
      <c r="BG8" s="63"/>
      <c r="BH8" s="69">
        <f>SUM(AZ8*(1/'Raw Values'!$E8))</f>
        <v>200</v>
      </c>
      <c r="BI8" s="69">
        <f t="shared" si="8"/>
        <v>101</v>
      </c>
      <c r="BJ8" s="33"/>
      <c r="BK8" s="70">
        <f>SUM(AZ8*'Raw Values'!I8)</f>
        <v>408</v>
      </c>
      <c r="BL8" s="71">
        <f t="shared" si="9"/>
        <v>206.04</v>
      </c>
    </row>
    <row r="9" ht="15.75" customHeight="1">
      <c r="A9" s="44" t="s">
        <v>129</v>
      </c>
      <c r="B9" s="46">
        <f>SUM('Raw Values'!R9+'Raw Values'!S9)</f>
        <v>8.83</v>
      </c>
      <c r="C9" s="46">
        <f>SUM('Raw Values'!R9+'Raw Values'!T9)</f>
        <v>11.1</v>
      </c>
      <c r="D9" s="46">
        <f>SUM('Raw Values'!R9+'Raw Values'!T9+'Raw Values'!V9)</f>
        <v>31.1</v>
      </c>
      <c r="E9" s="52">
        <f t="shared" si="3"/>
        <v>0.7954954955</v>
      </c>
      <c r="F9" s="46">
        <f>SUM($B9+'Firing Inaccuracy(Crouching) Ra'!$S9)</f>
        <v>31.43658827</v>
      </c>
      <c r="G9" s="46">
        <f>SUM($C9+'Firing Inaccuracy(Standing) Raw'!$S9)</f>
        <v>41.62452373</v>
      </c>
      <c r="H9" s="46">
        <f>SUM($D9+'Firing Inaccuracy(Standing) Raw'!$M9)</f>
        <v>61.54904777</v>
      </c>
      <c r="I9" s="52">
        <f t="shared" si="4"/>
        <v>0.7552419933</v>
      </c>
      <c r="J9" s="55"/>
      <c r="K9" s="55"/>
      <c r="L9" s="55"/>
      <c r="M9" s="55">
        <f>SUM(('Raw Values'!$AC9+(('Raw Values'!$AD9-'Raw Values'!$AC9)/7)))</f>
        <v>0.345388</v>
      </c>
      <c r="N9" s="56">
        <f>SUM(('Raw Values'!$AC9+(2*('Raw Values'!$AD9-'Raw Values'!$AC9)/7)))</f>
        <v>0.345388</v>
      </c>
      <c r="O9" s="56">
        <f>SUM(('Raw Values'!$AC9+(3*('Raw Values'!$AD9-'Raw Values'!$AC9)/7)))</f>
        <v>0.345388</v>
      </c>
      <c r="P9" s="56">
        <f>SUM(('Raw Values'!$AC9+(4*('Raw Values'!$AD9-'Raw Values'!$AC9)/7)))</f>
        <v>0.345388</v>
      </c>
      <c r="Q9" s="56">
        <f>SUM(('Raw Values'!$AC9+(5*('Raw Values'!$AD9-'Raw Values'!$AC9)/7)))</f>
        <v>0.345388</v>
      </c>
      <c r="R9" s="56">
        <f>SUM(('Raw Values'!$AC9+(6*('Raw Values'!$AD9-'Raw Values'!$AC9)/7)))</f>
        <v>0.345388</v>
      </c>
      <c r="S9" s="56"/>
      <c r="T9" s="56"/>
      <c r="U9" s="56"/>
      <c r="V9" s="56"/>
      <c r="W9" s="56"/>
      <c r="X9" s="72"/>
      <c r="Y9" s="59"/>
      <c r="Z9" s="59"/>
      <c r="AA9" s="55"/>
      <c r="AB9" s="60">
        <f>SUM(('Raw Values'!$AA9+(('Raw Values'!$AB9-'Raw Values'!$AA9)/7)))</f>
        <v>0.287823</v>
      </c>
      <c r="AC9" s="60">
        <f>SUM(('Raw Values'!$AA9+(2*('Raw Values'!$AB9-'Raw Values'!$AA9)/7)))</f>
        <v>0.287823</v>
      </c>
      <c r="AD9" s="60">
        <f>SUM(('Raw Values'!$AA9+(3*('Raw Values'!$AB9-'Raw Values'!$AA9)/7)))</f>
        <v>0.287823</v>
      </c>
      <c r="AE9" s="60">
        <f>SUM(('Raw Values'!$AA9+(4*('Raw Values'!$AB9-'Raw Values'!$AA9)/7)))</f>
        <v>0.287823</v>
      </c>
      <c r="AF9" s="60">
        <f>SUM(('Raw Values'!$AA9+(5*('Raw Values'!$AB9-'Raw Values'!$AA9)/7)))</f>
        <v>0.287823</v>
      </c>
      <c r="AG9" s="62">
        <f>SUM(('Raw Values'!$AA9+(6*('Raw Values'!$AB9-'Raw Values'!$AA9)/7)))</f>
        <v>0.287823</v>
      </c>
      <c r="AH9" s="87"/>
      <c r="AI9" s="87"/>
      <c r="AJ9" s="87"/>
      <c r="AK9" s="87"/>
      <c r="AL9" s="87"/>
      <c r="AM9" s="88"/>
      <c r="AN9" s="65">
        <f t="shared" ref="AN9:AP9" si="20">SUM(DEGREES(atan(B9/1000))*2)</f>
        <v>1.01181717</v>
      </c>
      <c r="AO9" s="65">
        <f t="shared" si="20"/>
        <v>1.271914069</v>
      </c>
      <c r="AP9" s="65">
        <f t="shared" si="20"/>
        <v>3.562649172</v>
      </c>
      <c r="AQ9" s="63"/>
      <c r="AR9" s="46">
        <f t="shared" ref="AR9:AT9" si="21">SUM((pi())*B9^2)</f>
        <v>244.9465234</v>
      </c>
      <c r="AS9" s="46">
        <f t="shared" si="21"/>
        <v>387.0756308</v>
      </c>
      <c r="AT9" s="46">
        <f t="shared" si="21"/>
        <v>3038.57983</v>
      </c>
      <c r="AU9" s="52">
        <f t="shared" si="7"/>
        <v>0.6328130834</v>
      </c>
      <c r="AV9" s="63"/>
      <c r="AW9" s="52">
        <f>SUM('Raw Values'!B9/2)</f>
        <v>0.64</v>
      </c>
      <c r="AX9" s="46">
        <f>Sum((1-AW9)*'Raw Values'!C9 * 0.5)</f>
        <v>6.84</v>
      </c>
      <c r="AY9" s="63"/>
      <c r="AZ9" s="67">
        <f>ROUNDDOWN('Raw Values'!C9*('Raw Values'!$D9^(18/500)))</f>
        <v>37</v>
      </c>
      <c r="BA9" s="67">
        <f>ROUNDDOWN('Raw Values'!C9*('Raw Values'!$D9^(18/500))*4)</f>
        <v>151</v>
      </c>
      <c r="BB9" s="67">
        <f>ROUNDDOWN('Raw Values'!C9*('Raw Values'!$D9^(18/500))*1.25)</f>
        <v>47</v>
      </c>
      <c r="BC9" s="67">
        <f>ROUNDDOWN('Raw Values'!C9*('Raw Values'!$D9^(18/500))*0.75)</f>
        <v>28</v>
      </c>
      <c r="BD9" s="67">
        <f>ROUNDDOWN('Raw Values'!C9*('Raw Values'!$D9^(18/500))*AW9)</f>
        <v>24</v>
      </c>
      <c r="BE9" s="67">
        <f>ROUNDDOWN('Raw Values'!C9*('Raw Values'!$D9^(18/500))*AW9*4)</f>
        <v>96</v>
      </c>
      <c r="BF9" s="67">
        <f>ROUNDDOWN('Raw Values'!C9*('Raw Values'!$D9^(18/500))*AW9*1.25)</f>
        <v>30</v>
      </c>
      <c r="BG9" s="63"/>
      <c r="BH9" s="69">
        <f>SUM(AZ9*(1/'Raw Values'!$E9))</f>
        <v>246.6666667</v>
      </c>
      <c r="BI9" s="69">
        <f t="shared" si="8"/>
        <v>157.8666667</v>
      </c>
      <c r="BJ9" s="33"/>
      <c r="BK9" s="70">
        <f>SUM(AZ9*'Raw Values'!I9)</f>
        <v>481</v>
      </c>
      <c r="BL9" s="71">
        <f t="shared" si="9"/>
        <v>307.84</v>
      </c>
    </row>
    <row r="10" ht="15.75" customHeight="1">
      <c r="A10" s="44" t="s">
        <v>131</v>
      </c>
      <c r="B10" s="46">
        <f>SUM('Raw Values'!R10+'Raw Values'!S10)</f>
        <v>10.6</v>
      </c>
      <c r="C10" s="46">
        <f>SUM('Raw Values'!R10+'Raw Values'!T10)</f>
        <v>13.43</v>
      </c>
      <c r="D10" s="46">
        <f>SUM('Raw Values'!R10+'Raw Values'!T10+'Raw Values'!V10)</f>
        <v>26.84</v>
      </c>
      <c r="E10" s="52">
        <f t="shared" si="3"/>
        <v>0.7892777364</v>
      </c>
      <c r="F10" s="46">
        <f>SUM($B10+'Firing Inaccuracy(Crouching) Ra'!$R10)</f>
        <v>38.72052129</v>
      </c>
      <c r="G10" s="46">
        <f>SUM($C10+'Firing Inaccuracy(Standing) Raw'!$R10)</f>
        <v>49.26659466</v>
      </c>
      <c r="H10" s="46">
        <f>SUM($D10+'Firing Inaccuracy(Standing) Raw'!$M10)</f>
        <v>53.60966654</v>
      </c>
      <c r="I10" s="52">
        <f t="shared" si="4"/>
        <v>0.785938658</v>
      </c>
      <c r="J10" s="55"/>
      <c r="K10" s="55"/>
      <c r="L10" s="55"/>
      <c r="M10" s="55">
        <f>SUM(('Raw Values'!$AC10+(('Raw Values'!$AD10-'Raw Values'!$AC10)/7)))</f>
        <v>0.2571982857</v>
      </c>
      <c r="N10" s="56">
        <f>SUM(('Raw Values'!$AC10+(2*('Raw Values'!$AD10-'Raw Values'!$AC10)/7)))</f>
        <v>0.2718965714</v>
      </c>
      <c r="O10" s="56">
        <f>SUM(('Raw Values'!$AC10+(3*('Raw Values'!$AD10-'Raw Values'!$AC10)/7)))</f>
        <v>0.2865948571</v>
      </c>
      <c r="P10" s="56">
        <f>SUM(('Raw Values'!$AC10+(4*('Raw Values'!$AD10-'Raw Values'!$AC10)/7)))</f>
        <v>0.3012931429</v>
      </c>
      <c r="Q10" s="56">
        <f>SUM(('Raw Values'!$AC10+(5*('Raw Values'!$AD10-'Raw Values'!$AC10)/7)))</f>
        <v>0.3159914286</v>
      </c>
      <c r="R10" s="56">
        <f>SUM(('Raw Values'!$AC10+(6*('Raw Values'!$AD10-'Raw Values'!$AC10)/7)))</f>
        <v>0.3306897143</v>
      </c>
      <c r="S10" s="56"/>
      <c r="T10" s="56"/>
      <c r="U10" s="56"/>
      <c r="V10" s="56"/>
      <c r="W10" s="56"/>
      <c r="X10" s="72"/>
      <c r="Y10" s="59"/>
      <c r="Z10" s="59"/>
      <c r="AA10" s="55"/>
      <c r="AB10" s="60">
        <f>SUM(('Raw Values'!$AA10+(('Raw Values'!$AB10-'Raw Values'!$AA10)/7)))</f>
        <v>0.2361175714</v>
      </c>
      <c r="AC10" s="60">
        <f>SUM(('Raw Values'!$AA10+(2*('Raw Values'!$AB10-'Raw Values'!$AA10)/7)))</f>
        <v>0.2447351429</v>
      </c>
      <c r="AD10" s="60">
        <f>SUM(('Raw Values'!$AA10+(3*('Raw Values'!$AB10-'Raw Values'!$AA10)/7)))</f>
        <v>0.2533527143</v>
      </c>
      <c r="AE10" s="60">
        <f>SUM(('Raw Values'!$AA10+(4*('Raw Values'!$AB10-'Raw Values'!$AA10)/7)))</f>
        <v>0.2619702857</v>
      </c>
      <c r="AF10" s="60">
        <f>SUM(('Raw Values'!$AA10+(5*('Raw Values'!$AB10-'Raw Values'!$AA10)/7)))</f>
        <v>0.2705878571</v>
      </c>
      <c r="AG10" s="62">
        <f>SUM(('Raw Values'!$AA10+(6*('Raw Values'!$AB10-'Raw Values'!$AA10)/7)))</f>
        <v>0.2792054286</v>
      </c>
      <c r="AH10" s="87"/>
      <c r="AI10" s="87"/>
      <c r="AJ10" s="87"/>
      <c r="AK10" s="87"/>
      <c r="AL10" s="87"/>
      <c r="AM10" s="88"/>
      <c r="AN10" s="65">
        <f t="shared" ref="AN10:AP10" si="22">SUM(DEGREES(atan(B10/1000))*2)</f>
        <v>1.214625035</v>
      </c>
      <c r="AO10" s="65">
        <f t="shared" si="22"/>
        <v>1.538872123</v>
      </c>
      <c r="AP10" s="65">
        <f t="shared" si="22"/>
        <v>3.074899215</v>
      </c>
      <c r="AQ10" s="63"/>
      <c r="AR10" s="46">
        <f t="shared" ref="AR10:AT10" si="23">SUM((pi())*B10^2)</f>
        <v>352.9893506</v>
      </c>
      <c r="AS10" s="46">
        <f t="shared" si="23"/>
        <v>566.6330448</v>
      </c>
      <c r="AT10" s="46">
        <f t="shared" si="23"/>
        <v>2263.158109</v>
      </c>
      <c r="AU10" s="52">
        <f t="shared" si="7"/>
        <v>0.6229593452</v>
      </c>
      <c r="AV10" s="63"/>
      <c r="AW10" s="52">
        <f>SUM('Raw Values'!B10/2)</f>
        <v>0.7765</v>
      </c>
      <c r="AX10" s="46">
        <f>Sum((1-AW10)*'Raw Values'!C10 * 0.5)</f>
        <v>3.46425</v>
      </c>
      <c r="AY10" s="63"/>
      <c r="AZ10" s="67">
        <f>ROUNDDOWN('Raw Values'!C10*('Raw Values'!$D10^(18/500)))</f>
        <v>30</v>
      </c>
      <c r="BA10" s="67">
        <f>ROUNDDOWN('Raw Values'!C10*('Raw Values'!$D10^(18/500))*4)</f>
        <v>123</v>
      </c>
      <c r="BB10" s="67">
        <f>ROUNDDOWN('Raw Values'!C10*('Raw Values'!$D10^(18/500))*1.25)</f>
        <v>38</v>
      </c>
      <c r="BC10" s="67">
        <f>ROUNDDOWN('Raw Values'!C10*('Raw Values'!$D10^(18/500))*0.75)</f>
        <v>23</v>
      </c>
      <c r="BD10" s="67">
        <f>ROUNDDOWN('Raw Values'!C10*('Raw Values'!$D10^(18/500))*AW10)</f>
        <v>23</v>
      </c>
      <c r="BE10" s="67">
        <f>ROUNDDOWN('Raw Values'!C10*('Raw Values'!$D10^(18/500))*AW10*4)</f>
        <v>95</v>
      </c>
      <c r="BF10" s="67">
        <f>ROUNDDOWN('Raw Values'!C10*('Raw Values'!$D10^(18/500))*AW10*1.25)</f>
        <v>29</v>
      </c>
      <c r="BG10" s="63"/>
      <c r="BH10" s="69">
        <f>SUM(AZ10*(1/'Raw Values'!$E10))</f>
        <v>300</v>
      </c>
      <c r="BI10" s="69">
        <f t="shared" si="8"/>
        <v>232.95</v>
      </c>
      <c r="BJ10" s="33"/>
      <c r="BK10" s="70">
        <f>SUM(AZ10*'Raw Values'!I10)</f>
        <v>360</v>
      </c>
      <c r="BL10" s="71">
        <f t="shared" si="9"/>
        <v>279.54</v>
      </c>
    </row>
    <row r="11" ht="15.75" customHeight="1">
      <c r="A11" s="92" t="s">
        <v>132</v>
      </c>
      <c r="B11" s="46">
        <f>SUM('Raw Values'!R11+'Raw Values'!S11)</f>
        <v>5.68</v>
      </c>
      <c r="C11" s="46">
        <f>SUM('Raw Values'!R11+'Raw Values'!T11)</f>
        <v>6.9</v>
      </c>
      <c r="D11" s="46">
        <f>SUM('Raw Values'!R11+'Raw Values'!T11+'Raw Values'!V11)</f>
        <v>10.71</v>
      </c>
      <c r="E11" s="52">
        <f t="shared" si="3"/>
        <v>0.8231884058</v>
      </c>
      <c r="F11" s="46">
        <f>SUM($B11+'Firing Inaccuracy(Crouching) Ra'!$AD11)</f>
        <v>5.68</v>
      </c>
      <c r="G11" s="46">
        <f>SUM($C11+'Firing Inaccuracy(Standing) Raw'!$AD11)</f>
        <v>6.9</v>
      </c>
      <c r="H11" s="46">
        <f>SUM($D11+'Firing Inaccuracy(Standing) Raw'!$M11)</f>
        <v>91.74873138</v>
      </c>
      <c r="I11" s="52">
        <f t="shared" si="4"/>
        <v>0.8231884058</v>
      </c>
      <c r="J11" s="55"/>
      <c r="K11" s="55"/>
      <c r="L11" s="55"/>
      <c r="M11" s="55">
        <f>SUM(('Raw Values'!$AC11+(('Raw Values'!$AD11-'Raw Values'!$AC11)/7)))</f>
        <v>0.3509762857</v>
      </c>
      <c r="N11" s="56">
        <f>SUM(('Raw Values'!$AC11+(2*('Raw Values'!$AD11-'Raw Values'!$AC11)/7)))</f>
        <v>0.3569525714</v>
      </c>
      <c r="O11" s="56">
        <f>SUM(('Raw Values'!$AC11+(3*('Raw Values'!$AD11-'Raw Values'!$AC11)/7)))</f>
        <v>0.3629288571</v>
      </c>
      <c r="P11" s="56">
        <f>SUM(('Raw Values'!$AC11+(4*('Raw Values'!$AD11-'Raw Values'!$AC11)/7)))</f>
        <v>0.3689051429</v>
      </c>
      <c r="Q11" s="56">
        <f>SUM(('Raw Values'!$AC11+(5*('Raw Values'!$AD11-'Raw Values'!$AC11)/7)))</f>
        <v>0.3748814286</v>
      </c>
      <c r="R11" s="56">
        <f>SUM(('Raw Values'!$AC11+(6*('Raw Values'!$AD11-'Raw Values'!$AC11)/7)))</f>
        <v>0.3808577143</v>
      </c>
      <c r="S11" s="56"/>
      <c r="T11" s="56"/>
      <c r="U11" s="56"/>
      <c r="V11" s="56"/>
      <c r="W11" s="56"/>
      <c r="X11" s="72"/>
      <c r="Y11" s="59"/>
      <c r="Z11" s="59"/>
      <c r="AA11" s="55"/>
      <c r="AB11" s="60">
        <f>SUM(('Raw Values'!$AA11+(('Raw Values'!$AB11-'Raw Values'!$AA11)/7)))</f>
        <v>0.2989088571</v>
      </c>
      <c r="AC11" s="60">
        <f>SUM(('Raw Values'!$AA11+(2*('Raw Values'!$AB11-'Raw Values'!$AA11)/7)))</f>
        <v>0.3028177143</v>
      </c>
      <c r="AD11" s="60">
        <f>SUM(('Raw Values'!$AA11+(3*('Raw Values'!$AB11-'Raw Values'!$AA11)/7)))</f>
        <v>0.3067265714</v>
      </c>
      <c r="AE11" s="60">
        <f>SUM(('Raw Values'!$AA11+(4*('Raw Values'!$AB11-'Raw Values'!$AA11)/7)))</f>
        <v>0.3106354286</v>
      </c>
      <c r="AF11" s="60">
        <f>SUM(('Raw Values'!$AA11+(5*('Raw Values'!$AB11-'Raw Values'!$AA11)/7)))</f>
        <v>0.3145442857</v>
      </c>
      <c r="AG11" s="62">
        <f>SUM(('Raw Values'!$AA11+(6*('Raw Values'!$AB11-'Raw Values'!$AA11)/7)))</f>
        <v>0.3184531429</v>
      </c>
      <c r="AH11" s="87"/>
      <c r="AI11" s="87"/>
      <c r="AJ11" s="87"/>
      <c r="AK11" s="87"/>
      <c r="AL11" s="87"/>
      <c r="AM11" s="88"/>
      <c r="AN11" s="65">
        <f t="shared" ref="AN11:AP11" si="24">SUM(DEGREES(atan(B11/1000))*2)</f>
        <v>0.6508730558</v>
      </c>
      <c r="AO11" s="65">
        <f t="shared" si="24"/>
        <v>0.7906692095</v>
      </c>
      <c r="AP11" s="65">
        <f t="shared" si="24"/>
        <v>1.227228676</v>
      </c>
      <c r="AQ11" s="63"/>
      <c r="AR11" s="46">
        <f t="shared" ref="AR11:AT11" si="25">SUM((pi())*B11^2)</f>
        <v>101.3553188</v>
      </c>
      <c r="AS11" s="46">
        <f t="shared" si="25"/>
        <v>149.5712262</v>
      </c>
      <c r="AT11" s="46">
        <f t="shared" si="25"/>
        <v>360.3535579</v>
      </c>
      <c r="AU11" s="52">
        <f t="shared" si="7"/>
        <v>0.6776391514</v>
      </c>
      <c r="AV11" s="63"/>
      <c r="AW11" s="52">
        <f>SUM('Raw Values'!B11/2)</f>
        <v>0.906</v>
      </c>
      <c r="AX11" s="46">
        <f>Sum((1-AW11)*'Raw Values'!C11 * 0.5)</f>
        <v>1.551</v>
      </c>
      <c r="AY11" s="63"/>
      <c r="AZ11" s="67">
        <f>ROUNDDOWN('Raw Values'!C11*('Raw Values'!$D11^(18/500)))</f>
        <v>32</v>
      </c>
      <c r="BA11" s="67">
        <f>ROUNDDOWN('Raw Values'!C11*('Raw Values'!$D11^(18/500))*4)</f>
        <v>130</v>
      </c>
      <c r="BB11" s="67">
        <f>ROUNDDOWN('Raw Values'!C11*('Raw Values'!$D11^(18/500))*1.25)</f>
        <v>40</v>
      </c>
      <c r="BC11" s="67">
        <f>ROUNDDOWN('Raw Values'!C11*('Raw Values'!$D11^(18/500))*0.75)</f>
        <v>24</v>
      </c>
      <c r="BD11" s="67">
        <f>ROUNDDOWN('Raw Values'!C11*('Raw Values'!$D11^(18/500))*AW11)</f>
        <v>29</v>
      </c>
      <c r="BE11" s="67">
        <f>ROUNDDOWN('Raw Values'!C11*('Raw Values'!$D11^(18/500))*AW11*4)</f>
        <v>118</v>
      </c>
      <c r="BF11" s="67">
        <f>ROUNDDOWN('Raw Values'!C11*('Raw Values'!$D11^(18/500))*AW11*1.25)</f>
        <v>37</v>
      </c>
      <c r="BG11" s="63"/>
      <c r="BH11" s="69">
        <f>SUM(AZ11*(1/'Raw Values'!$E11))</f>
        <v>266.6666667</v>
      </c>
      <c r="BI11" s="69">
        <f t="shared" si="8"/>
        <v>241.6</v>
      </c>
      <c r="BJ11" s="33"/>
      <c r="BK11" s="70">
        <f>SUM(AZ11*'Raw Values'!I11)</f>
        <v>576</v>
      </c>
      <c r="BL11" s="71">
        <f t="shared" si="9"/>
        <v>521.856</v>
      </c>
    </row>
    <row r="12" ht="15.75" customHeight="1">
      <c r="A12" s="101"/>
      <c r="B12" s="102"/>
      <c r="C12" s="102"/>
      <c r="D12" s="102"/>
      <c r="E12" s="101"/>
      <c r="F12" s="102"/>
      <c r="G12" s="102"/>
      <c r="H12" s="101"/>
      <c r="I12" s="101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72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03"/>
      <c r="AN12" s="102"/>
      <c r="AO12" s="102"/>
      <c r="AP12" s="102"/>
      <c r="AQ12" s="103"/>
      <c r="AR12" s="102"/>
      <c r="AS12" s="102"/>
      <c r="AT12" s="102"/>
      <c r="AU12" s="101"/>
      <c r="AV12" s="103"/>
      <c r="AW12" s="101"/>
      <c r="AX12" s="102"/>
      <c r="AY12" s="103"/>
      <c r="AZ12" s="104"/>
      <c r="BA12" s="104"/>
      <c r="BB12" s="104"/>
      <c r="BC12" s="104"/>
      <c r="BD12" s="104"/>
      <c r="BE12" s="104"/>
      <c r="BF12" s="104"/>
      <c r="BG12" s="103"/>
      <c r="BH12" s="101"/>
      <c r="BI12" s="101"/>
      <c r="BJ12" s="106"/>
      <c r="BK12" s="108"/>
      <c r="BL12" s="110"/>
    </row>
    <row r="13" ht="15.75" customHeight="1">
      <c r="A13" s="2" t="s">
        <v>135</v>
      </c>
      <c r="B13" s="4" t="s">
        <v>3</v>
      </c>
      <c r="C13" s="4" t="s">
        <v>5</v>
      </c>
      <c r="D13" s="4" t="s">
        <v>6</v>
      </c>
      <c r="E13" s="6" t="s">
        <v>7</v>
      </c>
      <c r="F13" s="4" t="s">
        <v>9</v>
      </c>
      <c r="G13" s="4" t="s">
        <v>10</v>
      </c>
      <c r="H13" s="6" t="s">
        <v>11</v>
      </c>
      <c r="I13" s="6" t="s">
        <v>12</v>
      </c>
      <c r="J13" s="12"/>
      <c r="K13" s="12"/>
      <c r="L13" s="12" t="s">
        <v>33</v>
      </c>
      <c r="M13" s="12" t="s">
        <v>35</v>
      </c>
      <c r="N13" s="58"/>
      <c r="O13" s="58"/>
      <c r="P13" s="58"/>
      <c r="Q13" s="58"/>
      <c r="R13" s="58"/>
      <c r="S13" s="58"/>
      <c r="T13" s="58"/>
      <c r="U13" s="58"/>
      <c r="V13" s="58"/>
      <c r="W13" s="58"/>
      <c r="X13" s="72"/>
      <c r="Y13" s="12"/>
      <c r="Z13" s="12"/>
      <c r="AA13" s="12" t="s">
        <v>53</v>
      </c>
      <c r="AB13" s="12" t="s">
        <v>54</v>
      </c>
      <c r="AC13" s="58"/>
      <c r="AD13" s="58"/>
      <c r="AE13" s="58"/>
      <c r="AF13" s="58"/>
      <c r="AG13" s="58"/>
      <c r="AH13" s="58"/>
      <c r="AI13" s="58"/>
      <c r="AJ13" s="58"/>
      <c r="AK13" s="58"/>
      <c r="AL13" s="58"/>
      <c r="AM13" s="113"/>
      <c r="AN13" s="16" t="s">
        <v>77</v>
      </c>
      <c r="AO13" s="16" t="s">
        <v>80</v>
      </c>
      <c r="AP13" s="16" t="s">
        <v>83</v>
      </c>
      <c r="AQ13" s="22"/>
      <c r="AR13" s="4" t="s">
        <v>85</v>
      </c>
      <c r="AS13" s="4" t="s">
        <v>87</v>
      </c>
      <c r="AT13" s="4" t="s">
        <v>89</v>
      </c>
      <c r="AU13" s="6" t="s">
        <v>7</v>
      </c>
      <c r="AV13" s="25"/>
      <c r="AW13" s="6" t="s">
        <v>16</v>
      </c>
      <c r="AX13" s="4" t="s">
        <v>97</v>
      </c>
      <c r="AY13" s="25"/>
      <c r="AZ13" s="27" t="s">
        <v>100</v>
      </c>
      <c r="BA13" s="27" t="s">
        <v>105</v>
      </c>
      <c r="BB13" s="27" t="s">
        <v>106</v>
      </c>
      <c r="BC13" s="27" t="s">
        <v>107</v>
      </c>
      <c r="BD13" s="27" t="s">
        <v>108</v>
      </c>
      <c r="BE13" s="27" t="s">
        <v>109</v>
      </c>
      <c r="BF13" s="27" t="s">
        <v>110</v>
      </c>
      <c r="BG13" s="25"/>
      <c r="BH13" s="6" t="s">
        <v>111</v>
      </c>
      <c r="BI13" s="6" t="s">
        <v>112</v>
      </c>
      <c r="BJ13" s="33"/>
      <c r="BK13" s="38" t="s">
        <v>114</v>
      </c>
      <c r="BL13" s="42" t="s">
        <v>115</v>
      </c>
    </row>
    <row r="14" ht="15.75" customHeight="1">
      <c r="A14" s="90" t="s">
        <v>137</v>
      </c>
      <c r="B14" s="46">
        <f>SUM('Raw Values'!R14+'Raw Values'!S14)</f>
        <v>45.25</v>
      </c>
      <c r="C14" s="46">
        <f>SUM('Raw Values'!R14+'Raw Values'!T14)</f>
        <v>47</v>
      </c>
      <c r="D14" s="46">
        <f>SUM('Raw Values'!R14+'Raw Values'!T14+'Raw Values'!V14)</f>
        <v>62.99</v>
      </c>
      <c r="E14" s="52">
        <f t="shared" ref="E14:E17" si="28">SUM(B14/C14)</f>
        <v>0.9627659574</v>
      </c>
      <c r="F14" s="65"/>
      <c r="G14" s="65"/>
      <c r="H14" s="46">
        <f>SUM($D14+'Firing Inaccuracy(Standing) Raw'!$M14)</f>
        <v>62.99</v>
      </c>
      <c r="I14" s="117"/>
      <c r="J14" s="118"/>
      <c r="K14" s="118"/>
      <c r="L14" s="118">
        <f>SUM(('Raw Values'!$AC14+(('Raw Values'!$AD14-'Raw Values'!$AC14)/3)))</f>
        <v>0.399729</v>
      </c>
      <c r="M14" s="118">
        <f>SUM(('Raw Values'!$AC14+(2*('Raw Values'!$AD14-'Raw Values'!$AC14)/3)))</f>
        <v>0.399729</v>
      </c>
      <c r="N14" s="72"/>
      <c r="O14" s="72"/>
      <c r="P14" s="72"/>
      <c r="Q14" s="72"/>
      <c r="R14" s="72"/>
      <c r="S14" s="72"/>
      <c r="T14" s="72"/>
      <c r="U14" s="72"/>
      <c r="V14" s="72"/>
      <c r="W14" s="72"/>
      <c r="X14" s="72"/>
      <c r="Y14" s="119"/>
      <c r="Z14" s="119"/>
      <c r="AA14" s="119">
        <f>SUM(('Raw Values'!$AA14+(('Raw Values'!$AB14-'Raw Values'!$AA14)/3)))</f>
        <v>0.285521</v>
      </c>
      <c r="AB14" s="119">
        <f>SUM(('Raw Values'!$AA14+(2*('Raw Values'!$AB14-'Raw Values'!$AA14)/3)))</f>
        <v>0.285521</v>
      </c>
      <c r="AC14" s="121"/>
      <c r="AD14" s="121"/>
      <c r="AE14" s="121"/>
      <c r="AF14" s="121"/>
      <c r="AG14" s="121"/>
      <c r="AH14" s="121"/>
      <c r="AI14" s="121"/>
      <c r="AJ14" s="121"/>
      <c r="AK14" s="121"/>
      <c r="AL14" s="121"/>
      <c r="AM14" s="88"/>
      <c r="AN14" s="65">
        <f t="shared" ref="AN14:AP14" si="26">SUM(DEGREES(atan(B14/1000))*2)</f>
        <v>5.181733334</v>
      </c>
      <c r="AO14" s="65">
        <f t="shared" si="26"/>
        <v>5.381842776</v>
      </c>
      <c r="AP14" s="65">
        <f t="shared" si="26"/>
        <v>7.208598421</v>
      </c>
      <c r="AQ14" s="63"/>
      <c r="AR14" s="46">
        <f t="shared" ref="AR14:AT14" si="27">SUM((pi())*B14^2)</f>
        <v>6432.607308</v>
      </c>
      <c r="AS14" s="46">
        <f t="shared" si="27"/>
        <v>6939.778172</v>
      </c>
      <c r="AT14" s="46">
        <f t="shared" si="27"/>
        <v>12465.02315</v>
      </c>
      <c r="AU14" s="52">
        <f t="shared" ref="AU14:AU17" si="31">SUM(AR14/AS14)</f>
        <v>0.9269182888</v>
      </c>
      <c r="AV14" s="63"/>
      <c r="AW14" s="52">
        <f>SUM('Raw Values'!B14/2)</f>
        <v>0.75</v>
      </c>
      <c r="AX14" s="46">
        <f>Sum((1-AW14)*'Raw Values'!C14 * 0.5)</f>
        <v>3.75</v>
      </c>
      <c r="AY14" s="63"/>
      <c r="AZ14" s="67">
        <f>ROUNDDOWN('Raw Values'!C14*('Raw Values'!$D14^(18/500))*'Raw Values'!N14)</f>
        <v>233</v>
      </c>
      <c r="BA14" s="67">
        <f>ROUNDDOWN('Raw Values'!C14*('Raw Values'!$D14^(18/500))*4*'Raw Values'!N14)</f>
        <v>932</v>
      </c>
      <c r="BB14" s="67">
        <f>ROUNDDOWN('Raw Values'!C14*('Raw Values'!$D14^(18/500))*1.25*'Raw Values'!N14)</f>
        <v>291</v>
      </c>
      <c r="BC14" s="67">
        <f>ROUNDDOWN('Raw Values'!C14*('Raw Values'!$D14^(18/500))*0.75*'Raw Values'!N14)</f>
        <v>174</v>
      </c>
      <c r="BD14" s="67">
        <f>ROUNDDOWN('Raw Values'!C14*('Raw Values'!$D14^(18/500))*AW14*'Raw Values'!N14)</f>
        <v>174</v>
      </c>
      <c r="BE14" s="67">
        <f>ROUNDDOWN('Raw Values'!C14*('Raw Values'!$D14^(18/500))*AW14*4*'Raw Values'!N14)</f>
        <v>699</v>
      </c>
      <c r="BF14" s="67">
        <f>ROUNDDOWN('Raw Values'!C14*('Raw Values'!$D14^(18/500))*AW14*1.25*'Raw Values'!N14)</f>
        <v>218</v>
      </c>
      <c r="BG14" s="63"/>
      <c r="BH14" s="69">
        <f>SUM(AZ14*(1/'Raw Values'!$E14)*'Raw Values'!N14)</f>
        <v>2192.941176</v>
      </c>
      <c r="BI14" s="69">
        <f t="shared" ref="BI14:BI17" si="32">SUM(BH14*AW14)</f>
        <v>1644.705882</v>
      </c>
      <c r="BJ14" s="33"/>
      <c r="BK14" s="70">
        <f>SUM(AZ14*'Raw Values'!I14)</f>
        <v>1165</v>
      </c>
      <c r="BL14" s="71">
        <f t="shared" ref="BL14:BL17" si="33">SUM(BK14*AW14)</f>
        <v>873.75</v>
      </c>
    </row>
    <row r="15" ht="15.75" customHeight="1">
      <c r="A15" s="44" t="s">
        <v>140</v>
      </c>
      <c r="B15" s="46">
        <f>SUM('Raw Values'!R15+'Raw Values'!S15)</f>
        <v>45.25</v>
      </c>
      <c r="C15" s="46">
        <f>SUM('Raw Values'!R15+'Raw Values'!T15)</f>
        <v>47</v>
      </c>
      <c r="D15" s="46">
        <f>SUM('Raw Values'!R15+'Raw Values'!T15+'Raw Values'!V15)</f>
        <v>83.75</v>
      </c>
      <c r="E15" s="52">
        <f t="shared" si="28"/>
        <v>0.9627659574</v>
      </c>
      <c r="F15" s="65"/>
      <c r="G15" s="65"/>
      <c r="H15" s="46">
        <f>SUM($D15+'Firing Inaccuracy(Standing) Raw'!$M15)</f>
        <v>83.87081906</v>
      </c>
      <c r="I15" s="117"/>
      <c r="J15" s="118"/>
      <c r="K15" s="118"/>
      <c r="L15" s="118">
        <f>SUM(('Raw Values'!$AC15+(('Raw Values'!$AD15-'Raw Values'!$AC15)/3)))</f>
        <v>0.460517</v>
      </c>
      <c r="M15" s="118">
        <f>SUM(('Raw Values'!$AC15+(2*('Raw Values'!$AD15-'Raw Values'!$AC15)/3)))</f>
        <v>0.460517</v>
      </c>
      <c r="N15" s="72"/>
      <c r="O15" s="72"/>
      <c r="P15" s="72"/>
      <c r="Q15" s="72"/>
      <c r="R15" s="72"/>
      <c r="S15" s="72"/>
      <c r="T15" s="72"/>
      <c r="U15" s="72"/>
      <c r="V15" s="72"/>
      <c r="W15" s="72"/>
      <c r="X15" s="72"/>
      <c r="Y15" s="119"/>
      <c r="Z15" s="119"/>
      <c r="AA15" s="119">
        <f>SUM(('Raw Values'!$AA15+(('Raw Values'!$AB15-'Raw Values'!$AA15)/3)))</f>
        <v>0.328941</v>
      </c>
      <c r="AB15" s="119">
        <f>SUM(('Raw Values'!$AA15+(2*('Raw Values'!$AB15-'Raw Values'!$AA15)/3)))</f>
        <v>0.328941</v>
      </c>
      <c r="AC15" s="121"/>
      <c r="AD15" s="121"/>
      <c r="AE15" s="121"/>
      <c r="AF15" s="121"/>
      <c r="AG15" s="121"/>
      <c r="AH15" s="121"/>
      <c r="AI15" s="121"/>
      <c r="AJ15" s="121"/>
      <c r="AK15" s="121"/>
      <c r="AL15" s="121"/>
      <c r="AM15" s="88"/>
      <c r="AN15" s="65">
        <f t="shared" ref="AN15:AP15" si="29">SUM(DEGREES(atan(B15/1000))*2)</f>
        <v>5.181733334</v>
      </c>
      <c r="AO15" s="65">
        <f t="shared" si="29"/>
        <v>5.381842776</v>
      </c>
      <c r="AP15" s="65">
        <f t="shared" si="29"/>
        <v>9.574698941</v>
      </c>
      <c r="AQ15" s="63"/>
      <c r="AR15" s="46">
        <f t="shared" ref="AR15:AT15" si="30">SUM((pi())*B15^2)</f>
        <v>6432.607308</v>
      </c>
      <c r="AS15" s="46">
        <f t="shared" si="30"/>
        <v>6939.778172</v>
      </c>
      <c r="AT15" s="46">
        <f t="shared" si="30"/>
        <v>22035.32722</v>
      </c>
      <c r="AU15" s="52">
        <f t="shared" si="31"/>
        <v>0.9269182888</v>
      </c>
      <c r="AV15" s="63"/>
      <c r="AW15" s="52">
        <f>SUM('Raw Values'!B15/2)</f>
        <v>0.5</v>
      </c>
      <c r="AX15" s="46">
        <f>Sum((1-AW15)*'Raw Values'!C15 * 0.5)</f>
        <v>6.5</v>
      </c>
      <c r="AY15" s="63"/>
      <c r="AZ15" s="67">
        <f>ROUNDDOWN('Raw Values'!C15*('Raw Values'!$D15^(18/500))*'Raw Values'!N15)</f>
        <v>231</v>
      </c>
      <c r="BA15" s="67">
        <f>ROUNDDOWN('Raw Values'!C15*('Raw Values'!$D15^(18/500))*4*'Raw Values'!N15)</f>
        <v>924</v>
      </c>
      <c r="BB15" s="67">
        <f>ROUNDDOWN('Raw Values'!C15*('Raw Values'!$D15^(18/500))*1.25*'Raw Values'!N15)</f>
        <v>288</v>
      </c>
      <c r="BC15" s="67">
        <f>ROUNDDOWN('Raw Values'!C15*('Raw Values'!$D15^(18/500))*0.75*'Raw Values'!N15)</f>
        <v>173</v>
      </c>
      <c r="BD15" s="67">
        <f>ROUNDDOWN('Raw Values'!C15*('Raw Values'!$D15^(18/500))*AW15*'Raw Values'!N15)</f>
        <v>115</v>
      </c>
      <c r="BE15" s="67">
        <f>ROUNDDOWN('Raw Values'!C15*('Raw Values'!$D15^(18/500))*AW15*4*'Raw Values'!N15)</f>
        <v>462</v>
      </c>
      <c r="BF15" s="67">
        <f>ROUNDDOWN('Raw Values'!C15*('Raw Values'!$D15^(18/500))*AW15*1.25*'Raw Values'!N15)</f>
        <v>144</v>
      </c>
      <c r="BG15" s="63"/>
      <c r="BH15" s="69">
        <f>SUM(AZ15*(1/'Raw Values'!$E15)*'Raw Values'!N15)</f>
        <v>2362.5</v>
      </c>
      <c r="BI15" s="69">
        <f t="shared" si="32"/>
        <v>1181.25</v>
      </c>
      <c r="BJ15" s="33"/>
      <c r="BK15" s="70">
        <f>SUM(AZ15*'Raw Values'!I15)</f>
        <v>1848</v>
      </c>
      <c r="BL15" s="71">
        <f t="shared" si="33"/>
        <v>924</v>
      </c>
    </row>
    <row r="16" ht="15.75" customHeight="1">
      <c r="A16" s="92" t="s">
        <v>142</v>
      </c>
      <c r="B16" s="46">
        <f>SUM('Raw Values'!R16+'Raw Values'!S16)</f>
        <v>67.25</v>
      </c>
      <c r="C16" s="46">
        <f>SUM('Raw Values'!R16+'Raw Values'!T16)</f>
        <v>69</v>
      </c>
      <c r="D16" s="46">
        <f>SUM('Raw Values'!R16+'Raw Values'!T16+'Raw Values'!V16)</f>
        <v>85.8</v>
      </c>
      <c r="E16" s="52">
        <f t="shared" si="28"/>
        <v>0.9746376812</v>
      </c>
      <c r="F16" s="65"/>
      <c r="G16" s="65"/>
      <c r="H16" s="46">
        <f>SUM($D16+'Firing Inaccuracy(Standing) Raw'!$M16)</f>
        <v>85.94065466</v>
      </c>
      <c r="I16" s="117"/>
      <c r="J16" s="118"/>
      <c r="K16" s="118"/>
      <c r="L16" s="118">
        <f>SUM(('Raw Values'!$AC16+(('Raw Values'!$AD16-'Raw Values'!$AC16)/3)))</f>
        <v>0.460517</v>
      </c>
      <c r="M16" s="118">
        <f>SUM(('Raw Values'!$AC16+(2*('Raw Values'!$AD16-'Raw Values'!$AC16)/3)))</f>
        <v>0.460517</v>
      </c>
      <c r="N16" s="72"/>
      <c r="O16" s="72"/>
      <c r="P16" s="72"/>
      <c r="Q16" s="72"/>
      <c r="R16" s="72"/>
      <c r="S16" s="72"/>
      <c r="T16" s="72"/>
      <c r="U16" s="72"/>
      <c r="V16" s="72"/>
      <c r="W16" s="72"/>
      <c r="X16" s="72"/>
      <c r="Y16" s="119"/>
      <c r="Z16" s="119"/>
      <c r="AA16" s="119">
        <f>SUM(('Raw Values'!$AA16+(('Raw Values'!$AB16-'Raw Values'!$AA16)/3)))</f>
        <v>0.328941</v>
      </c>
      <c r="AB16" s="119">
        <f>SUM(('Raw Values'!$AA16+(2*('Raw Values'!$AB16-'Raw Values'!$AA16)/3)))</f>
        <v>0.328941</v>
      </c>
      <c r="AC16" s="121"/>
      <c r="AD16" s="121"/>
      <c r="AE16" s="121"/>
      <c r="AF16" s="121"/>
      <c r="AG16" s="121"/>
      <c r="AH16" s="121"/>
      <c r="AI16" s="121"/>
      <c r="AJ16" s="121"/>
      <c r="AK16" s="121"/>
      <c r="AL16" s="121"/>
      <c r="AM16" s="88"/>
      <c r="AN16" s="65">
        <f t="shared" ref="AN16:AP16" si="34">SUM(DEGREES(atan(B16/1000))*2)</f>
        <v>7.694696386</v>
      </c>
      <c r="AO16" s="65">
        <f t="shared" si="34"/>
        <v>7.894305177</v>
      </c>
      <c r="AP16" s="65">
        <f t="shared" si="34"/>
        <v>9.807935334</v>
      </c>
      <c r="AQ16" s="63"/>
      <c r="AR16" s="46">
        <f t="shared" ref="AR16:AT16" si="35">SUM((pi())*B16^2)</f>
        <v>14208.04913</v>
      </c>
      <c r="AS16" s="46">
        <f t="shared" si="35"/>
        <v>14957.12262</v>
      </c>
      <c r="AT16" s="46">
        <f t="shared" si="35"/>
        <v>23127.27414</v>
      </c>
      <c r="AU16" s="52">
        <f t="shared" si="31"/>
        <v>0.9499186095</v>
      </c>
      <c r="AV16" s="63"/>
      <c r="AW16" s="52">
        <f>SUM('Raw Values'!B16/2)</f>
        <v>0.75</v>
      </c>
      <c r="AX16" s="46">
        <f>Sum((1-AW16)*'Raw Values'!C16 * 0.5)</f>
        <v>4</v>
      </c>
      <c r="AY16" s="63"/>
      <c r="AZ16" s="67">
        <f>ROUNDDOWN('Raw Values'!C16*('Raw Values'!$D16^(18/500))*'Raw Values'!N16)</f>
        <v>248</v>
      </c>
      <c r="BA16" s="67">
        <f>ROUNDDOWN('Raw Values'!C16*('Raw Values'!$D16^(18/500))*4*'Raw Values'!N16)</f>
        <v>994</v>
      </c>
      <c r="BB16" s="67">
        <f>ROUNDDOWN('Raw Values'!C16*('Raw Values'!$D16^(18/500))*1.25*'Raw Values'!N16)</f>
        <v>310</v>
      </c>
      <c r="BC16" s="67">
        <f>ROUNDDOWN('Raw Values'!C16*('Raw Values'!$D16^(18/500))*0.75*'Raw Values'!N16)</f>
        <v>186</v>
      </c>
      <c r="BD16" s="67">
        <f>ROUNDDOWN('Raw Values'!C16*('Raw Values'!$D16^(18/500))*AW16*'Raw Values'!N16)</f>
        <v>186</v>
      </c>
      <c r="BE16" s="67">
        <f>ROUNDDOWN('Raw Values'!C16*('Raw Values'!$D16^(18/500))*AW16*4*'Raw Values'!N16)</f>
        <v>746</v>
      </c>
      <c r="BF16" s="67">
        <f>ROUNDDOWN('Raw Values'!C16*('Raw Values'!$D16^(18/500))*AW16*1.25*'Raw Values'!N16)</f>
        <v>233</v>
      </c>
      <c r="BG16" s="63"/>
      <c r="BH16" s="69">
        <f>SUM(AZ16*(1/'Raw Values'!$E16)*'Raw Values'!N16)</f>
        <v>2334.117647</v>
      </c>
      <c r="BI16" s="69">
        <f t="shared" si="32"/>
        <v>1750.588235</v>
      </c>
      <c r="BJ16" s="33"/>
      <c r="BK16" s="70">
        <f>SUM(AZ16*'Raw Values'!I16)</f>
        <v>1736</v>
      </c>
      <c r="BL16" s="71">
        <f t="shared" si="33"/>
        <v>1302</v>
      </c>
    </row>
    <row r="17" ht="15.75" customHeight="1">
      <c r="A17" s="44" t="s">
        <v>143</v>
      </c>
      <c r="B17" s="46">
        <f>SUM('Raw Values'!R17+'Raw Values'!S17)</f>
        <v>43.25</v>
      </c>
      <c r="C17" s="46">
        <f>SUM('Raw Values'!R17+'Raw Values'!T17)</f>
        <v>45</v>
      </c>
      <c r="D17" s="46">
        <f>SUM('Raw Values'!R17+'Raw Values'!T17+'Raw Values'!V17)</f>
        <v>81.03</v>
      </c>
      <c r="E17" s="52">
        <f t="shared" si="28"/>
        <v>0.9611111111</v>
      </c>
      <c r="F17" s="46">
        <f>SUM($B17+'Firing Inaccuracy(Crouching) Ra'!$M17)</f>
        <v>44.31712894</v>
      </c>
      <c r="G17" s="46">
        <f>SUM($C17+'Firing Inaccuracy(Standing) Raw'!$M17)</f>
        <v>47.25918787</v>
      </c>
      <c r="H17" s="46">
        <f>SUM($D17+'Firing Inaccuracy(Standing) Raw'!$M17)</f>
        <v>83.28918787</v>
      </c>
      <c r="I17" s="52">
        <f>SUM(F17/G17)</f>
        <v>0.9377463079</v>
      </c>
      <c r="J17" s="118"/>
      <c r="K17" s="118"/>
      <c r="L17" s="118">
        <f>SUM(('Raw Values'!$AC17+(('Raw Values'!$AD17-'Raw Values'!$AC17)/3)))</f>
        <v>0.506569</v>
      </c>
      <c r="M17" s="118">
        <f>SUM(('Raw Values'!$AC17+(2*('Raw Values'!$AD17-'Raw Values'!$AC17)/3)))</f>
        <v>0.506569</v>
      </c>
      <c r="N17" s="72"/>
      <c r="O17" s="72"/>
      <c r="P17" s="72"/>
      <c r="Q17" s="72"/>
      <c r="R17" s="72"/>
      <c r="S17" s="72"/>
      <c r="T17" s="72"/>
      <c r="U17" s="72"/>
      <c r="V17" s="72"/>
      <c r="W17" s="72"/>
      <c r="X17" s="72"/>
      <c r="Y17" s="119"/>
      <c r="Z17" s="119"/>
      <c r="AA17" s="119">
        <f>SUM(('Raw Values'!$AA17+(('Raw Values'!$AB17-'Raw Values'!$AA17)/3)))</f>
        <v>0.361835</v>
      </c>
      <c r="AB17" s="119">
        <f>SUM(('Raw Values'!$AA17+(2*('Raw Values'!$AB17-'Raw Values'!$AA17)/3)))</f>
        <v>0.361835</v>
      </c>
      <c r="AC17" s="121"/>
      <c r="AD17" s="121"/>
      <c r="AE17" s="121"/>
      <c r="AF17" s="121"/>
      <c r="AG17" s="121"/>
      <c r="AH17" s="121"/>
      <c r="AI17" s="121"/>
      <c r="AJ17" s="121"/>
      <c r="AK17" s="121"/>
      <c r="AL17" s="121"/>
      <c r="AM17" s="88"/>
      <c r="AN17" s="65">
        <f t="shared" ref="AN17:AP17" si="36">SUM(DEGREES(atan(B17/1000))*2)</f>
        <v>4.952998169</v>
      </c>
      <c r="AO17" s="65">
        <f t="shared" si="36"/>
        <v>5.153143661</v>
      </c>
      <c r="AP17" s="65">
        <f t="shared" si="36"/>
        <v>9.265111599</v>
      </c>
      <c r="AQ17" s="63"/>
      <c r="AR17" s="46">
        <f t="shared" ref="AR17:AT17" si="37">SUM((pi())*B17^2)</f>
        <v>5876.545408</v>
      </c>
      <c r="AS17" s="46">
        <f t="shared" si="37"/>
        <v>6361.725124</v>
      </c>
      <c r="AT17" s="46">
        <f t="shared" si="37"/>
        <v>20627.26037</v>
      </c>
      <c r="AU17" s="52">
        <f t="shared" si="31"/>
        <v>0.9237345679</v>
      </c>
      <c r="AV17" s="63"/>
      <c r="AW17" s="52">
        <f>SUM('Raw Values'!B17/2)</f>
        <v>0.8</v>
      </c>
      <c r="AX17" s="46">
        <f>Sum((1-AW17)*'Raw Values'!C17 * 0.5)</f>
        <v>2</v>
      </c>
      <c r="AY17" s="63"/>
      <c r="AZ17" s="67">
        <f>ROUNDDOWN('Raw Values'!C17*('Raw Values'!$D17^(18/500))*'Raw Values'!N17)</f>
        <v>118</v>
      </c>
      <c r="BA17" s="67">
        <f>ROUNDDOWN('Raw Values'!C17*('Raw Values'!$D17^(18/500))*4*'Raw Values'!N17)</f>
        <v>473</v>
      </c>
      <c r="BB17" s="67">
        <f>ROUNDDOWN('Raw Values'!C17*('Raw Values'!$D17^(18/500))*1.25*'Raw Values'!N17)</f>
        <v>148</v>
      </c>
      <c r="BC17" s="67">
        <f>ROUNDDOWN('Raw Values'!C17*('Raw Values'!$D17^(18/500))*0.75*'Raw Values'!N17)</f>
        <v>88</v>
      </c>
      <c r="BD17" s="67">
        <f>ROUNDDOWN('Raw Values'!C17*('Raw Values'!$D17^(18/500))*AW17*'Raw Values'!N17)</f>
        <v>94</v>
      </c>
      <c r="BE17" s="67">
        <f>ROUNDDOWN('Raw Values'!C17*('Raw Values'!$D17^(18/500))*AW17*4*'Raw Values'!N17)</f>
        <v>379</v>
      </c>
      <c r="BF17" s="67">
        <f>ROUNDDOWN('Raw Values'!C17*('Raw Values'!$D17^(18/500))*AW17*1.25*'Raw Values'!N17)</f>
        <v>118</v>
      </c>
      <c r="BG17" s="63"/>
      <c r="BH17" s="69">
        <f>SUM(AZ17*(1/'Raw Values'!$E17)*'Raw Values'!N17)</f>
        <v>2022.857143</v>
      </c>
      <c r="BI17" s="69">
        <f t="shared" si="32"/>
        <v>1618.285714</v>
      </c>
      <c r="BJ17" s="33"/>
      <c r="BK17" s="70">
        <f>SUM(AZ17*'Raw Values'!I17)</f>
        <v>826</v>
      </c>
      <c r="BL17" s="71">
        <f t="shared" si="33"/>
        <v>660.8</v>
      </c>
    </row>
    <row r="18" ht="15.75" customHeight="1">
      <c r="A18" s="101"/>
      <c r="B18" s="102"/>
      <c r="C18" s="102"/>
      <c r="D18" s="102"/>
      <c r="E18" s="101"/>
      <c r="F18" s="102"/>
      <c r="G18" s="102"/>
      <c r="H18" s="101"/>
      <c r="I18" s="101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03"/>
      <c r="AN18" s="102"/>
      <c r="AO18" s="102"/>
      <c r="AP18" s="102"/>
      <c r="AQ18" s="103"/>
      <c r="AR18" s="102"/>
      <c r="AS18" s="102"/>
      <c r="AT18" s="102"/>
      <c r="AU18" s="101"/>
      <c r="AV18" s="103"/>
      <c r="AW18" s="101"/>
      <c r="AX18" s="102"/>
      <c r="AY18" s="103"/>
      <c r="AZ18" s="104"/>
      <c r="BA18" s="104"/>
      <c r="BB18" s="104"/>
      <c r="BC18" s="104"/>
      <c r="BD18" s="104"/>
      <c r="BE18" s="104"/>
      <c r="BF18" s="104"/>
      <c r="BG18" s="103"/>
      <c r="BH18" s="101"/>
      <c r="BI18" s="101"/>
      <c r="BJ18" s="106"/>
      <c r="BK18" s="108"/>
      <c r="BL18" s="110"/>
    </row>
    <row r="19" ht="15.75" customHeight="1">
      <c r="A19" s="2" t="s">
        <v>145</v>
      </c>
      <c r="B19" s="4" t="s">
        <v>3</v>
      </c>
      <c r="C19" s="4" t="s">
        <v>5</v>
      </c>
      <c r="D19" s="4" t="s">
        <v>6</v>
      </c>
      <c r="E19" s="6" t="s">
        <v>7</v>
      </c>
      <c r="F19" s="4" t="s">
        <v>9</v>
      </c>
      <c r="G19" s="4" t="s">
        <v>10</v>
      </c>
      <c r="H19" s="6" t="s">
        <v>11</v>
      </c>
      <c r="I19" s="6" t="s">
        <v>12</v>
      </c>
      <c r="J19" s="12"/>
      <c r="K19" s="12"/>
      <c r="L19" s="12" t="s">
        <v>33</v>
      </c>
      <c r="M19" s="12" t="s">
        <v>35</v>
      </c>
      <c r="N19" s="58"/>
      <c r="O19" s="58"/>
      <c r="P19" s="58"/>
      <c r="Q19" s="58"/>
      <c r="R19" s="58"/>
      <c r="S19" s="58"/>
      <c r="T19" s="58"/>
      <c r="U19" s="58"/>
      <c r="V19" s="58"/>
      <c r="W19" s="58"/>
      <c r="X19" s="58"/>
      <c r="Y19" s="12"/>
      <c r="Z19" s="12"/>
      <c r="AA19" s="12" t="s">
        <v>53</v>
      </c>
      <c r="AB19" s="12" t="s">
        <v>54</v>
      </c>
      <c r="AC19" s="58"/>
      <c r="AD19" s="58"/>
      <c r="AE19" s="58"/>
      <c r="AF19" s="58"/>
      <c r="AG19" s="58"/>
      <c r="AH19" s="58"/>
      <c r="AI19" s="58"/>
      <c r="AJ19" s="58"/>
      <c r="AK19" s="58"/>
      <c r="AL19" s="58"/>
      <c r="AM19" s="113"/>
      <c r="AN19" s="16" t="s">
        <v>77</v>
      </c>
      <c r="AO19" s="16" t="s">
        <v>80</v>
      </c>
      <c r="AP19" s="16" t="s">
        <v>83</v>
      </c>
      <c r="AQ19" s="22"/>
      <c r="AR19" s="4" t="s">
        <v>85</v>
      </c>
      <c r="AS19" s="4" t="s">
        <v>87</v>
      </c>
      <c r="AT19" s="4" t="s">
        <v>89</v>
      </c>
      <c r="AU19" s="6" t="s">
        <v>7</v>
      </c>
      <c r="AV19" s="25"/>
      <c r="AW19" s="6" t="s">
        <v>16</v>
      </c>
      <c r="AX19" s="4" t="s">
        <v>97</v>
      </c>
      <c r="AY19" s="25"/>
      <c r="AZ19" s="27" t="s">
        <v>100</v>
      </c>
      <c r="BA19" s="27" t="s">
        <v>105</v>
      </c>
      <c r="BB19" s="27" t="s">
        <v>106</v>
      </c>
      <c r="BC19" s="27" t="s">
        <v>107</v>
      </c>
      <c r="BD19" s="27" t="s">
        <v>108</v>
      </c>
      <c r="BE19" s="27" t="s">
        <v>109</v>
      </c>
      <c r="BF19" s="27" t="s">
        <v>110</v>
      </c>
      <c r="BG19" s="25"/>
      <c r="BH19" s="6" t="s">
        <v>111</v>
      </c>
      <c r="BI19" s="6" t="s">
        <v>112</v>
      </c>
      <c r="BJ19" s="33"/>
      <c r="BK19" s="38" t="s">
        <v>114</v>
      </c>
      <c r="BL19" s="42" t="s">
        <v>115</v>
      </c>
    </row>
    <row r="20" ht="15.75" customHeight="1">
      <c r="A20" s="44" t="s">
        <v>147</v>
      </c>
      <c r="B20" s="46">
        <f>SUM('Raw Values'!R20+'Raw Values'!S20)</f>
        <v>11.5</v>
      </c>
      <c r="C20" s="46">
        <f>SUM('Raw Values'!R20+'Raw Values'!T20)</f>
        <v>15</v>
      </c>
      <c r="D20" s="46">
        <f>SUM('Raw Values'!R20+'Raw Values'!T20+'Raw Values'!V20)</f>
        <v>42.57</v>
      </c>
      <c r="E20" s="52">
        <f t="shared" ref="E20:E26" si="40">SUM(B20/C20)</f>
        <v>0.7666666667</v>
      </c>
      <c r="F20" s="46">
        <f>SUM($B20+'Firing Inaccuracy(Crouching) Ra'!$AJ20)</f>
        <v>13.94766367</v>
      </c>
      <c r="G20" s="46">
        <f>SUM($C20+'Firing Inaccuracy(Standing) Raw'!$AJ20)</f>
        <v>18.87664821</v>
      </c>
      <c r="H20" s="46">
        <f>SUM($D20+'Firing Inaccuracy(Standing) Raw'!$M20)</f>
        <v>46.30835342</v>
      </c>
      <c r="I20" s="52">
        <f t="shared" ref="I20:I26" si="41">SUM(F20/G20)</f>
        <v>0.7388845472</v>
      </c>
      <c r="J20" s="118"/>
      <c r="K20" s="118"/>
      <c r="L20" s="118">
        <f>SUM(('Raw Values'!$AC20+(('Raw Values'!$AD20-'Raw Values'!$AC20)/3)))</f>
        <v>0.331572</v>
      </c>
      <c r="M20" s="118">
        <f>SUM(('Raw Values'!$AC20+(2*('Raw Values'!$AD20-'Raw Values'!$AC20)/3)))</f>
        <v>0.331572</v>
      </c>
      <c r="N20" s="72"/>
      <c r="O20" s="72"/>
      <c r="P20" s="72"/>
      <c r="Q20" s="72"/>
      <c r="R20" s="72"/>
      <c r="S20" s="72"/>
      <c r="T20" s="72"/>
      <c r="U20" s="72"/>
      <c r="V20" s="72"/>
      <c r="W20" s="72"/>
      <c r="X20" s="72"/>
      <c r="Y20" s="119"/>
      <c r="Z20" s="119"/>
      <c r="AA20" s="119">
        <f>SUM(('Raw Values'!$AA20+(('Raw Values'!$AB20-'Raw Values'!$AA20)/3)))</f>
        <v>0.236837</v>
      </c>
      <c r="AB20" s="119">
        <f>SUM(('Raw Values'!$AA20+(2*('Raw Values'!$AB20-'Raw Values'!$AA20)/3)))</f>
        <v>0.236837</v>
      </c>
      <c r="AC20" s="121"/>
      <c r="AD20" s="121"/>
      <c r="AE20" s="121"/>
      <c r="AF20" s="121"/>
      <c r="AG20" s="121"/>
      <c r="AH20" s="121"/>
      <c r="AI20" s="121"/>
      <c r="AJ20" s="121"/>
      <c r="AK20" s="121"/>
      <c r="AL20" s="121"/>
      <c r="AM20" s="88"/>
      <c r="AN20" s="65">
        <f t="shared" ref="AN20:AP20" si="38">SUM(DEGREES(atan(B20/1000))*2)</f>
        <v>1.31774484</v>
      </c>
      <c r="AO20" s="65">
        <f t="shared" si="38"/>
        <v>1.718744487</v>
      </c>
      <c r="AP20" s="65">
        <f t="shared" si="38"/>
        <v>4.875219124</v>
      </c>
      <c r="AQ20" s="63"/>
      <c r="AR20" s="46">
        <f t="shared" ref="AR20:AT20" si="39">SUM((pi())*B20^2)</f>
        <v>415.4756284</v>
      </c>
      <c r="AS20" s="46">
        <f t="shared" si="39"/>
        <v>706.8583471</v>
      </c>
      <c r="AT20" s="46">
        <f t="shared" si="39"/>
        <v>5693.209601</v>
      </c>
      <c r="AU20" s="52">
        <f t="shared" ref="AU20:AU26" si="44">SUM(AR20/AS20)</f>
        <v>0.5877777778</v>
      </c>
      <c r="AV20" s="63"/>
      <c r="AW20" s="52">
        <f>SUM('Raw Values'!B20/2)</f>
        <v>0.575</v>
      </c>
      <c r="AX20" s="46">
        <f>Sum((1-AW20)*'Raw Values'!C20 * 0.5)</f>
        <v>5.7375</v>
      </c>
      <c r="AY20" s="63"/>
      <c r="AZ20" s="67">
        <f>ROUNDDOWN('Raw Values'!C20*('Raw Values'!$D20^(18/500)))</f>
        <v>26</v>
      </c>
      <c r="BA20" s="67">
        <f>ROUNDDOWN('Raw Values'!C20*('Raw Values'!$D20^(18/500))*4)</f>
        <v>107</v>
      </c>
      <c r="BB20" s="67">
        <f>ROUNDDOWN('Raw Values'!C20*('Raw Values'!$D20^(18/500))*1.25)</f>
        <v>33</v>
      </c>
      <c r="BC20" s="67">
        <f>ROUNDDOWN('Raw Values'!C20*('Raw Values'!$D20^(18/500))*0.75)</f>
        <v>20</v>
      </c>
      <c r="BD20" s="67">
        <f>ROUNDDOWN('Raw Values'!C20*('Raw Values'!$D20^(18/500))*AW20)</f>
        <v>15</v>
      </c>
      <c r="BE20" s="67">
        <f>ROUNDDOWN('Raw Values'!C20*('Raw Values'!$D20^(18/500))*AW20*4)</f>
        <v>61</v>
      </c>
      <c r="BF20" s="67">
        <f>ROUNDDOWN('Raw Values'!C20*('Raw Values'!$D20^(18/500))*AW20*1.25)</f>
        <v>19</v>
      </c>
      <c r="BG20" s="63"/>
      <c r="BH20" s="69">
        <f>SUM(AZ20*(1/'Raw Values'!$E20))</f>
        <v>325</v>
      </c>
      <c r="BI20" s="69">
        <f t="shared" ref="BI20:BI26" si="45">SUM(BH20*AW20)</f>
        <v>186.875</v>
      </c>
      <c r="BJ20" s="33"/>
      <c r="BK20" s="70">
        <f>SUM(AZ20*'Raw Values'!I20)</f>
        <v>1664</v>
      </c>
      <c r="BL20" s="71">
        <f t="shared" ref="BL20:BL26" si="46">SUM(BK20*AW20)</f>
        <v>956.8</v>
      </c>
    </row>
    <row r="21" ht="15.75" customHeight="1">
      <c r="A21" s="92" t="s">
        <v>150</v>
      </c>
      <c r="B21" s="46">
        <f>SUM('Raw Values'!R21+'Raw Values'!S21)</f>
        <v>10.58</v>
      </c>
      <c r="C21" s="46">
        <f>SUM('Raw Values'!R21+'Raw Values'!T21)</f>
        <v>13.9</v>
      </c>
      <c r="D21" s="46">
        <f>SUM('Raw Values'!R21+'Raw Values'!T21+'Raw Values'!V21)</f>
        <v>27.89</v>
      </c>
      <c r="E21" s="52">
        <f t="shared" si="40"/>
        <v>0.7611510791</v>
      </c>
      <c r="F21" s="46">
        <f>SUM($B21+'Firing Inaccuracy(Crouching) Ra'!$AJ21)</f>
        <v>16.30834767</v>
      </c>
      <c r="G21" s="46">
        <f>SUM($C21+'Firing Inaccuracy(Standing) Raw'!$AJ21)</f>
        <v>22.70862785</v>
      </c>
      <c r="H21" s="46">
        <f>SUM($D21+'Firing Inaccuracy(Standing) Raw'!$M21)</f>
        <v>36.03926249</v>
      </c>
      <c r="I21" s="52">
        <f t="shared" si="41"/>
        <v>0.718156455</v>
      </c>
      <c r="J21" s="118"/>
      <c r="K21" s="118"/>
      <c r="L21" s="118">
        <f>SUM(('Raw Values'!$AC21+(('Raw Values'!$AD21-'Raw Values'!$AC21)/3)))</f>
        <v>0.399729</v>
      </c>
      <c r="M21" s="118">
        <f>SUM(('Raw Values'!$AC21+(2*('Raw Values'!$AD21-'Raw Values'!$AC21)/3)))</f>
        <v>0.399729</v>
      </c>
      <c r="N21" s="72"/>
      <c r="O21" s="72"/>
      <c r="P21" s="72"/>
      <c r="Q21" s="72"/>
      <c r="R21" s="72"/>
      <c r="S21" s="72"/>
      <c r="T21" s="72"/>
      <c r="U21" s="72"/>
      <c r="V21" s="72"/>
      <c r="W21" s="72"/>
      <c r="X21" s="72"/>
      <c r="Y21" s="119"/>
      <c r="Z21" s="119"/>
      <c r="AA21" s="119">
        <f>SUM(('Raw Values'!$AA21+(('Raw Values'!$AB21-'Raw Values'!$AA21)/3)))</f>
        <v>0.285521</v>
      </c>
      <c r="AB21" s="119">
        <f>SUM(('Raw Values'!$AA21+(2*('Raw Values'!$AB21-'Raw Values'!$AA21)/3)))</f>
        <v>0.285521</v>
      </c>
      <c r="AC21" s="121"/>
      <c r="AD21" s="121"/>
      <c r="AE21" s="121"/>
      <c r="AF21" s="121"/>
      <c r="AG21" s="121"/>
      <c r="AH21" s="121"/>
      <c r="AI21" s="121"/>
      <c r="AJ21" s="121"/>
      <c r="AK21" s="121"/>
      <c r="AL21" s="121"/>
      <c r="AM21" s="88"/>
      <c r="AN21" s="65">
        <f t="shared" ref="AN21:AP21" si="42">SUM(DEGREES(atan(B21/1000))*2)</f>
        <v>1.212333461</v>
      </c>
      <c r="AO21" s="65">
        <f t="shared" si="42"/>
        <v>1.592720099</v>
      </c>
      <c r="AP21" s="65">
        <f t="shared" si="42"/>
        <v>3.195130307</v>
      </c>
      <c r="AQ21" s="63"/>
      <c r="AR21" s="46">
        <f t="shared" ref="AR21:AT21" si="43">SUM((pi())*B21^2)</f>
        <v>351.6585719</v>
      </c>
      <c r="AS21" s="46">
        <f t="shared" si="43"/>
        <v>606.9871166</v>
      </c>
      <c r="AT21" s="46">
        <f t="shared" si="43"/>
        <v>2443.694443</v>
      </c>
      <c r="AU21" s="52">
        <f t="shared" si="44"/>
        <v>0.5793509653</v>
      </c>
      <c r="AV21" s="63"/>
      <c r="AW21" s="52">
        <f>SUM('Raw Values'!B21/2)</f>
        <v>0.575</v>
      </c>
      <c r="AX21" s="46">
        <f>Sum((1-AW21)*'Raw Values'!C21 * 0.5)</f>
        <v>6.1625</v>
      </c>
      <c r="AY21" s="63"/>
      <c r="AZ21" s="67">
        <f>ROUNDDOWN('Raw Values'!C21*('Raw Values'!$D21^(18/500)))</f>
        <v>28</v>
      </c>
      <c r="BA21" s="67">
        <f>ROUNDDOWN('Raw Values'!C21*('Raw Values'!$D21^(18/500))*4)</f>
        <v>115</v>
      </c>
      <c r="BB21" s="67">
        <f>ROUNDDOWN('Raw Values'!C21*('Raw Values'!$D21^(18/500))*1.25)</f>
        <v>35</v>
      </c>
      <c r="BC21" s="67">
        <f>ROUNDDOWN('Raw Values'!C21*('Raw Values'!$D21^(18/500))*0.75)</f>
        <v>21</v>
      </c>
      <c r="BD21" s="67">
        <f>ROUNDDOWN('Raw Values'!C21*('Raw Values'!$D21^(18/500))*AW21)</f>
        <v>16</v>
      </c>
      <c r="BE21" s="67">
        <f>ROUNDDOWN('Raw Values'!C21*('Raw Values'!$D21^(18/500))*AW21*4)</f>
        <v>66</v>
      </c>
      <c r="BF21" s="67">
        <f>ROUNDDOWN('Raw Values'!C21*('Raw Values'!$D21^(18/500))*AW21*1.25)</f>
        <v>20</v>
      </c>
      <c r="BG21" s="63"/>
      <c r="BH21" s="69">
        <f>SUM(AZ21*(1/'Raw Values'!$E21))</f>
        <v>373.3333333</v>
      </c>
      <c r="BI21" s="69">
        <f t="shared" si="45"/>
        <v>214.6666667</v>
      </c>
      <c r="BJ21" s="33"/>
      <c r="BK21" s="70">
        <f>SUM(AZ21*'Raw Values'!I21)</f>
        <v>840</v>
      </c>
      <c r="BL21" s="71">
        <f t="shared" si="46"/>
        <v>483</v>
      </c>
    </row>
    <row r="22" ht="15.75" customHeight="1">
      <c r="A22" s="44" t="s">
        <v>152</v>
      </c>
      <c r="B22" s="46">
        <f>SUM('Raw Values'!R22+'Raw Values'!S22)</f>
        <v>6.52</v>
      </c>
      <c r="C22" s="46">
        <f>SUM('Raw Values'!R22+'Raw Values'!T22)</f>
        <v>10.6</v>
      </c>
      <c r="D22" s="46">
        <f>SUM('Raw Values'!R22+'Raw Values'!T22+'Raw Values'!V22)</f>
        <v>30.46</v>
      </c>
      <c r="E22" s="52">
        <f t="shared" si="40"/>
        <v>0.6150943396</v>
      </c>
      <c r="F22" s="46">
        <f>SUM($B22+'Firing Inaccuracy(Crouching) Ra'!$AJ22)</f>
        <v>9.234690361</v>
      </c>
      <c r="G22" s="46">
        <f>SUM($C22+'Firing Inaccuracy(Standing) Raw'!$AJ22)</f>
        <v>14.76374348</v>
      </c>
      <c r="H22" s="46">
        <f>SUM($D22+'Firing Inaccuracy(Standing) Raw'!$M22)</f>
        <v>34.29085892</v>
      </c>
      <c r="I22" s="52">
        <f t="shared" si="41"/>
        <v>0.6254978875</v>
      </c>
      <c r="J22" s="118"/>
      <c r="K22" s="118"/>
      <c r="L22" s="118">
        <f>SUM(('Raw Values'!$AC22+(('Raw Values'!$AD22-'Raw Values'!$AC22)/3)))</f>
        <v>0.437491</v>
      </c>
      <c r="M22" s="118">
        <f>SUM(('Raw Values'!$AC22+(2*('Raw Values'!$AD22-'Raw Values'!$AC22)/3)))</f>
        <v>0.437491</v>
      </c>
      <c r="N22" s="72"/>
      <c r="O22" s="72"/>
      <c r="P22" s="72"/>
      <c r="Q22" s="72"/>
      <c r="R22" s="72"/>
      <c r="S22" s="72"/>
      <c r="T22" s="72"/>
      <c r="U22" s="72"/>
      <c r="V22" s="72"/>
      <c r="W22" s="72"/>
      <c r="X22" s="72"/>
      <c r="Y22" s="119"/>
      <c r="Z22" s="119"/>
      <c r="AA22" s="119">
        <f>SUM(('Raw Values'!$AA22+(('Raw Values'!$AB22-'Raw Values'!$AA22)/3)))</f>
        <v>0.312494</v>
      </c>
      <c r="AB22" s="119">
        <f>SUM(('Raw Values'!$AA22+(2*('Raw Values'!$AB22-'Raw Values'!$AA22)/3)))</f>
        <v>0.312494</v>
      </c>
      <c r="AC22" s="121"/>
      <c r="AD22" s="121"/>
      <c r="AE22" s="121"/>
      <c r="AF22" s="121"/>
      <c r="AG22" s="121"/>
      <c r="AH22" s="121"/>
      <c r="AI22" s="121"/>
      <c r="AJ22" s="121"/>
      <c r="AK22" s="121"/>
      <c r="AL22" s="121"/>
      <c r="AM22" s="88"/>
      <c r="AN22" s="65">
        <f t="shared" ref="AN22:AP22" si="47">SUM(DEGREES(atan(B22/1000))*2)</f>
        <v>0.7471263781</v>
      </c>
      <c r="AO22" s="65">
        <f t="shared" si="47"/>
        <v>1.214625035</v>
      </c>
      <c r="AP22" s="65">
        <f t="shared" si="47"/>
        <v>3.489379992</v>
      </c>
      <c r="AQ22" s="63"/>
      <c r="AR22" s="46">
        <f t="shared" ref="AR22:AT22" si="48">SUM((pi())*B22^2)</f>
        <v>133.5503603</v>
      </c>
      <c r="AS22" s="46">
        <f t="shared" si="48"/>
        <v>352.9893506</v>
      </c>
      <c r="AT22" s="46">
        <f t="shared" si="48"/>
        <v>2914.806106</v>
      </c>
      <c r="AU22" s="52">
        <f t="shared" si="44"/>
        <v>0.3783410466</v>
      </c>
      <c r="AV22" s="63"/>
      <c r="AW22" s="52">
        <f>SUM('Raw Values'!B22/2)</f>
        <v>0.625</v>
      </c>
      <c r="AX22" s="46">
        <f>Sum((1-AW22)*'Raw Values'!C22 * 0.5)</f>
        <v>5.4375</v>
      </c>
      <c r="AY22" s="63"/>
      <c r="AZ22" s="67">
        <f>ROUNDDOWN('Raw Values'!C22*('Raw Values'!$D22^(18/500)))</f>
        <v>28</v>
      </c>
      <c r="BA22" s="67">
        <f>ROUNDDOWN('Raw Values'!C22*('Raw Values'!$D22^(18/500))*4)</f>
        <v>115</v>
      </c>
      <c r="BB22" s="67">
        <f>ROUNDDOWN('Raw Values'!C22*('Raw Values'!$D22^(18/500))*1.25)</f>
        <v>36</v>
      </c>
      <c r="BC22" s="67">
        <f>ROUNDDOWN('Raw Values'!C22*('Raw Values'!$D22^(18/500))*0.75)</f>
        <v>21</v>
      </c>
      <c r="BD22" s="67">
        <f>ROUNDDOWN('Raw Values'!C22*('Raw Values'!$D22^(18/500))*AW22)</f>
        <v>18</v>
      </c>
      <c r="BE22" s="67">
        <f>ROUNDDOWN('Raw Values'!C22*('Raw Values'!$D22^(18/500))*AW22*4)</f>
        <v>72</v>
      </c>
      <c r="BF22" s="67">
        <f>ROUNDDOWN('Raw Values'!C22*('Raw Values'!$D22^(18/500))*AW22*1.25)</f>
        <v>22</v>
      </c>
      <c r="BG22" s="63"/>
      <c r="BH22" s="69">
        <f>SUM(AZ22*(1/'Raw Values'!$E22))</f>
        <v>350</v>
      </c>
      <c r="BI22" s="69">
        <f t="shared" si="45"/>
        <v>218.75</v>
      </c>
      <c r="BJ22" s="33"/>
      <c r="BK22" s="70">
        <f>SUM(AZ22*'Raw Values'!I22)</f>
        <v>840</v>
      </c>
      <c r="BL22" s="71">
        <f t="shared" si="46"/>
        <v>525</v>
      </c>
    </row>
    <row r="23" ht="15.75" customHeight="1">
      <c r="A23" s="28" t="s">
        <v>154</v>
      </c>
      <c r="B23" s="46">
        <f>SUM('Raw Values'!R23+'Raw Values'!S23)</f>
        <v>6.52</v>
      </c>
      <c r="C23" s="46">
        <f>SUM('Raw Values'!R23+'Raw Values'!T23)</f>
        <v>10.6</v>
      </c>
      <c r="D23" s="46">
        <f>SUM('Raw Values'!R23+'Raw Values'!T23+'Raw Values'!V23)</f>
        <v>40.6</v>
      </c>
      <c r="E23" s="52">
        <f t="shared" si="40"/>
        <v>0.6150943396</v>
      </c>
      <c r="F23" s="46">
        <f>SUM($B23+'Firing Inaccuracy(Crouching) Ra'!$AJ23)</f>
        <v>9.234690361</v>
      </c>
      <c r="G23" s="46">
        <f>SUM($C23+'Firing Inaccuracy(Standing) Raw'!$AJ23)</f>
        <v>14.76374348</v>
      </c>
      <c r="H23" s="46">
        <f>SUM($D23+'Firing Inaccuracy(Standing) Raw'!$M23)</f>
        <v>44.43085892</v>
      </c>
      <c r="I23" s="52">
        <f t="shared" si="41"/>
        <v>0.6254978875</v>
      </c>
      <c r="J23" s="118"/>
      <c r="K23" s="118"/>
      <c r="L23" s="118">
        <f>SUM(('Raw Values'!$AC23+(('Raw Values'!$AD23-'Raw Values'!$AC23)/3)))</f>
        <v>0.437491</v>
      </c>
      <c r="M23" s="118">
        <f>SUM(('Raw Values'!$AC23+(2*('Raw Values'!$AD23-'Raw Values'!$AC23)/3)))</f>
        <v>0.437491</v>
      </c>
      <c r="N23" s="72"/>
      <c r="O23" s="72"/>
      <c r="P23" s="72"/>
      <c r="Q23" s="72"/>
      <c r="R23" s="72"/>
      <c r="S23" s="72"/>
      <c r="T23" s="72"/>
      <c r="U23" s="72"/>
      <c r="V23" s="72"/>
      <c r="W23" s="72"/>
      <c r="X23" s="72"/>
      <c r="Y23" s="119"/>
      <c r="Z23" s="119"/>
      <c r="AA23" s="119">
        <f>SUM(('Raw Values'!$AA23+(('Raw Values'!$AB23-'Raw Values'!$AA23)/3)))</f>
        <v>0.312494</v>
      </c>
      <c r="AB23" s="119">
        <f>SUM(('Raw Values'!$AA23+(2*('Raw Values'!$AB23-'Raw Values'!$AA23)/3)))</f>
        <v>0.312494</v>
      </c>
      <c r="AC23" s="121"/>
      <c r="AD23" s="121"/>
      <c r="AE23" s="121"/>
      <c r="AF23" s="121"/>
      <c r="AG23" s="121"/>
      <c r="AH23" s="121"/>
      <c r="AI23" s="121"/>
      <c r="AJ23" s="121"/>
      <c r="AK23" s="121"/>
      <c r="AL23" s="121"/>
      <c r="AM23" s="88"/>
      <c r="AN23" s="65">
        <f t="shared" ref="AN23:AP23" si="49">SUM(DEGREES(atan(B23/1000))*2)</f>
        <v>0.7471263781</v>
      </c>
      <c r="AO23" s="65">
        <f t="shared" si="49"/>
        <v>1.214625035</v>
      </c>
      <c r="AP23" s="65">
        <f t="shared" si="49"/>
        <v>4.649863536</v>
      </c>
      <c r="AQ23" s="63"/>
      <c r="AR23" s="46">
        <f t="shared" ref="AR23:AT23" si="50">SUM((pi())*B23^2)</f>
        <v>133.5503603</v>
      </c>
      <c r="AS23" s="46">
        <f t="shared" si="50"/>
        <v>352.9893506</v>
      </c>
      <c r="AT23" s="46">
        <f t="shared" si="50"/>
        <v>5178.475666</v>
      </c>
      <c r="AU23" s="52">
        <f t="shared" si="44"/>
        <v>0.3783410466</v>
      </c>
      <c r="AV23" s="63"/>
      <c r="AW23" s="52">
        <f>SUM('Raw Values'!B23/2)</f>
        <v>0.625</v>
      </c>
      <c r="AX23" s="46">
        <f>Sum((1-AW23)*'Raw Values'!C23 * 0.5)</f>
        <v>5.0625</v>
      </c>
      <c r="AY23" s="63"/>
      <c r="AZ23" s="67">
        <f>ROUNDDOWN('Raw Values'!C23*('Raw Values'!$D23^(18/500)))</f>
        <v>26</v>
      </c>
      <c r="BA23" s="67">
        <f>ROUNDDOWN('Raw Values'!C23*('Raw Values'!$D23^(18/500))*4)</f>
        <v>107</v>
      </c>
      <c r="BB23" s="67">
        <f>ROUNDDOWN('Raw Values'!C23*('Raw Values'!$D23^(18/500))*1.25)</f>
        <v>33</v>
      </c>
      <c r="BC23" s="67">
        <f>ROUNDDOWN('Raw Values'!C23*('Raw Values'!$D23^(18/500))*0.75)</f>
        <v>20</v>
      </c>
      <c r="BD23" s="67">
        <f>ROUNDDOWN('Raw Values'!C23*('Raw Values'!$D23^(18/500))*AW23)</f>
        <v>16</v>
      </c>
      <c r="BE23" s="67">
        <f>ROUNDDOWN('Raw Values'!C23*('Raw Values'!$D23^(18/500))*AW23*4)</f>
        <v>67</v>
      </c>
      <c r="BF23" s="67">
        <f>ROUNDDOWN('Raw Values'!C23*('Raw Values'!$D23^(18/500))*AW23*1.25)</f>
        <v>20</v>
      </c>
      <c r="BG23" s="63"/>
      <c r="BH23" s="69">
        <f>SUM(AZ23*(1/'Raw Values'!$E23))</f>
        <v>325</v>
      </c>
      <c r="BI23" s="69">
        <f t="shared" si="45"/>
        <v>203.125</v>
      </c>
      <c r="BJ23" s="33"/>
      <c r="BK23" s="70">
        <f>SUM(AZ23*'Raw Values'!I23)</f>
        <v>780</v>
      </c>
      <c r="BL23" s="71">
        <f t="shared" si="46"/>
        <v>487.5</v>
      </c>
    </row>
    <row r="24" ht="15.75" customHeight="1">
      <c r="A24" s="90" t="s">
        <v>156</v>
      </c>
      <c r="B24" s="46">
        <f>SUM('Raw Values'!R24+'Raw Values'!S24)</f>
        <v>6.1</v>
      </c>
      <c r="C24" s="46">
        <f>SUM('Raw Values'!R24+'Raw Values'!T24)</f>
        <v>9.6</v>
      </c>
      <c r="D24" s="46">
        <f>SUM('Raw Values'!R24+'Raw Values'!T24+'Raw Values'!V24)</f>
        <v>38.64</v>
      </c>
      <c r="E24" s="52">
        <f t="shared" si="40"/>
        <v>0.6354166667</v>
      </c>
      <c r="F24" s="46">
        <f>SUM($B24+'Firing Inaccuracy(Crouching) Ra'!$AJ24)</f>
        <v>8.744986168</v>
      </c>
      <c r="G24" s="46">
        <f>SUM($C24+'Firing Inaccuracy(Standing) Raw'!$AJ24)</f>
        <v>13.86147566</v>
      </c>
      <c r="H24" s="46">
        <f>SUM($D24+'Firing Inaccuracy(Standing) Raw'!$M24)</f>
        <v>42.80125473</v>
      </c>
      <c r="I24" s="52">
        <f t="shared" si="41"/>
        <v>0.6308842136</v>
      </c>
      <c r="J24" s="118"/>
      <c r="K24" s="118"/>
      <c r="L24" s="118">
        <f>SUM(('Raw Values'!$AC24+(('Raw Values'!$AD24-'Raw Values'!$AC24)/3)))</f>
        <v>0.25789</v>
      </c>
      <c r="M24" s="118">
        <f>SUM(('Raw Values'!$AC24+(2*('Raw Values'!$AD24-'Raw Values'!$AC24)/3)))</f>
        <v>0.25789</v>
      </c>
      <c r="N24" s="72"/>
      <c r="O24" s="72"/>
      <c r="P24" s="72"/>
      <c r="Q24" s="72"/>
      <c r="R24" s="72"/>
      <c r="S24" s="72"/>
      <c r="T24" s="72"/>
      <c r="U24" s="72"/>
      <c r="V24" s="72"/>
      <c r="W24" s="72"/>
      <c r="X24" s="72"/>
      <c r="Y24" s="119"/>
      <c r="Z24" s="119"/>
      <c r="AA24" s="119">
        <f>SUM(('Raw Values'!$AA24+(('Raw Values'!$AB24-'Raw Values'!$AA24)/3)))</f>
        <v>0.184207</v>
      </c>
      <c r="AB24" s="119">
        <f>SUM(('Raw Values'!$AA24+(2*('Raw Values'!$AB24-'Raw Values'!$AA24)/3)))</f>
        <v>0.184207</v>
      </c>
      <c r="AC24" s="121"/>
      <c r="AD24" s="121"/>
      <c r="AE24" s="121"/>
      <c r="AF24" s="121"/>
      <c r="AG24" s="121"/>
      <c r="AH24" s="121"/>
      <c r="AI24" s="121"/>
      <c r="AJ24" s="121"/>
      <c r="AK24" s="121"/>
      <c r="AL24" s="121"/>
      <c r="AM24" s="88"/>
      <c r="AN24" s="65">
        <f t="shared" ref="AN24:AP24" si="51">SUM(DEGREES(atan(B24/1000))*2)</f>
        <v>0.6989998402</v>
      </c>
      <c r="AO24" s="65">
        <f t="shared" si="51"/>
        <v>1.100045174</v>
      </c>
      <c r="AP24" s="65">
        <f t="shared" si="51"/>
        <v>4.425616162</v>
      </c>
      <c r="AQ24" s="63"/>
      <c r="AR24" s="46">
        <f t="shared" ref="AR24:AT24" si="52">SUM((pi())*B24^2)</f>
        <v>116.8986626</v>
      </c>
      <c r="AS24" s="46">
        <f t="shared" si="52"/>
        <v>289.529179</v>
      </c>
      <c r="AT24" s="46">
        <f t="shared" si="52"/>
        <v>4690.553655</v>
      </c>
      <c r="AU24" s="52">
        <f t="shared" si="44"/>
        <v>0.4037543403</v>
      </c>
      <c r="AV24" s="63"/>
      <c r="AW24" s="52">
        <f>SUM('Raw Values'!B24/2)</f>
        <v>0.6</v>
      </c>
      <c r="AX24" s="46">
        <f>Sum((1-AW24)*'Raw Values'!C24 * 0.5)</f>
        <v>5.2</v>
      </c>
      <c r="AY24" s="63"/>
      <c r="AZ24" s="67">
        <f>ROUNDDOWN('Raw Values'!C24*('Raw Values'!$D24^(18/500)))</f>
        <v>25</v>
      </c>
      <c r="BA24" s="67">
        <f>ROUNDDOWN('Raw Values'!C24*('Raw Values'!$D24^(18/500))*4)</f>
        <v>103</v>
      </c>
      <c r="BB24" s="67">
        <f>ROUNDDOWN('Raw Values'!C24*('Raw Values'!$D24^(18/500))*1.25)</f>
        <v>32</v>
      </c>
      <c r="BC24" s="67">
        <f>ROUNDDOWN('Raw Values'!C24*('Raw Values'!$D24^(18/500))*0.75)</f>
        <v>19</v>
      </c>
      <c r="BD24" s="67">
        <f>ROUNDDOWN('Raw Values'!C24*('Raw Values'!$D24^(18/500))*AW24)</f>
        <v>15</v>
      </c>
      <c r="BE24" s="67">
        <f>ROUNDDOWN('Raw Values'!C24*('Raw Values'!$D24^(18/500))*AW24*4)</f>
        <v>62</v>
      </c>
      <c r="BF24" s="67">
        <f>ROUNDDOWN('Raw Values'!C24*('Raw Values'!$D24^(18/500))*AW24*1.25)</f>
        <v>19</v>
      </c>
      <c r="BG24" s="63"/>
      <c r="BH24" s="69">
        <f>SUM(AZ24*(1/'Raw Values'!$E24))</f>
        <v>357.1428571</v>
      </c>
      <c r="BI24" s="69">
        <f t="shared" si="45"/>
        <v>214.2857143</v>
      </c>
      <c r="BJ24" s="33"/>
      <c r="BK24" s="70">
        <f>SUM(AZ24*'Raw Values'!I24)</f>
        <v>750</v>
      </c>
      <c r="BL24" s="71">
        <f t="shared" si="46"/>
        <v>450</v>
      </c>
    </row>
    <row r="25" ht="15.75" customHeight="1">
      <c r="A25" s="44" t="s">
        <v>158</v>
      </c>
      <c r="B25" s="46">
        <f>SUM('Raw Values'!R25+'Raw Values'!S25)</f>
        <v>11.24</v>
      </c>
      <c r="C25" s="46">
        <f>SUM('Raw Values'!R25+'Raw Values'!T25)</f>
        <v>14.65</v>
      </c>
      <c r="D25" s="46">
        <f>SUM('Raw Values'!R25+'Raw Values'!T25+'Raw Values'!V25)</f>
        <v>45.65</v>
      </c>
      <c r="E25" s="52">
        <f t="shared" si="40"/>
        <v>0.7672354949</v>
      </c>
      <c r="F25" s="46">
        <f>SUM($B25+'Firing Inaccuracy(Crouching) Ra'!$AJ25)</f>
        <v>14.65774322</v>
      </c>
      <c r="G25" s="46">
        <f>SUM($C25+'Firing Inaccuracy(Standing) Raw'!$AJ25)</f>
        <v>19.90697167</v>
      </c>
      <c r="H25" s="46">
        <f>SUM($D25+'Firing Inaccuracy(Standing) Raw'!$M25)</f>
        <v>50.51614716</v>
      </c>
      <c r="I25" s="52">
        <f t="shared" si="41"/>
        <v>0.7363120552</v>
      </c>
      <c r="J25" s="118"/>
      <c r="K25" s="118"/>
      <c r="L25" s="118">
        <f>SUM(('Raw Values'!$AC25+(('Raw Values'!$AD25-'Raw Values'!$AC25)/3)))</f>
        <v>0.372098</v>
      </c>
      <c r="M25" s="118">
        <f>SUM(('Raw Values'!$AC25+(2*('Raw Values'!$AD25-'Raw Values'!$AC25)/3)))</f>
        <v>0.372098</v>
      </c>
      <c r="N25" s="72"/>
      <c r="O25" s="72"/>
      <c r="P25" s="72"/>
      <c r="Q25" s="72"/>
      <c r="R25" s="72"/>
      <c r="S25" s="72"/>
      <c r="T25" s="72"/>
      <c r="U25" s="72"/>
      <c r="V25" s="72"/>
      <c r="W25" s="72"/>
      <c r="X25" s="72"/>
      <c r="Y25" s="119"/>
      <c r="Z25" s="119"/>
      <c r="AA25" s="119">
        <f>SUM(('Raw Values'!$AA25+(('Raw Values'!$AB25-'Raw Values'!$AA25)/3)))</f>
        <v>0.265784</v>
      </c>
      <c r="AB25" s="119">
        <f>SUM(('Raw Values'!$AA25+(2*('Raw Values'!$AB25-'Raw Values'!$AA25)/3)))</f>
        <v>0.265784</v>
      </c>
      <c r="AC25" s="121"/>
      <c r="AD25" s="121"/>
      <c r="AE25" s="121"/>
      <c r="AF25" s="121"/>
      <c r="AG25" s="121"/>
      <c r="AH25" s="121"/>
      <c r="AI25" s="121"/>
      <c r="AJ25" s="121"/>
      <c r="AK25" s="121"/>
      <c r="AL25" s="121"/>
      <c r="AM25" s="88"/>
      <c r="AN25" s="65">
        <f t="shared" ref="AN25:AP25" si="53">SUM(DEGREES(atan(B25/1000))*2)</f>
        <v>1.287954886</v>
      </c>
      <c r="AO25" s="65">
        <f t="shared" si="53"/>
        <v>1.678646255</v>
      </c>
      <c r="AP25" s="65">
        <f t="shared" si="53"/>
        <v>5.227475467</v>
      </c>
      <c r="AQ25" s="63"/>
      <c r="AR25" s="46">
        <f t="shared" ref="AR25:AT25" si="54">SUM((pi())*B25^2)</f>
        <v>396.901276</v>
      </c>
      <c r="AS25" s="46">
        <f t="shared" si="54"/>
        <v>674.2564693</v>
      </c>
      <c r="AT25" s="46">
        <f t="shared" si="54"/>
        <v>6546.835617</v>
      </c>
      <c r="AU25" s="52">
        <f t="shared" si="44"/>
        <v>0.5886503046</v>
      </c>
      <c r="AV25" s="63"/>
      <c r="AW25" s="52">
        <f>SUM('Raw Values'!B25/2)</f>
        <v>0.69</v>
      </c>
      <c r="AX25" s="46">
        <f>Sum((1-AW25)*'Raw Values'!C25 * 0.5)</f>
        <v>4.03</v>
      </c>
      <c r="AY25" s="63"/>
      <c r="AZ25" s="67">
        <f>ROUNDDOWN('Raw Values'!C25*('Raw Values'!$D25^(18/500)))</f>
        <v>25</v>
      </c>
      <c r="BA25" s="67">
        <f>ROUNDDOWN('Raw Values'!C25*('Raw Values'!$D25^(18/500))*4)</f>
        <v>103</v>
      </c>
      <c r="BB25" s="67">
        <f>ROUNDDOWN('Raw Values'!C25*('Raw Values'!$D25^(18/500))*1.25)</f>
        <v>32</v>
      </c>
      <c r="BC25" s="67">
        <f>ROUNDDOWN('Raw Values'!C25*('Raw Values'!$D25^(18/500))*0.75)</f>
        <v>19</v>
      </c>
      <c r="BD25" s="67">
        <f>ROUNDDOWN('Raw Values'!C25*('Raw Values'!$D25^(18/500))*AW25)</f>
        <v>17</v>
      </c>
      <c r="BE25" s="67">
        <f>ROUNDDOWN('Raw Values'!C25*('Raw Values'!$D25^(18/500))*AW25*4)</f>
        <v>71</v>
      </c>
      <c r="BF25" s="67">
        <f>ROUNDDOWN('Raw Values'!C25*('Raw Values'!$D25^(18/500))*AW25*1.25)</f>
        <v>22</v>
      </c>
      <c r="BG25" s="63"/>
      <c r="BH25" s="69">
        <f>SUM(AZ25*(1/'Raw Values'!$E25))</f>
        <v>357.1428571</v>
      </c>
      <c r="BI25" s="69">
        <f t="shared" si="45"/>
        <v>246.4285714</v>
      </c>
      <c r="BJ25" s="33"/>
      <c r="BK25" s="70">
        <f>SUM(AZ25*'Raw Values'!I25)</f>
        <v>1250</v>
      </c>
      <c r="BL25" s="71">
        <f t="shared" si="46"/>
        <v>862.5</v>
      </c>
    </row>
    <row r="26" ht="15.75" customHeight="1">
      <c r="A26" s="44" t="s">
        <v>160</v>
      </c>
      <c r="B26" s="46">
        <f>SUM('Raw Values'!R26+'Raw Values'!S26)</f>
        <v>11.07</v>
      </c>
      <c r="C26" s="46">
        <f>SUM('Raw Values'!R26+'Raw Values'!T26)</f>
        <v>14.43</v>
      </c>
      <c r="D26" s="46">
        <f>SUM('Raw Values'!R26+'Raw Values'!T26+'Raw Values'!V26)</f>
        <v>43.19</v>
      </c>
      <c r="E26" s="52">
        <f t="shared" si="40"/>
        <v>0.7671517672</v>
      </c>
      <c r="F26" s="46">
        <f>SUM($B26+'Firing Inaccuracy(Crouching) Ra'!$AE26)</f>
        <v>13.71930286</v>
      </c>
      <c r="G26" s="46">
        <f>SUM($C26+'Firing Inaccuracy(Standing) Raw'!$AE26)</f>
        <v>18.66377033</v>
      </c>
      <c r="H26" s="46">
        <f>SUM($D26+'Firing Inaccuracy(Standing) Raw'!$M26)</f>
        <v>47.30247911</v>
      </c>
      <c r="I26" s="52">
        <f t="shared" si="41"/>
        <v>0.7350767085</v>
      </c>
      <c r="J26" s="118"/>
      <c r="K26" s="118"/>
      <c r="L26" s="118">
        <f>SUM(('Raw Values'!$AC26+(('Raw Values'!$AD26-'Raw Values'!$AC26)/3)))</f>
        <v>0.349993</v>
      </c>
      <c r="M26" s="118">
        <f>SUM(('Raw Values'!$AC26+(2*('Raw Values'!$AD26-'Raw Values'!$AC26)/3)))</f>
        <v>0.349993</v>
      </c>
      <c r="N26" s="72"/>
      <c r="O26" s="72"/>
      <c r="P26" s="72"/>
      <c r="Q26" s="72"/>
      <c r="R26" s="72"/>
      <c r="S26" s="72"/>
      <c r="T26" s="72"/>
      <c r="U26" s="72"/>
      <c r="V26" s="72"/>
      <c r="W26" s="72"/>
      <c r="X26" s="72"/>
      <c r="Y26" s="119"/>
      <c r="Z26" s="119"/>
      <c r="AA26" s="119">
        <f>SUM(('Raw Values'!$AA26+(('Raw Values'!$AB26-'Raw Values'!$AA26)/3)))</f>
        <v>0.249995</v>
      </c>
      <c r="AB26" s="119">
        <f>SUM(('Raw Values'!$AA26+(2*('Raw Values'!$AB26-'Raw Values'!$AA26)/3)))</f>
        <v>0.249995</v>
      </c>
      <c r="AC26" s="121"/>
      <c r="AD26" s="121"/>
      <c r="AE26" s="121"/>
      <c r="AF26" s="121"/>
      <c r="AG26" s="121"/>
      <c r="AH26" s="121"/>
      <c r="AI26" s="121"/>
      <c r="AJ26" s="121"/>
      <c r="AK26" s="121"/>
      <c r="AL26" s="121"/>
      <c r="AM26" s="88"/>
      <c r="AN26" s="65">
        <f t="shared" ref="AN26:AP26" si="55">SUM(DEGREES(atan(B26/1000))*2)</f>
        <v>1.268476745</v>
      </c>
      <c r="AO26" s="65">
        <f t="shared" si="55"/>
        <v>1.653441441</v>
      </c>
      <c r="AP26" s="65">
        <f t="shared" si="55"/>
        <v>4.946135495</v>
      </c>
      <c r="AQ26" s="63"/>
      <c r="AR26" s="46">
        <f t="shared" ref="AR26:AT26" si="56">SUM((pi())*B26^2)</f>
        <v>384.9861576</v>
      </c>
      <c r="AS26" s="46">
        <f t="shared" si="56"/>
        <v>654.1578161</v>
      </c>
      <c r="AT26" s="46">
        <f t="shared" si="56"/>
        <v>5860.251852</v>
      </c>
      <c r="AU26" s="52">
        <f t="shared" si="44"/>
        <v>0.5885218338</v>
      </c>
      <c r="AV26" s="63"/>
      <c r="AW26" s="52">
        <f>SUM('Raw Values'!B26/2)</f>
        <v>0.65</v>
      </c>
      <c r="AX26" s="46">
        <f>Sum((1-AW26)*'Raw Values'!C26 * 0.5)</f>
        <v>6.125</v>
      </c>
      <c r="AY26" s="63"/>
      <c r="AZ26" s="67">
        <f>ROUNDDOWN('Raw Values'!C26*('Raw Values'!$D26^(18/500)))</f>
        <v>34</v>
      </c>
      <c r="BA26" s="67">
        <f>ROUNDDOWN('Raw Values'!C26*('Raw Values'!$D26^(18/500))*4)</f>
        <v>138</v>
      </c>
      <c r="BB26" s="67">
        <f>ROUNDDOWN('Raw Values'!C26*('Raw Values'!$D26^(18/500))*1.25)</f>
        <v>43</v>
      </c>
      <c r="BC26" s="67">
        <f>ROUNDDOWN('Raw Values'!C26*('Raw Values'!$D26^(18/500))*0.75)</f>
        <v>25</v>
      </c>
      <c r="BD26" s="67">
        <f>ROUNDDOWN('Raw Values'!C26*('Raw Values'!$D26^(18/500))*AW26)</f>
        <v>22</v>
      </c>
      <c r="BE26" s="67">
        <f>ROUNDDOWN('Raw Values'!C26*('Raw Values'!$D26^(18/500))*AW26*4)</f>
        <v>90</v>
      </c>
      <c r="BF26" s="67">
        <f>ROUNDDOWN('Raw Values'!C26*('Raw Values'!$D26^(18/500))*AW26*1.25)</f>
        <v>28</v>
      </c>
      <c r="BG26" s="63"/>
      <c r="BH26" s="69">
        <f>SUM(AZ26*(1/'Raw Values'!$E26))</f>
        <v>377.7777778</v>
      </c>
      <c r="BI26" s="69">
        <f t="shared" si="45"/>
        <v>245.5555556</v>
      </c>
      <c r="BJ26" s="33"/>
      <c r="BK26" s="70">
        <f>SUM(AZ26*'Raw Values'!I26)</f>
        <v>850</v>
      </c>
      <c r="BL26" s="71">
        <f t="shared" si="46"/>
        <v>552.5</v>
      </c>
    </row>
    <row r="27" ht="15.75" customHeight="1">
      <c r="A27" s="101"/>
      <c r="B27" s="102"/>
      <c r="C27" s="102"/>
      <c r="D27" s="102"/>
      <c r="E27" s="101"/>
      <c r="F27" s="102"/>
      <c r="G27" s="102"/>
      <c r="H27" s="101"/>
      <c r="I27" s="101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03"/>
      <c r="AN27" s="102"/>
      <c r="AO27" s="102"/>
      <c r="AP27" s="102"/>
      <c r="AQ27" s="103"/>
      <c r="AR27" s="102"/>
      <c r="AS27" s="102"/>
      <c r="AT27" s="102"/>
      <c r="AU27" s="101"/>
      <c r="AV27" s="103"/>
      <c r="AW27" s="101"/>
      <c r="AX27" s="102"/>
      <c r="AY27" s="103"/>
      <c r="AZ27" s="104"/>
      <c r="BA27" s="104"/>
      <c r="BB27" s="104"/>
      <c r="BC27" s="104"/>
      <c r="BD27" s="104"/>
      <c r="BE27" s="104"/>
      <c r="BF27" s="104"/>
      <c r="BG27" s="103"/>
      <c r="BH27" s="101"/>
      <c r="BI27" s="101"/>
      <c r="BJ27" s="106"/>
      <c r="BK27" s="108"/>
      <c r="BL27" s="110"/>
    </row>
    <row r="28" ht="15.75" customHeight="1">
      <c r="A28" s="2" t="s">
        <v>161</v>
      </c>
      <c r="B28" s="4" t="s">
        <v>3</v>
      </c>
      <c r="C28" s="4" t="s">
        <v>5</v>
      </c>
      <c r="D28" s="4" t="s">
        <v>6</v>
      </c>
      <c r="E28" s="6" t="s">
        <v>7</v>
      </c>
      <c r="F28" s="4" t="s">
        <v>9</v>
      </c>
      <c r="G28" s="4" t="s">
        <v>10</v>
      </c>
      <c r="H28" s="6" t="s">
        <v>11</v>
      </c>
      <c r="I28" s="6" t="s">
        <v>12</v>
      </c>
      <c r="J28" s="12"/>
      <c r="K28" s="12"/>
      <c r="L28" s="12" t="s">
        <v>33</v>
      </c>
      <c r="M28" s="12" t="s">
        <v>35</v>
      </c>
      <c r="N28" s="58"/>
      <c r="O28" s="58"/>
      <c r="P28" s="58"/>
      <c r="Q28" s="58"/>
      <c r="R28" s="58"/>
      <c r="S28" s="58"/>
      <c r="T28" s="58"/>
      <c r="U28" s="58"/>
      <c r="V28" s="58"/>
      <c r="W28" s="58"/>
      <c r="X28" s="58"/>
      <c r="Y28" s="12"/>
      <c r="Z28" s="12"/>
      <c r="AA28" s="12" t="s">
        <v>53</v>
      </c>
      <c r="AB28" s="12" t="s">
        <v>54</v>
      </c>
      <c r="AC28" s="58"/>
      <c r="AD28" s="58"/>
      <c r="AE28" s="58"/>
      <c r="AF28" s="58"/>
      <c r="AG28" s="58"/>
      <c r="AH28" s="58"/>
      <c r="AI28" s="58"/>
      <c r="AJ28" s="58"/>
      <c r="AK28" s="58"/>
      <c r="AL28" s="58"/>
      <c r="AM28" s="113"/>
      <c r="AN28" s="16" t="s">
        <v>77</v>
      </c>
      <c r="AO28" s="16" t="s">
        <v>80</v>
      </c>
      <c r="AP28" s="16" t="s">
        <v>83</v>
      </c>
      <c r="AQ28" s="22"/>
      <c r="AR28" s="4" t="s">
        <v>85</v>
      </c>
      <c r="AS28" s="4" t="s">
        <v>87</v>
      </c>
      <c r="AT28" s="4" t="s">
        <v>89</v>
      </c>
      <c r="AU28" s="6" t="s">
        <v>7</v>
      </c>
      <c r="AV28" s="25"/>
      <c r="AW28" s="6" t="s">
        <v>16</v>
      </c>
      <c r="AX28" s="4" t="s">
        <v>97</v>
      </c>
      <c r="AY28" s="25"/>
      <c r="AZ28" s="27" t="s">
        <v>100</v>
      </c>
      <c r="BA28" s="27" t="s">
        <v>105</v>
      </c>
      <c r="BB28" s="27" t="s">
        <v>106</v>
      </c>
      <c r="BC28" s="27" t="s">
        <v>107</v>
      </c>
      <c r="BD28" s="27" t="s">
        <v>108</v>
      </c>
      <c r="BE28" s="27" t="s">
        <v>109</v>
      </c>
      <c r="BF28" s="27" t="s">
        <v>110</v>
      </c>
      <c r="BG28" s="25"/>
      <c r="BH28" s="6" t="s">
        <v>111</v>
      </c>
      <c r="BI28" s="6" t="s">
        <v>112</v>
      </c>
      <c r="BJ28" s="33"/>
      <c r="BK28" s="38" t="s">
        <v>114</v>
      </c>
      <c r="BL28" s="42" t="s">
        <v>115</v>
      </c>
    </row>
    <row r="29" ht="15.75" customHeight="1">
      <c r="A29" s="92" t="s">
        <v>164</v>
      </c>
      <c r="B29" s="46">
        <f>SUM('Raw Values'!R29+'Raw Values'!S29)</f>
        <v>5.41</v>
      </c>
      <c r="C29" s="46">
        <f>SUM('Raw Values'!R29+'Raw Values'!T29)</f>
        <v>7.01</v>
      </c>
      <c r="D29" s="46">
        <f>SUM('Raw Values'!R29+'Raw Values'!T29+'Raw Values'!V29)</f>
        <v>182.07</v>
      </c>
      <c r="E29" s="52">
        <f t="shared" ref="E29:E35" si="59">SUM(B29/C29)</f>
        <v>0.7717546362</v>
      </c>
      <c r="F29" s="46">
        <f>SUM($B29+'Firing Inaccuracy(Crouching) Ra'!$AJ29)</f>
        <v>16.08307777</v>
      </c>
      <c r="G29" s="46">
        <f>SUM($C29+'Firing Inaccuracy(Standing) Raw'!$AJ29)</f>
        <v>20.54546104</v>
      </c>
      <c r="H29" s="46">
        <f>SUM($D29+'Firing Inaccuracy(Standing) Raw'!$M29)</f>
        <v>194.0478283</v>
      </c>
      <c r="I29" s="52">
        <f t="shared" ref="I29:I35" si="60">SUM(F29/G29)</f>
        <v>0.7828044228</v>
      </c>
      <c r="J29" s="118"/>
      <c r="K29" s="118"/>
      <c r="L29" s="118">
        <f>SUM(('Raw Values'!$AC29+(('Raw Values'!$AD29-'Raw Values'!$AC29)/3)))</f>
        <v>0.414</v>
      </c>
      <c r="M29" s="118">
        <f>SUM(('Raw Values'!$AC29+(2*('Raw Values'!$AD29-'Raw Values'!$AC29)/3)))</f>
        <v>0.46</v>
      </c>
      <c r="N29" s="72"/>
      <c r="O29" s="72"/>
      <c r="P29" s="72"/>
      <c r="Q29" s="72"/>
      <c r="R29" s="72"/>
      <c r="S29" s="72"/>
      <c r="T29" s="72"/>
      <c r="U29" s="72"/>
      <c r="V29" s="72"/>
      <c r="W29" s="72"/>
      <c r="X29" s="72"/>
      <c r="Y29" s="119"/>
      <c r="Z29" s="119"/>
      <c r="AA29" s="119">
        <f>SUM(('Raw Values'!$AA29+(('Raw Values'!$AB29-'Raw Values'!$AA29)/3)))</f>
        <v>0.343414</v>
      </c>
      <c r="AB29" s="119">
        <f>SUM(('Raw Values'!$AA29+(2*('Raw Values'!$AB29-'Raw Values'!$AA29)/3)))</f>
        <v>0.381571</v>
      </c>
      <c r="AC29" s="121"/>
      <c r="AD29" s="121"/>
      <c r="AE29" s="121"/>
      <c r="AF29" s="121"/>
      <c r="AG29" s="121"/>
      <c r="AH29" s="121"/>
      <c r="AI29" s="121"/>
      <c r="AJ29" s="121"/>
      <c r="AK29" s="121"/>
      <c r="AL29" s="121"/>
      <c r="AM29" s="88"/>
      <c r="AN29" s="65">
        <f t="shared" ref="AN29:AP29" si="57">SUM(DEGREES(atan(B29/1000))*2)</f>
        <v>0.6199342863</v>
      </c>
      <c r="AO29" s="65">
        <f t="shared" si="57"/>
        <v>0.8032736713</v>
      </c>
      <c r="AP29" s="65">
        <f t="shared" si="57"/>
        <v>20.63762454</v>
      </c>
      <c r="AQ29" s="63"/>
      <c r="AR29" s="46">
        <f t="shared" ref="AR29:AT29" si="58">SUM((pi())*B29^2)</f>
        <v>91.94844794</v>
      </c>
      <c r="AS29" s="46">
        <f t="shared" si="58"/>
        <v>154.3781772</v>
      </c>
      <c r="AT29" s="46">
        <f t="shared" si="58"/>
        <v>104142.1782</v>
      </c>
      <c r="AU29" s="52">
        <f t="shared" ref="AU29:AU35" si="63">SUM(AR29/AS29)</f>
        <v>0.5956052185</v>
      </c>
      <c r="AV29" s="63"/>
      <c r="AW29" s="52">
        <f>SUM('Raw Values'!B29/2)</f>
        <v>0.775</v>
      </c>
      <c r="AX29" s="46">
        <f>Sum((1-AW29)*'Raw Values'!C29 * 0.5)</f>
        <v>4.05</v>
      </c>
      <c r="AY29" s="63"/>
      <c r="AZ29" s="67">
        <f>ROUNDDOWN('Raw Values'!C29*('Raw Values'!$D29^(18/500)))</f>
        <v>35</v>
      </c>
      <c r="BA29" s="67">
        <f>ROUNDDOWN('Raw Values'!C29*('Raw Values'!$D29^(18/500))*4)</f>
        <v>143</v>
      </c>
      <c r="BB29" s="67">
        <f>ROUNDDOWN('Raw Values'!C29*('Raw Values'!$D29^(18/500))*1.25)</f>
        <v>44</v>
      </c>
      <c r="BC29" s="67">
        <f>ROUNDDOWN('Raw Values'!C29*('Raw Values'!$D29^(18/500))*0.75)</f>
        <v>26</v>
      </c>
      <c r="BD29" s="67">
        <f>ROUNDDOWN('Raw Values'!C29*('Raw Values'!$D29^(18/500))*AW29)</f>
        <v>27</v>
      </c>
      <c r="BE29" s="67">
        <f>ROUNDDOWN('Raw Values'!C29*('Raw Values'!$D29^(18/500))*AW29*4)</f>
        <v>111</v>
      </c>
      <c r="BF29" s="67">
        <f>ROUNDDOWN('Raw Values'!C29*('Raw Values'!$D29^(18/500))*AW29*1.25)</f>
        <v>34</v>
      </c>
      <c r="BG29" s="63"/>
      <c r="BH29" s="69">
        <f>SUM(AZ29*(1/'Raw Values'!$E29))</f>
        <v>350</v>
      </c>
      <c r="BI29" s="69">
        <f t="shared" ref="BI29:BI35" si="64">SUM(BH29*AW29)</f>
        <v>271.25</v>
      </c>
      <c r="BJ29" s="33"/>
      <c r="BK29" s="70">
        <f>SUM(AZ29*'Raw Values'!I29)</f>
        <v>1050</v>
      </c>
      <c r="BL29" s="71">
        <f t="shared" ref="BL29:BL35" si="65">SUM(BK29*AW29)</f>
        <v>813.75</v>
      </c>
    </row>
    <row r="30" ht="15.75" customHeight="1">
      <c r="A30" s="90" t="s">
        <v>166</v>
      </c>
      <c r="B30" s="46">
        <f>SUM('Raw Values'!R30+'Raw Values'!S30)</f>
        <v>3.38</v>
      </c>
      <c r="C30" s="46">
        <f>SUM('Raw Values'!R30+'Raw Values'!T30)</f>
        <v>9.81</v>
      </c>
      <c r="D30" s="46">
        <f>SUM('Raw Values'!R30+'Raw Values'!T30+'Raw Values'!V30)</f>
        <v>145.26</v>
      </c>
      <c r="E30" s="52">
        <f t="shared" si="59"/>
        <v>0.3445463812</v>
      </c>
      <c r="F30" s="46">
        <f>SUM($B30+'Firing Inaccuracy(Crouching) Ra'!$AJ30)</f>
        <v>9.861356405</v>
      </c>
      <c r="G30" s="46">
        <f>SUM($C30+'Firing Inaccuracy(Standing) Raw'!$AJ30)</f>
        <v>20.09415078</v>
      </c>
      <c r="H30" s="46">
        <f>SUM($D30+'Firing Inaccuracy(Standing) Raw'!$M30)</f>
        <v>155.1311686</v>
      </c>
      <c r="I30" s="52">
        <f t="shared" si="60"/>
        <v>0.49075756</v>
      </c>
      <c r="J30" s="118"/>
      <c r="K30" s="118"/>
      <c r="L30" s="118">
        <f>SUM(('Raw Values'!$AC30+(('Raw Values'!$AD30-'Raw Values'!$AC30)/3)))</f>
        <v>0.429727</v>
      </c>
      <c r="M30" s="118">
        <f>SUM(('Raw Values'!$AC30+(2*('Raw Values'!$AD30-'Raw Values'!$AC30)/3)))</f>
        <v>0.429727</v>
      </c>
      <c r="N30" s="72"/>
      <c r="O30" s="72"/>
      <c r="P30" s="72"/>
      <c r="Q30" s="72"/>
      <c r="R30" s="72"/>
      <c r="S30" s="72"/>
      <c r="T30" s="72"/>
      <c r="U30" s="72"/>
      <c r="V30" s="72"/>
      <c r="W30" s="72"/>
      <c r="X30" s="72"/>
      <c r="Y30" s="119"/>
      <c r="Z30" s="119"/>
      <c r="AA30" s="119">
        <f>SUM(('Raw Values'!$AA30+(('Raw Values'!$AB30-'Raw Values'!$AA30)/3)))</f>
        <v>0.30552</v>
      </c>
      <c r="AB30" s="119">
        <f>SUM(('Raw Values'!$AA30+(2*('Raw Values'!$AB30-'Raw Values'!$AA30)/3)))</f>
        <v>0.30552</v>
      </c>
      <c r="AC30" s="121"/>
      <c r="AD30" s="121"/>
      <c r="AE30" s="121"/>
      <c r="AF30" s="121"/>
      <c r="AG30" s="121"/>
      <c r="AH30" s="121"/>
      <c r="AI30" s="121"/>
      <c r="AJ30" s="121"/>
      <c r="AK30" s="121"/>
      <c r="AL30" s="121"/>
      <c r="AM30" s="88"/>
      <c r="AN30" s="65">
        <f t="shared" ref="AN30:AP30" si="61">SUM(DEGREES(atan(B30/1000))*2)</f>
        <v>0.3873179946</v>
      </c>
      <c r="AO30" s="65">
        <f t="shared" si="61"/>
        <v>1.124107135</v>
      </c>
      <c r="AP30" s="65">
        <f t="shared" si="61"/>
        <v>16.52995367</v>
      </c>
      <c r="AQ30" s="63"/>
      <c r="AR30" s="46">
        <f t="shared" ref="AR30:AT30" si="62">SUM((pi())*B30^2)</f>
        <v>35.89081111</v>
      </c>
      <c r="AS30" s="46">
        <f t="shared" si="62"/>
        <v>302.3346248</v>
      </c>
      <c r="AT30" s="46">
        <f t="shared" si="62"/>
        <v>66289.074</v>
      </c>
      <c r="AU30" s="52">
        <f t="shared" si="63"/>
        <v>0.1187122088</v>
      </c>
      <c r="AV30" s="63"/>
      <c r="AW30" s="52">
        <f>SUM('Raw Values'!B30/2)</f>
        <v>0.9</v>
      </c>
      <c r="AX30" s="46">
        <f>Sum((1-AW30)*'Raw Values'!C30 * 0.5)</f>
        <v>1.4</v>
      </c>
      <c r="AY30" s="63"/>
      <c r="AZ30" s="67">
        <f>ROUNDDOWN('Raw Values'!C30*('Raw Values'!$D30^(18/500)))</f>
        <v>27</v>
      </c>
      <c r="BA30" s="67">
        <f>ROUNDDOWN('Raw Values'!C30*('Raw Values'!$D30^(18/500))*4)</f>
        <v>111</v>
      </c>
      <c r="BB30" s="67">
        <f>ROUNDDOWN('Raw Values'!C30*('Raw Values'!$D30^(18/500))*1.25)</f>
        <v>34</v>
      </c>
      <c r="BC30" s="67">
        <f>ROUNDDOWN('Raw Values'!C30*('Raw Values'!$D30^(18/500))*0.75)</f>
        <v>20</v>
      </c>
      <c r="BD30" s="67">
        <f>ROUNDDOWN('Raw Values'!C30*('Raw Values'!$D30^(18/500))*AW30)</f>
        <v>25</v>
      </c>
      <c r="BE30" s="67">
        <f>ROUNDDOWN('Raw Values'!C30*('Raw Values'!$D30^(18/500))*AW30*4)</f>
        <v>100</v>
      </c>
      <c r="BF30" s="67">
        <f>ROUNDDOWN('Raw Values'!C30*('Raw Values'!$D30^(18/500))*AW30*1.25)</f>
        <v>31</v>
      </c>
      <c r="BG30" s="63"/>
      <c r="BH30" s="69">
        <f>SUM(AZ30*(1/'Raw Values'!$E30))</f>
        <v>270</v>
      </c>
      <c r="BI30" s="69">
        <f t="shared" si="64"/>
        <v>243</v>
      </c>
      <c r="BJ30" s="33"/>
      <c r="BK30" s="70">
        <f>SUM(AZ30*'Raw Values'!I30)</f>
        <v>810</v>
      </c>
      <c r="BL30" s="71">
        <f t="shared" si="65"/>
        <v>729</v>
      </c>
    </row>
    <row r="31" ht="15.75" customHeight="1">
      <c r="A31" s="90" t="s">
        <v>168</v>
      </c>
      <c r="B31" s="46">
        <f>SUM('Raw Values'!R31+'Raw Values'!S31)</f>
        <v>7.99</v>
      </c>
      <c r="C31" s="46">
        <f>SUM('Raw Values'!R31+'Raw Values'!T31)</f>
        <v>10.45</v>
      </c>
      <c r="D31" s="46">
        <f>SUM('Raw Values'!R31+'Raw Values'!T31+'Raw Values'!V31)</f>
        <v>109.79</v>
      </c>
      <c r="E31" s="52">
        <f t="shared" si="59"/>
        <v>0.7645933014</v>
      </c>
      <c r="F31" s="46">
        <f>SUM($B31+'Firing Inaccuracy(Crouching) Ra'!$AE31)</f>
        <v>19.19414928</v>
      </c>
      <c r="G31" s="46">
        <f>SUM($C31+'Firing Inaccuracy(Standing) Raw'!$AE31)</f>
        <v>22.22925645</v>
      </c>
      <c r="H31" s="46">
        <f>SUM($D31+'Firing Inaccuracy(Standing) Raw'!$M31)</f>
        <v>119.4374814</v>
      </c>
      <c r="I31" s="52">
        <f t="shared" si="60"/>
        <v>0.8634633967</v>
      </c>
      <c r="J31" s="118"/>
      <c r="K31" s="118"/>
      <c r="L31" s="118">
        <f>SUM(('Raw Values'!$AC31+(('Raw Values'!$AD31-'Raw Values'!$AC31)/3)))</f>
        <v>0.3333333333</v>
      </c>
      <c r="M31" s="118">
        <f>SUM(('Raw Values'!$AC31+(2*('Raw Values'!$AD31-'Raw Values'!$AC31)/3)))</f>
        <v>0.4166666667</v>
      </c>
      <c r="N31" s="72"/>
      <c r="O31" s="72"/>
      <c r="P31" s="72"/>
      <c r="Q31" s="72"/>
      <c r="R31" s="72"/>
      <c r="S31" s="72"/>
      <c r="T31" s="72"/>
      <c r="U31" s="72"/>
      <c r="V31" s="72"/>
      <c r="W31" s="72"/>
      <c r="X31" s="72"/>
      <c r="Y31" s="119"/>
      <c r="Z31" s="119"/>
      <c r="AA31" s="119">
        <f>SUM(('Raw Values'!$AA31+(('Raw Values'!$AB31-'Raw Values'!$AA31)/3)))</f>
        <v>0.24</v>
      </c>
      <c r="AB31" s="119">
        <f>SUM(('Raw Values'!$AA31+(2*('Raw Values'!$AB31-'Raw Values'!$AA31)/3)))</f>
        <v>0.36</v>
      </c>
      <c r="AC31" s="121"/>
      <c r="AD31" s="121"/>
      <c r="AE31" s="121"/>
      <c r="AF31" s="121"/>
      <c r="AG31" s="121"/>
      <c r="AH31" s="121"/>
      <c r="AI31" s="121"/>
      <c r="AJ31" s="121"/>
      <c r="AK31" s="121"/>
      <c r="AL31" s="121"/>
      <c r="AM31" s="88"/>
      <c r="AN31" s="65">
        <f t="shared" ref="AN31:AP31" si="66">SUM(DEGREES(atan(B31/1000))*2)</f>
        <v>0.9155670737</v>
      </c>
      <c r="AO31" s="65">
        <f t="shared" si="66"/>
        <v>1.197438205</v>
      </c>
      <c r="AP31" s="65">
        <f t="shared" si="66"/>
        <v>12.53081991</v>
      </c>
      <c r="AQ31" s="63"/>
      <c r="AR31" s="46">
        <f t="shared" ref="AR31:AT31" si="67">SUM((pi())*B31^2)</f>
        <v>200.5595892</v>
      </c>
      <c r="AS31" s="46">
        <f t="shared" si="67"/>
        <v>343.0697718</v>
      </c>
      <c r="AT31" s="46">
        <f t="shared" si="67"/>
        <v>37868.26807</v>
      </c>
      <c r="AU31" s="52">
        <f t="shared" si="63"/>
        <v>0.5846029166</v>
      </c>
      <c r="AV31" s="63"/>
      <c r="AW31" s="52">
        <f>SUM('Raw Values'!B31/2)</f>
        <v>0.7</v>
      </c>
      <c r="AX31" s="46">
        <f>Sum((1-AW31)*'Raw Values'!C31 * 0.5)</f>
        <v>4.5</v>
      </c>
      <c r="AY31" s="63"/>
      <c r="AZ31" s="67">
        <f>ROUNDDOWN('Raw Values'!C31*('Raw Values'!$D31^(18/500)))</f>
        <v>29</v>
      </c>
      <c r="BA31" s="67">
        <f>ROUNDDOWN('Raw Values'!C31*('Raw Values'!$D31^(18/500))*4)</f>
        <v>119</v>
      </c>
      <c r="BB31" s="67">
        <f>ROUNDDOWN('Raw Values'!C31*('Raw Values'!$D31^(18/500))*1.25)</f>
        <v>37</v>
      </c>
      <c r="BC31" s="67">
        <f>ROUNDDOWN('Raw Values'!C31*('Raw Values'!$D31^(18/500))*0.75)</f>
        <v>22</v>
      </c>
      <c r="BD31" s="67">
        <f>ROUNDDOWN('Raw Values'!C31*('Raw Values'!$D31^(18/500))*AW31)</f>
        <v>20</v>
      </c>
      <c r="BE31" s="67">
        <f>ROUNDDOWN('Raw Values'!C31*('Raw Values'!$D31^(18/500))*AW31*4)</f>
        <v>83</v>
      </c>
      <c r="BF31" s="67">
        <f>ROUNDDOWN('Raw Values'!C31*('Raw Values'!$D31^(18/500))*AW31*1.25)</f>
        <v>26</v>
      </c>
      <c r="BG31" s="63"/>
      <c r="BH31" s="69">
        <f>SUM(AZ31*(1/'Raw Values'!$E31))</f>
        <v>322.2222222</v>
      </c>
      <c r="BI31" s="69">
        <f t="shared" si="64"/>
        <v>225.5555556</v>
      </c>
      <c r="BJ31" s="33"/>
      <c r="BK31" s="70">
        <f>SUM(AZ31*'Raw Values'!I31)</f>
        <v>725</v>
      </c>
      <c r="BL31" s="71">
        <f t="shared" si="65"/>
        <v>507.5</v>
      </c>
    </row>
    <row r="32" ht="15.75" customHeight="1">
      <c r="A32" s="92" t="s">
        <v>170</v>
      </c>
      <c r="B32" s="46">
        <f>SUM('Raw Values'!R32+'Raw Values'!S32)</f>
        <v>7.18</v>
      </c>
      <c r="C32" s="46">
        <f>SUM('Raw Values'!R32+'Raw Values'!T32)</f>
        <v>9.37</v>
      </c>
      <c r="D32" s="46">
        <f>SUM('Raw Values'!R32+'Raw Values'!T32+'Raw Values'!V32)</f>
        <v>132.93</v>
      </c>
      <c r="E32" s="52">
        <f t="shared" si="59"/>
        <v>0.7662753469</v>
      </c>
      <c r="F32" s="46">
        <f>SUM($B32+'Firing Inaccuracy(Crouching) Ra'!$AJ32)</f>
        <v>19.81214644</v>
      </c>
      <c r="G32" s="46">
        <f>SUM($C32+'Firing Inaccuracy(Standing) Raw'!$AE32)</f>
        <v>22.99906345</v>
      </c>
      <c r="H32" s="46">
        <f>SUM($D32+'Firing Inaccuracy(Standing) Raw'!$M32)</f>
        <v>144.390737</v>
      </c>
      <c r="I32" s="52">
        <f t="shared" si="60"/>
        <v>0.8614327484</v>
      </c>
      <c r="J32" s="118"/>
      <c r="K32" s="118"/>
      <c r="L32" s="118">
        <f>SUM(('Raw Values'!$AC32+(('Raw Values'!$AD32-'Raw Values'!$AC32)/3)))</f>
        <v>0.3666666667</v>
      </c>
      <c r="M32" s="118">
        <f>SUM(('Raw Values'!$AC32+(2*('Raw Values'!$AD32-'Raw Values'!$AC32)/3)))</f>
        <v>0.4333333333</v>
      </c>
      <c r="N32" s="72"/>
      <c r="O32" s="72"/>
      <c r="P32" s="72"/>
      <c r="Q32" s="72"/>
      <c r="R32" s="72"/>
      <c r="S32" s="72"/>
      <c r="T32" s="72"/>
      <c r="U32" s="72"/>
      <c r="V32" s="72"/>
      <c r="W32" s="72"/>
      <c r="X32" s="72"/>
      <c r="Y32" s="119"/>
      <c r="Z32" s="119"/>
      <c r="AA32" s="119">
        <f>SUM(('Raw Values'!$AA32+(('Raw Values'!$AB32-'Raw Values'!$AA32)/3)))</f>
        <v>0.2566666667</v>
      </c>
      <c r="AB32" s="119">
        <f>SUM(('Raw Values'!$AA32+(2*('Raw Values'!$AB32-'Raw Values'!$AA32)/3)))</f>
        <v>0.3633333333</v>
      </c>
      <c r="AC32" s="121"/>
      <c r="AD32" s="121"/>
      <c r="AE32" s="121"/>
      <c r="AF32" s="121"/>
      <c r="AG32" s="121"/>
      <c r="AH32" s="121"/>
      <c r="AI32" s="121"/>
      <c r="AJ32" s="121"/>
      <c r="AK32" s="121"/>
      <c r="AL32" s="121"/>
      <c r="AM32" s="88"/>
      <c r="AN32" s="65">
        <f t="shared" ref="AN32:AP32" si="68">SUM(DEGREES(atan(B32/1000))*2)</f>
        <v>0.8227532557</v>
      </c>
      <c r="AO32" s="65">
        <f t="shared" si="68"/>
        <v>1.073691487</v>
      </c>
      <c r="AP32" s="65">
        <f t="shared" si="68"/>
        <v>15.14387306</v>
      </c>
      <c r="AQ32" s="63"/>
      <c r="AR32" s="46">
        <f t="shared" ref="AR32:AT32" si="69">SUM((pi())*B32^2)</f>
        <v>161.9566411</v>
      </c>
      <c r="AS32" s="46">
        <f t="shared" si="69"/>
        <v>275.822096</v>
      </c>
      <c r="AT32" s="46">
        <f t="shared" si="69"/>
        <v>55513.15139</v>
      </c>
      <c r="AU32" s="52">
        <f t="shared" si="63"/>
        <v>0.5871779072</v>
      </c>
      <c r="AV32" s="63"/>
      <c r="AW32" s="52">
        <f>SUM('Raw Values'!B32/2)</f>
        <v>0.775</v>
      </c>
      <c r="AX32" s="46">
        <f>Sum((1-AW32)*'Raw Values'!C32 * 0.5)</f>
        <v>3.375</v>
      </c>
      <c r="AY32" s="63"/>
      <c r="AZ32" s="67">
        <f>ROUNDDOWN('Raw Values'!C32*('Raw Values'!$D32^(18/500)))</f>
        <v>29</v>
      </c>
      <c r="BA32" s="67">
        <f>ROUNDDOWN('Raw Values'!C32*('Raw Values'!$D32^(18/500))*4)</f>
        <v>119</v>
      </c>
      <c r="BB32" s="67">
        <f>ROUNDDOWN('Raw Values'!C32*('Raw Values'!$D32^(18/500))*1.25)</f>
        <v>37</v>
      </c>
      <c r="BC32" s="67">
        <f>ROUNDDOWN('Raw Values'!C32*('Raw Values'!$D32^(18/500))*0.75)</f>
        <v>22</v>
      </c>
      <c r="BD32" s="67">
        <f>ROUNDDOWN('Raw Values'!C32*('Raw Values'!$D32^(18/500))*AW32)</f>
        <v>23</v>
      </c>
      <c r="BE32" s="67">
        <f>ROUNDDOWN('Raw Values'!C32*('Raw Values'!$D32^(18/500))*AW32*4)</f>
        <v>92</v>
      </c>
      <c r="BF32" s="67">
        <f>ROUNDDOWN('Raw Values'!C32*('Raw Values'!$D32^(18/500))*AW32*1.25)</f>
        <v>29</v>
      </c>
      <c r="BG32" s="63"/>
      <c r="BH32" s="69">
        <f>SUM(AZ32*(1/'Raw Values'!$E32))</f>
        <v>322.2222222</v>
      </c>
      <c r="BI32" s="69">
        <f t="shared" si="64"/>
        <v>249.7222222</v>
      </c>
      <c r="BJ32" s="33"/>
      <c r="BK32" s="70">
        <f>SUM(AZ32*'Raw Values'!I32)</f>
        <v>1015</v>
      </c>
      <c r="BL32" s="71">
        <f t="shared" si="65"/>
        <v>786.625</v>
      </c>
    </row>
    <row r="33" ht="15.75" customHeight="1">
      <c r="A33" s="90" t="s">
        <v>171</v>
      </c>
      <c r="B33" s="46">
        <f>SUM('Raw Values'!R33+'Raw Values'!S33)</f>
        <v>4.7</v>
      </c>
      <c r="C33" s="46">
        <f>SUM('Raw Values'!R33+'Raw Values'!T33)</f>
        <v>5.5</v>
      </c>
      <c r="D33" s="46">
        <f>SUM('Raw Values'!R33+'Raw Values'!T33+'Raw Values'!V33)</f>
        <v>143.38</v>
      </c>
      <c r="E33" s="52">
        <f t="shared" si="59"/>
        <v>0.8545454545</v>
      </c>
      <c r="F33" s="46">
        <f>SUM($B33+'Firing Inaccuracy(Crouching) Ra'!$AJ33)</f>
        <v>12.80526175</v>
      </c>
      <c r="G33" s="39">
        <f>SUM($C33+'Firing Inaccuracy(Standing) Raw'!$AJ33)</f>
        <v>18.00073065</v>
      </c>
      <c r="H33" s="46">
        <f>SUM($D33+'Firing Inaccuracy(Standing) Raw'!$M33)</f>
        <v>154.3891361</v>
      </c>
      <c r="I33" s="52">
        <f t="shared" si="60"/>
        <v>0.7113745544</v>
      </c>
      <c r="J33" s="119"/>
      <c r="K33" s="119"/>
      <c r="L33" s="119">
        <f>SUM(('Raw Values'!$AC33+(('Raw Values'!$AD33-'Raw Values'!$AC33)/3)))</f>
        <v>0.3813086667</v>
      </c>
      <c r="M33" s="119">
        <f>SUM(('Raw Values'!$AC33+(2*('Raw Values'!$AD33-'Raw Values'!$AC33)/3)))</f>
        <v>0.4236763333</v>
      </c>
      <c r="N33" s="121"/>
      <c r="O33" s="121"/>
      <c r="P33" s="121"/>
      <c r="Q33" s="121"/>
      <c r="R33" s="121"/>
      <c r="S33" s="121"/>
      <c r="T33" s="121"/>
      <c r="U33" s="121"/>
      <c r="V33" s="121"/>
      <c r="W33" s="121"/>
      <c r="X33" s="121"/>
      <c r="Y33" s="119"/>
      <c r="Z33" s="119"/>
      <c r="AA33" s="119">
        <f>SUM(('Raw Values'!$AA33+(('Raw Values'!$AB33-'Raw Values'!$AA33)/3)))</f>
        <v>0.2723626667</v>
      </c>
      <c r="AB33" s="119">
        <f>SUM(('Raw Values'!$AA33+(2*('Raw Values'!$AB33-'Raw Values'!$AA33)/3)))</f>
        <v>0.3026253333</v>
      </c>
      <c r="AC33" s="121"/>
      <c r="AD33" s="121"/>
      <c r="AE33" s="121"/>
      <c r="AF33" s="121"/>
      <c r="AG33" s="121"/>
      <c r="AH33" s="121"/>
      <c r="AI33" s="121"/>
      <c r="AJ33" s="121"/>
      <c r="AK33" s="121"/>
      <c r="AL33" s="121"/>
      <c r="AM33" s="88"/>
      <c r="AN33" s="65">
        <f t="shared" ref="AN33:AP33" si="70">SUM(DEGREES(atan(B33/1000))*2)</f>
        <v>0.5385763617</v>
      </c>
      <c r="AO33" s="65">
        <f t="shared" si="70"/>
        <v>0.6302472197</v>
      </c>
      <c r="AP33" s="65">
        <f t="shared" si="70"/>
        <v>16.31891712</v>
      </c>
      <c r="AQ33" s="63"/>
      <c r="AR33" s="46">
        <f t="shared" ref="AR33:AT33" si="71">SUM((pi())*B33^2)</f>
        <v>69.39778172</v>
      </c>
      <c r="AS33" s="46">
        <f t="shared" si="71"/>
        <v>95.03317777</v>
      </c>
      <c r="AT33" s="46">
        <f t="shared" si="71"/>
        <v>64584.31011</v>
      </c>
      <c r="AU33" s="52">
        <f t="shared" si="63"/>
        <v>0.7302479339</v>
      </c>
      <c r="AV33" s="63"/>
      <c r="AW33" s="52">
        <f>SUM('Raw Values'!B33/2)</f>
        <v>0.7</v>
      </c>
      <c r="AX33" s="46">
        <f>Sum((1-AW33)*'Raw Values'!C33 * 0.5)</f>
        <v>4.95</v>
      </c>
      <c r="AY33" s="63"/>
      <c r="AZ33" s="67">
        <f>ROUNDDOWN('Raw Values'!C33*('Raw Values'!$D33^(18/500)))</f>
        <v>32</v>
      </c>
      <c r="BA33" s="67">
        <f>ROUNDDOWN('Raw Values'!C33*('Raw Values'!$D33^(18/500))*4)</f>
        <v>131</v>
      </c>
      <c r="BB33" s="67">
        <f>ROUNDDOWN('Raw Values'!C33*('Raw Values'!$D33^(18/500))*1.25)</f>
        <v>41</v>
      </c>
      <c r="BC33" s="67">
        <f>ROUNDDOWN('Raw Values'!C33*('Raw Values'!$D33^(18/500))*0.75)</f>
        <v>24</v>
      </c>
      <c r="BD33" s="67">
        <f>ROUNDDOWN('Raw Values'!C33*('Raw Values'!$D33^(18/500))*AW33)</f>
        <v>23</v>
      </c>
      <c r="BE33" s="67">
        <f>ROUNDDOWN('Raw Values'!C33*('Raw Values'!$D33^(18/500))*AW33*4)</f>
        <v>92</v>
      </c>
      <c r="BF33" s="67">
        <f>ROUNDDOWN('Raw Values'!C33*('Raw Values'!$D33^(18/500))*AW33*1.25)</f>
        <v>28</v>
      </c>
      <c r="BG33" s="63"/>
      <c r="BH33" s="69">
        <f>SUM(AZ33*(1/'Raw Values'!$E33))</f>
        <v>355.5555556</v>
      </c>
      <c r="BI33" s="69">
        <f t="shared" si="64"/>
        <v>248.8888889</v>
      </c>
      <c r="BJ33" s="33"/>
      <c r="BK33" s="70">
        <f>SUM(AZ33*'Raw Values'!I33)</f>
        <v>960</v>
      </c>
      <c r="BL33" s="71">
        <f t="shared" si="65"/>
        <v>672</v>
      </c>
    </row>
    <row r="34" ht="15.75" customHeight="1">
      <c r="A34" s="90" t="s">
        <v>173</v>
      </c>
      <c r="B34" s="46">
        <f>SUM('Raw Values'!AH34+'Raw Values'!AI34)</f>
        <v>4.6</v>
      </c>
      <c r="C34" s="46">
        <f>SUM('Raw Values'!AH34+'Raw Values'!AJ34)</f>
        <v>5.4</v>
      </c>
      <c r="D34" s="46">
        <f>SUM('Raw Values'!R34+'Raw Values'!T34+'Raw Values'!AL34)</f>
        <v>127.5</v>
      </c>
      <c r="E34" s="52">
        <f t="shared" si="59"/>
        <v>0.8518518519</v>
      </c>
      <c r="F34" s="46">
        <f>SUM($B34+'Firing Inaccuracy(Crouching) Ra'!$Z34)</f>
        <v>11.62026</v>
      </c>
      <c r="G34" s="35">
        <f>SUM($C34+'Firing Inaccuracy(Standing) Raw'!$Z34)</f>
        <v>16.35327015</v>
      </c>
      <c r="H34" s="46">
        <f>SUM($D34+'Firing Inaccuracy(Standing) Raw'!$M34)</f>
        <v>137.3494765</v>
      </c>
      <c r="I34" s="52">
        <f t="shared" si="60"/>
        <v>0.7105771442</v>
      </c>
      <c r="J34" s="119"/>
      <c r="K34" s="119"/>
      <c r="L34" s="119">
        <f>SUM(('Raw Values'!$AC34+(('Raw Values'!$AD34-'Raw Values'!$AC34)/3)))</f>
        <v>0.3813086667</v>
      </c>
      <c r="M34" s="119">
        <f>SUM(('Raw Values'!$AC34+(2*('Raw Values'!$AD34-'Raw Values'!$AC34)/3)))</f>
        <v>0.4236763333</v>
      </c>
      <c r="N34" s="121"/>
      <c r="O34" s="121"/>
      <c r="P34" s="121"/>
      <c r="Q34" s="121"/>
      <c r="R34" s="121"/>
      <c r="S34" s="121"/>
      <c r="T34" s="121"/>
      <c r="U34" s="121"/>
      <c r="V34" s="121"/>
      <c r="W34" s="121"/>
      <c r="X34" s="121"/>
      <c r="Y34" s="118"/>
      <c r="Z34" s="118"/>
      <c r="AA34" s="118">
        <f>SUM(('Raw Values'!$AA34+(('Raw Values'!$AB34-'Raw Values'!$AA34)/3)))</f>
        <v>0.2723626667</v>
      </c>
      <c r="AB34" s="119">
        <f>SUM(('Raw Values'!$AA34+(2*('Raw Values'!$AB34-'Raw Values'!$AA34)/3)))</f>
        <v>0.3026253333</v>
      </c>
      <c r="AC34" s="121"/>
      <c r="AD34" s="121"/>
      <c r="AE34" s="121"/>
      <c r="AF34" s="121"/>
      <c r="AG34" s="121"/>
      <c r="AH34" s="121"/>
      <c r="AI34" s="121"/>
      <c r="AJ34" s="121"/>
      <c r="AK34" s="121"/>
      <c r="AL34" s="121"/>
      <c r="AM34" s="88"/>
      <c r="AN34" s="65">
        <f t="shared" ref="AN34:AP34" si="72">SUM(DEGREES(atan(B34/1000))*2)</f>
        <v>0.5271174536</v>
      </c>
      <c r="AO34" s="65">
        <f t="shared" si="72"/>
        <v>0.6187884042</v>
      </c>
      <c r="AP34" s="65">
        <f t="shared" si="72"/>
        <v>14.53201689</v>
      </c>
      <c r="AQ34" s="63"/>
      <c r="AR34" s="46">
        <f t="shared" ref="AR34:AT34" si="73">SUM((pi())*B34^2)</f>
        <v>66.47610055</v>
      </c>
      <c r="AS34" s="46">
        <f t="shared" si="73"/>
        <v>91.60884178</v>
      </c>
      <c r="AT34" s="46">
        <f t="shared" si="73"/>
        <v>51070.51557</v>
      </c>
      <c r="AU34" s="52">
        <f t="shared" si="63"/>
        <v>0.7256515775</v>
      </c>
      <c r="AV34" s="63"/>
      <c r="AW34" s="52">
        <f>SUM('Raw Values'!B34/2)</f>
        <v>0.7</v>
      </c>
      <c r="AX34" s="46">
        <f>Sum((1-AW34)*'Raw Values'!C34 * 0.5)</f>
        <v>4.95</v>
      </c>
      <c r="AY34" s="63"/>
      <c r="AZ34" s="67">
        <f>ROUNDDOWN('Raw Values'!C34*('Raw Values'!$D34^(18/500)))</f>
        <v>32</v>
      </c>
      <c r="BA34" s="67">
        <f>ROUNDDOWN('Raw Values'!C34*('Raw Values'!$D34^(18/500))*4)</f>
        <v>131</v>
      </c>
      <c r="BB34" s="67">
        <f>ROUNDDOWN('Raw Values'!C34*('Raw Values'!$D34^(18/500))*1.25)</f>
        <v>41</v>
      </c>
      <c r="BC34" s="67">
        <f>ROUNDDOWN('Raw Values'!C34*('Raw Values'!$D34^(18/500))*0.75)</f>
        <v>24</v>
      </c>
      <c r="BD34" s="67">
        <f>ROUNDDOWN('Raw Values'!C34*('Raw Values'!$D34^(18/500))*AW34)</f>
        <v>23</v>
      </c>
      <c r="BE34" s="67">
        <f>ROUNDDOWN('Raw Values'!C34*('Raw Values'!$D34^(18/500))*AW34*4)</f>
        <v>92</v>
      </c>
      <c r="BF34" s="67">
        <f>ROUNDDOWN('Raw Values'!C34*('Raw Values'!$D34^(18/500))*AW34*1.25)</f>
        <v>28</v>
      </c>
      <c r="BG34" s="63"/>
      <c r="BH34" s="69">
        <f>SUM(AZ34*(1/'Raw Values'!$E34))</f>
        <v>320</v>
      </c>
      <c r="BI34" s="69">
        <f t="shared" si="64"/>
        <v>224</v>
      </c>
      <c r="BJ34" s="33"/>
      <c r="BK34" s="70">
        <f>SUM(AZ34*'Raw Values'!I34)</f>
        <v>800</v>
      </c>
      <c r="BL34" s="71">
        <f t="shared" si="65"/>
        <v>560</v>
      </c>
    </row>
    <row r="35" ht="15.75" customHeight="1">
      <c r="A35" s="92" t="s">
        <v>175</v>
      </c>
      <c r="B35" s="46">
        <f>SUM('Raw Values'!R35+'Raw Values'!S35)</f>
        <v>3.34</v>
      </c>
      <c r="C35" s="46">
        <f>SUM('Raw Values'!R35+'Raw Values'!T35)</f>
        <v>4.28</v>
      </c>
      <c r="D35" s="46">
        <f>SUM('Raw Values'!R35+'Raw Values'!T35+'Raw Values'!V35)</f>
        <v>140.29</v>
      </c>
      <c r="E35" s="52">
        <f t="shared" si="59"/>
        <v>0.7803738318</v>
      </c>
      <c r="F35" s="46">
        <f>SUM($B35+'Firing Inaccuracy(Crouching) Ra'!$AJ35)</f>
        <v>12.52608623</v>
      </c>
      <c r="G35" s="46">
        <f>SUM($C35+'Firing Inaccuracy(Standing) Raw'!$AJ35)</f>
        <v>15.7922804</v>
      </c>
      <c r="H35" s="46">
        <f>SUM($D35+'Firing Inaccuracy(Standing) Raw'!$M35)</f>
        <v>151.0630201</v>
      </c>
      <c r="I35" s="52">
        <f t="shared" si="60"/>
        <v>0.7931778002</v>
      </c>
      <c r="J35" s="118"/>
      <c r="K35" s="118"/>
      <c r="L35" s="118">
        <f>SUM(('Raw Values'!$AC35+(('Raw Values'!$AD35-'Raw Values'!$AC35)/3)))</f>
        <v>0.452886</v>
      </c>
      <c r="M35" s="118">
        <f>SUM(('Raw Values'!$AC35+(2*('Raw Values'!$AD35-'Raw Values'!$AC35)/3)))</f>
        <v>0.452886</v>
      </c>
      <c r="N35" s="72"/>
      <c r="O35" s="72"/>
      <c r="P35" s="72"/>
      <c r="Q35" s="72"/>
      <c r="R35" s="72"/>
      <c r="S35" s="72"/>
      <c r="T35" s="72"/>
      <c r="U35" s="72"/>
      <c r="V35" s="72"/>
      <c r="W35" s="72"/>
      <c r="X35" s="72"/>
      <c r="Y35" s="119"/>
      <c r="Z35" s="119"/>
      <c r="AA35" s="119">
        <f>SUM(('Raw Values'!$AA35+(('Raw Values'!$AB35-'Raw Values'!$AA35)/3)))</f>
        <v>0.379204</v>
      </c>
      <c r="AB35" s="119">
        <f>SUM(('Raw Values'!$AA35+(2*('Raw Values'!$AB35-'Raw Values'!$AA35)/3)))</f>
        <v>0.379204</v>
      </c>
      <c r="AC35" s="121"/>
      <c r="AD35" s="121"/>
      <c r="AE35" s="121"/>
      <c r="AF35" s="121"/>
      <c r="AG35" s="121"/>
      <c r="AH35" s="121"/>
      <c r="AI35" s="121"/>
      <c r="AJ35" s="121"/>
      <c r="AK35" s="121"/>
      <c r="AL35" s="121"/>
      <c r="AM35" s="88"/>
      <c r="AN35" s="65">
        <f t="shared" ref="AN35:AP35" si="74">SUM(DEGREES(atan(B35/1000))*2)</f>
        <v>0.3827343839</v>
      </c>
      <c r="AO35" s="65">
        <f t="shared" si="74"/>
        <v>0.4904488779</v>
      </c>
      <c r="AP35" s="65">
        <f t="shared" si="74"/>
        <v>15.97181222</v>
      </c>
      <c r="AQ35" s="63"/>
      <c r="AR35" s="46">
        <f t="shared" ref="AR35:AT35" si="75">SUM((pi())*B35^2)</f>
        <v>35.04635101</v>
      </c>
      <c r="AS35" s="46">
        <f t="shared" si="75"/>
        <v>57.54895087</v>
      </c>
      <c r="AT35" s="46">
        <f t="shared" si="75"/>
        <v>61830.57754</v>
      </c>
      <c r="AU35" s="52">
        <f t="shared" si="63"/>
        <v>0.6089833173</v>
      </c>
      <c r="AV35" s="63"/>
      <c r="AW35" s="52">
        <f>SUM('Raw Values'!B35/2)</f>
        <v>1</v>
      </c>
      <c r="AX35" s="46">
        <f>Sum((1-AW35)*'Raw Values'!C35 * 0.5)</f>
        <v>0</v>
      </c>
      <c r="AY35" s="63"/>
      <c r="AZ35" s="67">
        <f>ROUNDDOWN('Raw Values'!C35*('Raw Values'!$D35^(18/500)))</f>
        <v>29</v>
      </c>
      <c r="BA35" s="67">
        <f>ROUNDDOWN('Raw Values'!C35*('Raw Values'!$D35^(18/500))*4)</f>
        <v>119</v>
      </c>
      <c r="BB35" s="67">
        <f>ROUNDDOWN('Raw Values'!C35*('Raw Values'!$D35^(18/500))*1.25)</f>
        <v>37</v>
      </c>
      <c r="BC35" s="67">
        <f>ROUNDDOWN('Raw Values'!C35*('Raw Values'!$D35^(18/500))*0.75)</f>
        <v>22</v>
      </c>
      <c r="BD35" s="67">
        <f>ROUNDDOWN('Raw Values'!C35*('Raw Values'!$D35^(18/500))*AW35)</f>
        <v>29</v>
      </c>
      <c r="BE35" s="67">
        <f>ROUNDDOWN('Raw Values'!C35*('Raw Values'!$D35^(18/500))*AW35*4)</f>
        <v>119</v>
      </c>
      <c r="BF35" s="67">
        <f>ROUNDDOWN('Raw Values'!C35*('Raw Values'!$D35^(18/500))*AW35*1.25)</f>
        <v>37</v>
      </c>
      <c r="BG35" s="63"/>
      <c r="BH35" s="69">
        <f>SUM(AZ35*(1/'Raw Values'!$E35))</f>
        <v>322.2222222</v>
      </c>
      <c r="BI35" s="69">
        <f t="shared" si="64"/>
        <v>322.2222222</v>
      </c>
      <c r="BJ35" s="33"/>
      <c r="BK35" s="70">
        <f>SUM(AZ35*'Raw Values'!I35)</f>
        <v>870</v>
      </c>
      <c r="BL35" s="71">
        <f t="shared" si="65"/>
        <v>870</v>
      </c>
    </row>
    <row r="36" ht="15.75" customHeight="1">
      <c r="A36" s="101"/>
      <c r="B36" s="102"/>
      <c r="C36" s="102"/>
      <c r="D36" s="102"/>
      <c r="E36" s="101"/>
      <c r="F36" s="102"/>
      <c r="G36" s="102"/>
      <c r="H36" s="101"/>
      <c r="I36" s="101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03"/>
      <c r="AN36" s="102"/>
      <c r="AO36" s="102"/>
      <c r="AP36" s="102"/>
      <c r="AQ36" s="103"/>
      <c r="AR36" s="102"/>
      <c r="AS36" s="102"/>
      <c r="AT36" s="102"/>
      <c r="AU36" s="101"/>
      <c r="AV36" s="103"/>
      <c r="AW36" s="101"/>
      <c r="AX36" s="102"/>
      <c r="AY36" s="103"/>
      <c r="AZ36" s="104"/>
      <c r="BA36" s="104"/>
      <c r="BB36" s="104"/>
      <c r="BC36" s="104"/>
      <c r="BD36" s="104"/>
      <c r="BE36" s="104"/>
      <c r="BF36" s="104"/>
      <c r="BG36" s="103"/>
      <c r="BH36" s="101"/>
      <c r="BI36" s="101"/>
      <c r="BJ36" s="106"/>
      <c r="BK36" s="108"/>
      <c r="BL36" s="110"/>
    </row>
    <row r="37" ht="15.75" customHeight="1">
      <c r="A37" s="2" t="s">
        <v>177</v>
      </c>
      <c r="B37" s="4" t="s">
        <v>3</v>
      </c>
      <c r="C37" s="4" t="s">
        <v>5</v>
      </c>
      <c r="D37" s="4" t="s">
        <v>6</v>
      </c>
      <c r="E37" s="6" t="s">
        <v>7</v>
      </c>
      <c r="F37" s="4" t="s">
        <v>9</v>
      </c>
      <c r="G37" s="4" t="s">
        <v>10</v>
      </c>
      <c r="H37" s="6" t="s">
        <v>11</v>
      </c>
      <c r="I37" s="6" t="s">
        <v>12</v>
      </c>
      <c r="J37" s="12"/>
      <c r="K37" s="12" t="s">
        <v>27</v>
      </c>
      <c r="L37" s="12" t="s">
        <v>33</v>
      </c>
      <c r="M37" s="12" t="s">
        <v>35</v>
      </c>
      <c r="N37" s="12" t="s">
        <v>37</v>
      </c>
      <c r="O37" s="12" t="s">
        <v>38</v>
      </c>
      <c r="P37" s="12" t="s">
        <v>46</v>
      </c>
      <c r="Q37" s="12" t="s">
        <v>47</v>
      </c>
      <c r="R37" s="12" t="s">
        <v>48</v>
      </c>
      <c r="S37" s="12" t="s">
        <v>210</v>
      </c>
      <c r="T37" s="12" t="s">
        <v>211</v>
      </c>
      <c r="U37" s="12" t="s">
        <v>212</v>
      </c>
      <c r="V37" s="12" t="s">
        <v>213</v>
      </c>
      <c r="W37" s="12" t="s">
        <v>214</v>
      </c>
      <c r="X37" s="72"/>
      <c r="Y37" s="12"/>
      <c r="Z37" s="12" t="s">
        <v>52</v>
      </c>
      <c r="AA37" s="12" t="s">
        <v>53</v>
      </c>
      <c r="AB37" s="12" t="s">
        <v>54</v>
      </c>
      <c r="AC37" s="14" t="s">
        <v>55</v>
      </c>
      <c r="AD37" s="14" t="s">
        <v>56</v>
      </c>
      <c r="AE37" s="14" t="s">
        <v>58</v>
      </c>
      <c r="AF37" s="14" t="s">
        <v>59</v>
      </c>
      <c r="AG37" s="14" t="s">
        <v>61</v>
      </c>
      <c r="AH37" s="14" t="s">
        <v>215</v>
      </c>
      <c r="AI37" s="14" t="s">
        <v>216</v>
      </c>
      <c r="AJ37" s="14" t="s">
        <v>217</v>
      </c>
      <c r="AK37" s="14" t="s">
        <v>218</v>
      </c>
      <c r="AL37" s="14" t="s">
        <v>219</v>
      </c>
      <c r="AM37" s="113"/>
      <c r="AN37" s="16" t="s">
        <v>77</v>
      </c>
      <c r="AO37" s="16" t="s">
        <v>80</v>
      </c>
      <c r="AP37" s="16" t="s">
        <v>83</v>
      </c>
      <c r="AQ37" s="22"/>
      <c r="AR37" s="4" t="s">
        <v>85</v>
      </c>
      <c r="AS37" s="4" t="s">
        <v>87</v>
      </c>
      <c r="AT37" s="4" t="s">
        <v>89</v>
      </c>
      <c r="AU37" s="6" t="s">
        <v>7</v>
      </c>
      <c r="AV37" s="25"/>
      <c r="AW37" s="6" t="s">
        <v>16</v>
      </c>
      <c r="AX37" s="4" t="s">
        <v>97</v>
      </c>
      <c r="AY37" s="25"/>
      <c r="AZ37" s="27" t="s">
        <v>100</v>
      </c>
      <c r="BA37" s="27" t="s">
        <v>105</v>
      </c>
      <c r="BB37" s="27" t="s">
        <v>106</v>
      </c>
      <c r="BC37" s="27" t="s">
        <v>107</v>
      </c>
      <c r="BD37" s="27" t="s">
        <v>108</v>
      </c>
      <c r="BE37" s="27" t="s">
        <v>109</v>
      </c>
      <c r="BF37" s="27" t="s">
        <v>110</v>
      </c>
      <c r="BG37" s="25"/>
      <c r="BH37" s="6" t="s">
        <v>111</v>
      </c>
      <c r="BI37" s="6" t="s">
        <v>112</v>
      </c>
      <c r="BJ37" s="33"/>
      <c r="BK37" s="38" t="s">
        <v>114</v>
      </c>
      <c r="BL37" s="42" t="s">
        <v>115</v>
      </c>
    </row>
    <row r="38" ht="15.75" customHeight="1">
      <c r="A38" s="44" t="s">
        <v>179</v>
      </c>
      <c r="B38" s="46">
        <f>SUM('Raw Values'!R38+'Raw Values'!S38)</f>
        <v>7.34</v>
      </c>
      <c r="C38" s="46">
        <f>SUM('Raw Values'!R38+'Raw Values'!T38)</f>
        <v>9.7</v>
      </c>
      <c r="D38" s="46">
        <f>SUM('Raw Values'!R38+'Raw Values'!T38+'Raw Values'!V38)</f>
        <v>165.95</v>
      </c>
      <c r="E38" s="52">
        <f t="shared" ref="E38:E39" si="78">SUM(B38/C38)</f>
        <v>0.7567010309</v>
      </c>
      <c r="F38" s="46">
        <f>SUM($B38+'Firing Inaccuracy(Crouching) Ra'!$AJ38)</f>
        <v>17.09382156</v>
      </c>
      <c r="G38" s="46">
        <f>SUM($C38+'Firing Inaccuracy(Standing) Raw'!$AJ38)</f>
        <v>23.983142</v>
      </c>
      <c r="H38" s="46">
        <f>SUM($D38+'Firing Inaccuracy(Standing) Raw'!$M38)</f>
        <v>176.4848879</v>
      </c>
      <c r="I38" s="52">
        <f t="shared" ref="I38:I39" si="79">SUM(F38/G38)</f>
        <v>0.7127432077</v>
      </c>
      <c r="J38" s="118"/>
      <c r="K38" s="118"/>
      <c r="L38" s="118">
        <f>SUM(('Raw Values'!$AC38+(('Raw Values'!$AD38-'Raw Values'!$AC38)/3)))</f>
        <v>0.828931</v>
      </c>
      <c r="M38" s="118">
        <f>SUM(('Raw Values'!$AC38+(2*('Raw Values'!$AD38-'Raw Values'!$AC38)/3)))</f>
        <v>0.828931</v>
      </c>
      <c r="N38" s="72"/>
      <c r="O38" s="72"/>
      <c r="P38" s="72"/>
      <c r="Q38" s="72"/>
      <c r="R38" s="72"/>
      <c r="S38" s="72"/>
      <c r="T38" s="72"/>
      <c r="U38" s="72"/>
      <c r="V38" s="72"/>
      <c r="W38" s="72"/>
      <c r="X38" s="72"/>
      <c r="Y38" s="119"/>
      <c r="Z38" s="119"/>
      <c r="AA38" s="119">
        <f>SUM(('Raw Values'!$AA38+(('Raw Values'!$AB38-'Raw Values'!$AA38)/3)))</f>
        <v>0.592093</v>
      </c>
      <c r="AB38" s="119">
        <f>SUM(('Raw Values'!$AA38+(2*('Raw Values'!$AB38-'Raw Values'!$AA38)/3)))</f>
        <v>0.592093</v>
      </c>
      <c r="AC38" s="62"/>
      <c r="AD38" s="62"/>
      <c r="AE38" s="62"/>
      <c r="AF38" s="62"/>
      <c r="AG38" s="62"/>
      <c r="AH38" s="62"/>
      <c r="AI38" s="62"/>
      <c r="AJ38" s="62"/>
      <c r="AK38" s="62"/>
      <c r="AL38" s="62"/>
      <c r="AM38" s="88"/>
      <c r="AN38" s="65">
        <f t="shared" ref="AN38:AP38" si="76">SUM(DEGREES(atan(B38/1000))*2)</f>
        <v>0.8410869388</v>
      </c>
      <c r="AO38" s="65">
        <f t="shared" si="76"/>
        <v>1.111503263</v>
      </c>
      <c r="AP38" s="65">
        <f t="shared" si="76"/>
        <v>18.84473076</v>
      </c>
      <c r="AQ38" s="63"/>
      <c r="AR38" s="46">
        <f t="shared" ref="AR38:AT38" si="77">SUM((pi())*B38^2)</f>
        <v>169.2551892</v>
      </c>
      <c r="AS38" s="46">
        <f t="shared" si="77"/>
        <v>295.5924528</v>
      </c>
      <c r="AT38" s="46">
        <f t="shared" si="77"/>
        <v>86517.58458</v>
      </c>
      <c r="AU38" s="52">
        <f t="shared" ref="AU38:AU39" si="82">SUM(AR38/AS38)</f>
        <v>0.5725964502</v>
      </c>
      <c r="AV38" s="63"/>
      <c r="AW38" s="52">
        <f>SUM('Raw Values'!B38/2)</f>
        <v>0.8</v>
      </c>
      <c r="AX38" s="46">
        <f>Sum((1-AW38)*'Raw Values'!C38 * 0.5)</f>
        <v>3.2</v>
      </c>
      <c r="AY38" s="63"/>
      <c r="AZ38" s="67">
        <f>ROUNDDOWN('Raw Values'!C38*('Raw Values'!$D38^(18/500)))</f>
        <v>31</v>
      </c>
      <c r="BA38" s="67">
        <f>ROUNDDOWN('Raw Values'!C38*('Raw Values'!$D38^(18/500))*4)</f>
        <v>127</v>
      </c>
      <c r="BB38" s="67">
        <f>ROUNDDOWN('Raw Values'!C38*('Raw Values'!$D38^(18/500))*1.25)</f>
        <v>39</v>
      </c>
      <c r="BC38" s="67">
        <f>ROUNDDOWN('Raw Values'!C38*('Raw Values'!$D38^(18/500))*0.75)</f>
        <v>23</v>
      </c>
      <c r="BD38" s="67">
        <f>ROUNDDOWN('Raw Values'!C38*('Raw Values'!$D38^(18/500))*AW38)</f>
        <v>25</v>
      </c>
      <c r="BE38" s="67">
        <f>ROUNDDOWN('Raw Values'!C38*('Raw Values'!$D38^(18/500))*AW38*4)</f>
        <v>102</v>
      </c>
      <c r="BF38" s="67">
        <f>ROUNDDOWN('Raw Values'!C38*('Raw Values'!$D38^(18/500))*AW38*1.25)</f>
        <v>31</v>
      </c>
      <c r="BG38" s="63"/>
      <c r="BH38" s="69">
        <f>SUM(AZ38*(1/'Raw Values'!$E38))</f>
        <v>387.5</v>
      </c>
      <c r="BI38" s="69">
        <f t="shared" ref="BI38:BI39" si="83">SUM(BH38*AW38)</f>
        <v>310</v>
      </c>
      <c r="BJ38" s="33"/>
      <c r="BK38" s="70">
        <f>SUM(AZ38*'Raw Values'!I38)</f>
        <v>3100</v>
      </c>
      <c r="BL38" s="71">
        <f t="shared" ref="BL38:BL39" si="84">SUM(BK38*AW38)</f>
        <v>2480</v>
      </c>
    </row>
    <row r="39" ht="15.75" customHeight="1">
      <c r="A39" s="44" t="s">
        <v>181</v>
      </c>
      <c r="B39" s="46">
        <f>SUM('Raw Values'!R39+'Raw Values'!S39)</f>
        <v>9.63</v>
      </c>
      <c r="C39" s="46">
        <f>SUM('Raw Values'!R39+'Raw Values'!T39)</f>
        <v>12.17</v>
      </c>
      <c r="D39" s="46">
        <f>SUM('Raw Values'!R39+'Raw Values'!T39+'Raw Values'!V39)</f>
        <v>171.31</v>
      </c>
      <c r="E39" s="52">
        <f t="shared" si="78"/>
        <v>0.7912900575</v>
      </c>
      <c r="F39" s="46">
        <f>SUM($B39+'Firing Inaccuracy(Crouching) Ra'!$AJ39)</f>
        <v>13.5466315</v>
      </c>
      <c r="G39" s="46">
        <f>SUM($C39+'Firing Inaccuracy(Standing) Raw'!$AJ39)</f>
        <v>18.65871264</v>
      </c>
      <c r="H39" s="46">
        <f>SUM($D39+'Firing Inaccuracy(Standing) Raw'!$M39)</f>
        <v>208.6376182</v>
      </c>
      <c r="I39" s="52">
        <f t="shared" si="79"/>
        <v>0.7260217662</v>
      </c>
      <c r="J39" s="141"/>
      <c r="K39" s="142"/>
      <c r="L39" s="142"/>
      <c r="M39" s="142"/>
      <c r="N39" s="142"/>
      <c r="O39" s="142"/>
      <c r="P39" s="142"/>
      <c r="Q39" s="142"/>
      <c r="R39" s="142"/>
      <c r="S39" s="142">
        <f>SUM(('Raw Values'!$AC39+(('Raw Values'!$AD39-'Raw Values'!$AC39)/3)))</f>
        <v>0.2333333333</v>
      </c>
      <c r="T39" s="142">
        <f>SUM(('Raw Values'!$AC39+(2*('Raw Values'!$AD39-'Raw Values'!$AC39)/3)))</f>
        <v>0.1666666667</v>
      </c>
      <c r="U39" s="142"/>
      <c r="V39" s="142"/>
      <c r="W39" s="142"/>
      <c r="X39" s="143"/>
      <c r="Y39" s="144"/>
      <c r="Z39" s="142"/>
      <c r="AA39" s="142"/>
      <c r="AB39" s="142"/>
      <c r="AC39" s="142"/>
      <c r="AD39" s="142"/>
      <c r="AE39" s="142"/>
      <c r="AF39" s="142"/>
      <c r="AG39" s="142"/>
      <c r="AH39" s="142">
        <f>SUM(('Raw Values'!$AA39+(('Raw Values'!$AB39-'Raw Values'!$AA39)/3)))</f>
        <v>0.1933333333</v>
      </c>
      <c r="AI39" s="142">
        <f>SUM(('Raw Values'!$AA39+(2*('Raw Values'!$AB39-'Raw Values'!$AA39)/3)))</f>
        <v>0.1366666667</v>
      </c>
      <c r="AJ39" s="142"/>
      <c r="AK39" s="142"/>
      <c r="AL39" s="142"/>
      <c r="AM39" s="88"/>
      <c r="AN39" s="65">
        <f t="shared" ref="AN39:AP39" si="80">SUM(DEGREES(atan(B39/1000))*2)</f>
        <v>1.103482603</v>
      </c>
      <c r="AO39" s="65">
        <f t="shared" si="80"/>
        <v>1.39451043</v>
      </c>
      <c r="AP39" s="65">
        <f t="shared" si="80"/>
        <v>19.44195746</v>
      </c>
      <c r="AQ39" s="63"/>
      <c r="AR39" s="46">
        <f t="shared" ref="AR39:AT39" si="81">SUM((pi())*B39^2)</f>
        <v>291.3415638</v>
      </c>
      <c r="AS39" s="46">
        <f t="shared" si="81"/>
        <v>465.2978322</v>
      </c>
      <c r="AT39" s="46">
        <f t="shared" si="81"/>
        <v>92196.68434</v>
      </c>
      <c r="AU39" s="52">
        <f t="shared" si="82"/>
        <v>0.6261399551</v>
      </c>
      <c r="AV39" s="63"/>
      <c r="AW39" s="52">
        <f>SUM('Raw Values'!B39/2)</f>
        <v>0.71</v>
      </c>
      <c r="AX39" s="46">
        <f>Sum((1-AW39)*'Raw Values'!C39 * 0.5)</f>
        <v>5.075</v>
      </c>
      <c r="AY39" s="63"/>
      <c r="AZ39" s="67">
        <f>ROUNDDOWN('Raw Values'!C39*('Raw Values'!$D39^(18/500)))</f>
        <v>34</v>
      </c>
      <c r="BA39" s="67">
        <f>ROUNDDOWN('Raw Values'!C39*('Raw Values'!$D39^(18/500))*4)</f>
        <v>139</v>
      </c>
      <c r="BB39" s="67">
        <f>ROUNDDOWN('Raw Values'!C39*('Raw Values'!$D39^(18/500))*1.25)</f>
        <v>43</v>
      </c>
      <c r="BC39" s="67">
        <f>ROUNDDOWN('Raw Values'!C39*('Raw Values'!$D39^(18/500))*0.75)</f>
        <v>26</v>
      </c>
      <c r="BD39" s="67">
        <f>ROUNDDOWN('Raw Values'!C39*('Raw Values'!$D39^(18/500))*AW39)</f>
        <v>24</v>
      </c>
      <c r="BE39" s="67">
        <f>ROUNDDOWN('Raw Values'!C39*('Raw Values'!$D39^(18/500))*AW39*4)</f>
        <v>99</v>
      </c>
      <c r="BF39" s="67">
        <f>ROUNDDOWN('Raw Values'!C39*('Raw Values'!$D39^(18/500))*AW39*1.25)</f>
        <v>31</v>
      </c>
      <c r="BG39" s="63"/>
      <c r="BH39" s="69">
        <f>SUM(AZ39*(1/'Raw Values'!$E39))</f>
        <v>453.3333333</v>
      </c>
      <c r="BI39" s="69">
        <f t="shared" si="83"/>
        <v>321.8666667</v>
      </c>
      <c r="BJ39" s="33"/>
      <c r="BK39" s="70">
        <f>SUM(AZ39*'Raw Values'!I39)</f>
        <v>5100</v>
      </c>
      <c r="BL39" s="71">
        <f t="shared" si="84"/>
        <v>3621</v>
      </c>
    </row>
    <row r="40" ht="15.75" customHeight="1">
      <c r="A40" s="101"/>
      <c r="B40" s="102"/>
      <c r="C40" s="102"/>
      <c r="D40" s="102"/>
      <c r="E40" s="101"/>
      <c r="F40" s="102"/>
      <c r="G40" s="102"/>
      <c r="H40" s="101"/>
      <c r="I40" s="101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03"/>
      <c r="AN40" s="102"/>
      <c r="AO40" s="102"/>
      <c r="AP40" s="102"/>
      <c r="AQ40" s="103"/>
      <c r="AR40" s="102"/>
      <c r="AS40" s="102"/>
      <c r="AT40" s="102"/>
      <c r="AU40" s="101"/>
      <c r="AV40" s="103"/>
      <c r="AW40" s="101"/>
      <c r="AX40" s="102"/>
      <c r="AY40" s="103"/>
      <c r="AZ40" s="104"/>
      <c r="BA40" s="104"/>
      <c r="BB40" s="104"/>
      <c r="BC40" s="104"/>
      <c r="BD40" s="104"/>
      <c r="BE40" s="104"/>
      <c r="BF40" s="104"/>
      <c r="BG40" s="103"/>
      <c r="BH40" s="101"/>
      <c r="BI40" s="101"/>
      <c r="BJ40" s="106"/>
      <c r="BK40" s="108"/>
      <c r="BL40" s="110"/>
    </row>
    <row r="41" ht="15.75" customHeight="1">
      <c r="A41" s="2" t="s">
        <v>184</v>
      </c>
      <c r="B41" s="4" t="s">
        <v>3</v>
      </c>
      <c r="C41" s="4" t="s">
        <v>5</v>
      </c>
      <c r="D41" s="4" t="s">
        <v>6</v>
      </c>
      <c r="E41" s="6" t="s">
        <v>7</v>
      </c>
      <c r="F41" s="4" t="s">
        <v>9</v>
      </c>
      <c r="G41" s="4" t="s">
        <v>10</v>
      </c>
      <c r="H41" s="6" t="s">
        <v>11</v>
      </c>
      <c r="I41" s="6" t="s">
        <v>12</v>
      </c>
      <c r="J41" s="12"/>
      <c r="K41" s="12"/>
      <c r="L41" s="12" t="s">
        <v>33</v>
      </c>
      <c r="M41" s="12" t="s">
        <v>35</v>
      </c>
      <c r="N41" s="58"/>
      <c r="O41" s="58"/>
      <c r="P41" s="58"/>
      <c r="Q41" s="58"/>
      <c r="R41" s="58"/>
      <c r="S41" s="58"/>
      <c r="T41" s="58"/>
      <c r="U41" s="58"/>
      <c r="V41" s="58"/>
      <c r="W41" s="58"/>
      <c r="X41" s="58"/>
      <c r="Y41" s="12"/>
      <c r="Z41" s="12"/>
      <c r="AA41" s="12" t="s">
        <v>53</v>
      </c>
      <c r="AB41" s="12" t="s">
        <v>54</v>
      </c>
      <c r="AC41" s="58"/>
      <c r="AD41" s="58"/>
      <c r="AE41" s="58"/>
      <c r="AF41" s="58"/>
      <c r="AG41" s="58"/>
      <c r="AH41" s="58"/>
      <c r="AI41" s="58"/>
      <c r="AJ41" s="58"/>
      <c r="AK41" s="58"/>
      <c r="AL41" s="58"/>
      <c r="AM41" s="113"/>
      <c r="AN41" s="16" t="s">
        <v>77</v>
      </c>
      <c r="AO41" s="16" t="s">
        <v>80</v>
      </c>
      <c r="AP41" s="16" t="s">
        <v>83</v>
      </c>
      <c r="AQ41" s="22"/>
      <c r="AR41" s="4" t="s">
        <v>85</v>
      </c>
      <c r="AS41" s="4" t="s">
        <v>87</v>
      </c>
      <c r="AT41" s="4" t="s">
        <v>89</v>
      </c>
      <c r="AU41" s="6" t="s">
        <v>7</v>
      </c>
      <c r="AV41" s="25"/>
      <c r="AW41" s="6" t="s">
        <v>16</v>
      </c>
      <c r="AX41" s="4" t="s">
        <v>97</v>
      </c>
      <c r="AY41" s="25"/>
      <c r="AZ41" s="27" t="s">
        <v>100</v>
      </c>
      <c r="BA41" s="27" t="s">
        <v>105</v>
      </c>
      <c r="BB41" s="27" t="s">
        <v>106</v>
      </c>
      <c r="BC41" s="27" t="s">
        <v>107</v>
      </c>
      <c r="BD41" s="27" t="s">
        <v>108</v>
      </c>
      <c r="BE41" s="27" t="s">
        <v>109</v>
      </c>
      <c r="BF41" s="27" t="s">
        <v>110</v>
      </c>
      <c r="BG41" s="25"/>
      <c r="BH41" s="6" t="s">
        <v>111</v>
      </c>
      <c r="BI41" s="6" t="s">
        <v>112</v>
      </c>
      <c r="BJ41" s="33"/>
      <c r="BK41" s="38" t="s">
        <v>114</v>
      </c>
      <c r="BL41" s="42" t="s">
        <v>115</v>
      </c>
    </row>
    <row r="42" ht="15.75" customHeight="1">
      <c r="A42" s="44" t="s">
        <v>186</v>
      </c>
      <c r="B42" s="46">
        <f>SUM('Raw Values'!AH42+'Raw Values'!AI42)</f>
        <v>1.7</v>
      </c>
      <c r="C42" s="46">
        <f>SUM('Raw Values'!AH42+'Raw Values'!AJ42)</f>
        <v>2.2</v>
      </c>
      <c r="D42" s="46">
        <f>SUM('Raw Values'!R42+'Raw Values'!T42+'Raw Values'!V42)</f>
        <v>257.48</v>
      </c>
      <c r="E42" s="52">
        <f t="shared" ref="E42:E45" si="87">SUM(B42/C42)</f>
        <v>0.7727272727</v>
      </c>
      <c r="F42" s="65"/>
      <c r="G42" s="65"/>
      <c r="H42" s="117"/>
      <c r="I42" s="117"/>
      <c r="J42" s="118"/>
      <c r="K42" s="118"/>
      <c r="L42" s="118">
        <f>SUM(('Raw Values'!$AC42+(('Raw Values'!$AD42-'Raw Values'!$AC42)/3)))</f>
        <v>0.34539</v>
      </c>
      <c r="M42" s="118">
        <f>SUM(('Raw Values'!$AC42+(2*('Raw Values'!$AD42-'Raw Values'!$AC42)/3)))</f>
        <v>0.34539</v>
      </c>
      <c r="N42" s="72"/>
      <c r="O42" s="72"/>
      <c r="P42" s="72"/>
      <c r="Q42" s="72"/>
      <c r="R42" s="72"/>
      <c r="S42" s="72"/>
      <c r="T42" s="72"/>
      <c r="U42" s="72"/>
      <c r="V42" s="72"/>
      <c r="W42" s="72"/>
      <c r="X42" s="72"/>
      <c r="Y42" s="119"/>
      <c r="Z42" s="119"/>
      <c r="AA42" s="119">
        <f>SUM(('Raw Values'!$AA42+(('Raw Values'!$AB42-'Raw Values'!$AA42)/3)))</f>
        <v>0.24671</v>
      </c>
      <c r="AB42" s="119">
        <f>SUM(('Raw Values'!$AA42+(2*('Raw Values'!$AB42-'Raw Values'!$AA42)/3)))</f>
        <v>0.24671</v>
      </c>
      <c r="AC42" s="121"/>
      <c r="AD42" s="121"/>
      <c r="AE42" s="121"/>
      <c r="AF42" s="121"/>
      <c r="AG42" s="121"/>
      <c r="AH42" s="121"/>
      <c r="AI42" s="121"/>
      <c r="AJ42" s="121"/>
      <c r="AK42" s="121"/>
      <c r="AL42" s="121"/>
      <c r="AM42" s="88"/>
      <c r="AN42" s="65">
        <f t="shared" ref="AN42:AP42" si="85">SUM(DEGREES(atan(B42/1000))*2)</f>
        <v>0.1948054627</v>
      </c>
      <c r="AO42" s="65">
        <f t="shared" si="85"/>
        <v>0.2521010231</v>
      </c>
      <c r="AP42" s="65">
        <f t="shared" si="85"/>
        <v>28.87778091</v>
      </c>
      <c r="AQ42" s="63"/>
      <c r="AR42" s="46">
        <f t="shared" ref="AR42:AT42" si="86">SUM((pi())*B42^2)</f>
        <v>9.079202769</v>
      </c>
      <c r="AS42" s="46">
        <f t="shared" si="86"/>
        <v>15.20530844</v>
      </c>
      <c r="AT42" s="46">
        <f t="shared" si="86"/>
        <v>208274.8707</v>
      </c>
      <c r="AU42" s="52">
        <f t="shared" ref="AU42:AU45" si="90">SUM(AR42/AS42)</f>
        <v>0.597107438</v>
      </c>
      <c r="AV42" s="63"/>
      <c r="AW42" s="52">
        <f>SUM('Raw Values'!B42/2)</f>
        <v>0.975</v>
      </c>
      <c r="AX42" s="46">
        <f>Sum((1-AW42)*'Raw Values'!C42 * 0.5)</f>
        <v>1.4375</v>
      </c>
      <c r="AY42" s="63"/>
      <c r="AZ42" s="67">
        <f>ROUNDDOWN('Raw Values'!C42*('Raw Values'!$D42^(18/500)))</f>
        <v>114</v>
      </c>
      <c r="BA42" s="67">
        <f>ROUNDDOWN('Raw Values'!C42*('Raw Values'!$D42^(18/500))*4)</f>
        <v>459</v>
      </c>
      <c r="BB42" s="67">
        <f>ROUNDDOWN('Raw Values'!C42*('Raw Values'!$D42^(18/500))*1.25)</f>
        <v>143</v>
      </c>
      <c r="BC42" s="67">
        <f>ROUNDDOWN('Raw Values'!C42*('Raw Values'!$D42^(18/500))*0.75)</f>
        <v>86</v>
      </c>
      <c r="BD42" s="67">
        <f>ROUNDDOWN('Raw Values'!C42*('Raw Values'!$D42^(18/500))*AW42)</f>
        <v>112</v>
      </c>
      <c r="BE42" s="67">
        <f>ROUNDDOWN('Raw Values'!C42*('Raw Values'!$D42^(18/500))*AW42*4)</f>
        <v>448</v>
      </c>
      <c r="BF42" s="67">
        <f>ROUNDDOWN('Raw Values'!C42*('Raw Values'!$D42^(18/500))*AW42*1.25)</f>
        <v>140</v>
      </c>
      <c r="BG42" s="63"/>
      <c r="BH42" s="69">
        <f>SUM(AZ42*(1/'Raw Values'!$E42))</f>
        <v>78.35051546</v>
      </c>
      <c r="BI42" s="69">
        <f t="shared" ref="BI42:BI45" si="91">SUM(BH42*AW42)</f>
        <v>76.39175258</v>
      </c>
      <c r="BJ42" s="33"/>
      <c r="BK42" s="70">
        <f>SUM(AZ42*'Raw Values'!I42)</f>
        <v>1140</v>
      </c>
      <c r="BL42" s="71">
        <f t="shared" ref="BL42:BL45" si="92">SUM(BK42*AW42)</f>
        <v>1111.5</v>
      </c>
    </row>
    <row r="43" ht="15.75" customHeight="1">
      <c r="A43" s="92" t="s">
        <v>188</v>
      </c>
      <c r="B43" s="46">
        <f>SUM('Raw Values'!AH43+'Raw Values'!AI43)</f>
        <v>1.8</v>
      </c>
      <c r="C43" s="46">
        <f>SUM('Raw Values'!AH43+'Raw Values'!AJ43)</f>
        <v>2.3</v>
      </c>
      <c r="D43" s="46">
        <f>SUM('Raw Values'!R43+'Raw Values'!T43+'Raw Values'!V43)</f>
        <v>176.58</v>
      </c>
      <c r="E43" s="52">
        <f t="shared" si="87"/>
        <v>0.7826086957</v>
      </c>
      <c r="F43" s="46">
        <f>SUM($B43+'Firing Inaccuracy(Crouching) Ra'!$Z43)</f>
        <v>7.281067647</v>
      </c>
      <c r="G43" s="46">
        <f>SUM($C43+'Firing Inaccuracy(Standing) Raw'!$Z43)</f>
        <v>12.20288688</v>
      </c>
      <c r="H43" s="46">
        <f>SUM($D43+'Firing Inaccuracy(Standing) Raw'!$M43)</f>
        <v>186.4655055</v>
      </c>
      <c r="I43" s="52">
        <f t="shared" ref="I43:I44" si="93">SUM(F43/G43)</f>
        <v>0.5966676342</v>
      </c>
      <c r="J43" s="118"/>
      <c r="K43" s="118"/>
      <c r="L43" s="118">
        <f>SUM(('Raw Values'!$AC43+(('Raw Values'!$AD43-'Raw Values'!$AC43)/3)))</f>
        <v>0.544331</v>
      </c>
      <c r="M43" s="118">
        <f>SUM(('Raw Values'!$AC43+(2*('Raw Values'!$AD43-'Raw Values'!$AC43)/3)))</f>
        <v>0.544331</v>
      </c>
      <c r="N43" s="72"/>
      <c r="O43" s="72"/>
      <c r="P43" s="72"/>
      <c r="Q43" s="72"/>
      <c r="R43" s="72"/>
      <c r="S43" s="72"/>
      <c r="T43" s="72"/>
      <c r="U43" s="72"/>
      <c r="V43" s="72"/>
      <c r="W43" s="72"/>
      <c r="X43" s="72"/>
      <c r="Y43" s="119"/>
      <c r="Z43" s="119"/>
      <c r="AA43" s="119">
        <f>SUM(('Raw Values'!$AA43+(('Raw Values'!$AB43-'Raw Values'!$AA43)/3)))</f>
        <v>0.388808</v>
      </c>
      <c r="AB43" s="119">
        <f>SUM(('Raw Values'!$AA43+(2*('Raw Values'!$AB43-'Raw Values'!$AA43)/3)))</f>
        <v>0.388808</v>
      </c>
      <c r="AC43" s="121"/>
      <c r="AD43" s="121"/>
      <c r="AE43" s="121"/>
      <c r="AF43" s="121"/>
      <c r="AG43" s="121"/>
      <c r="AH43" s="121"/>
      <c r="AI43" s="121"/>
      <c r="AJ43" s="121"/>
      <c r="AK43" s="121"/>
      <c r="AL43" s="121"/>
      <c r="AM43" s="88"/>
      <c r="AN43" s="65">
        <f t="shared" ref="AN43:AP43" si="88">SUM(DEGREES(atan(B43/1000))*2)</f>
        <v>0.2062645835</v>
      </c>
      <c r="AO43" s="65">
        <f t="shared" si="88"/>
        <v>0.263560121</v>
      </c>
      <c r="AP43" s="65">
        <f t="shared" si="88"/>
        <v>20.02811839</v>
      </c>
      <c r="AQ43" s="63"/>
      <c r="AR43" s="46">
        <f t="shared" ref="AR43:AT43" si="89">SUM((pi())*B43^2)</f>
        <v>10.1787602</v>
      </c>
      <c r="AS43" s="46">
        <f t="shared" si="89"/>
        <v>16.61902514</v>
      </c>
      <c r="AT43" s="46">
        <f t="shared" si="89"/>
        <v>97956.41843</v>
      </c>
      <c r="AU43" s="52">
        <f t="shared" si="90"/>
        <v>0.6124763705</v>
      </c>
      <c r="AV43" s="63"/>
      <c r="AW43" s="52">
        <f>SUM('Raw Values'!B43/2)</f>
        <v>0.825</v>
      </c>
      <c r="AX43" s="46">
        <f>Sum((1-AW43)*'Raw Values'!C43 * 0.5)</f>
        <v>7</v>
      </c>
      <c r="AY43" s="63"/>
      <c r="AZ43" s="67">
        <f>ROUNDDOWN('Raw Values'!C43*('Raw Values'!$D43^(18/500)))</f>
        <v>79</v>
      </c>
      <c r="BA43" s="67">
        <f>ROUNDDOWN('Raw Values'!C43*('Raw Values'!$D43^(18/500))*4)</f>
        <v>319</v>
      </c>
      <c r="BB43" s="67">
        <f>ROUNDDOWN('Raw Values'!C43*('Raw Values'!$D43^(18/500))*1.25)</f>
        <v>99</v>
      </c>
      <c r="BC43" s="67">
        <f>ROUNDDOWN('Raw Values'!C43*('Raw Values'!$D43^(18/500))*0.75)</f>
        <v>59</v>
      </c>
      <c r="BD43" s="67">
        <f>ROUNDDOWN('Raw Values'!C43*('Raw Values'!$D43^(18/500))*AW43)</f>
        <v>65</v>
      </c>
      <c r="BE43" s="67">
        <f>ROUNDDOWN('Raw Values'!C43*('Raw Values'!$D43^(18/500))*AW43*4)</f>
        <v>263</v>
      </c>
      <c r="BF43" s="67">
        <f>ROUNDDOWN('Raw Values'!C43*('Raw Values'!$D43^(18/500))*AW43*1.25)</f>
        <v>82</v>
      </c>
      <c r="BG43" s="63"/>
      <c r="BH43" s="69">
        <f>SUM(AZ43*(1/'Raw Values'!$E43))</f>
        <v>316</v>
      </c>
      <c r="BI43" s="69">
        <f t="shared" si="91"/>
        <v>260.7</v>
      </c>
      <c r="BJ43" s="33"/>
      <c r="BK43" s="70">
        <f>SUM(AZ43*'Raw Values'!I43)</f>
        <v>1580</v>
      </c>
      <c r="BL43" s="71">
        <f t="shared" si="92"/>
        <v>1303.5</v>
      </c>
    </row>
    <row r="44" ht="15.75" customHeight="1">
      <c r="A44" s="90" t="s">
        <v>190</v>
      </c>
      <c r="B44" s="46">
        <f>SUM('Raw Values'!AH44+'Raw Values'!AI44)</f>
        <v>1.8</v>
      </c>
      <c r="C44" s="46">
        <f>SUM('Raw Values'!AH44+'Raw Values'!AJ44)</f>
        <v>2.3</v>
      </c>
      <c r="D44" s="46">
        <f>SUM('Raw Values'!R44+'Raw Values'!T44+'Raw Values'!V44)</f>
        <v>176.58</v>
      </c>
      <c r="E44" s="52">
        <f t="shared" si="87"/>
        <v>0.7826086957</v>
      </c>
      <c r="F44" s="46">
        <f>SUM($B44+'Firing Inaccuracy(Crouching) Ra'!$Z44)</f>
        <v>7.281067647</v>
      </c>
      <c r="G44" s="46">
        <f>SUM($C44+'Firing Inaccuracy(Standing) Raw'!$Z44)</f>
        <v>12.20288688</v>
      </c>
      <c r="H44" s="46">
        <f>SUM($D44+'Firing Inaccuracy(Standing) Raw'!$M44)</f>
        <v>186.4655055</v>
      </c>
      <c r="I44" s="52">
        <f t="shared" si="93"/>
        <v>0.5966676342</v>
      </c>
      <c r="J44" s="118"/>
      <c r="K44" s="118"/>
      <c r="L44" s="118">
        <f>SUM(('Raw Values'!$AC44+(('Raw Values'!$AD44-'Raw Values'!$AC44)/3)))</f>
        <v>0.544331</v>
      </c>
      <c r="M44" s="118">
        <f>SUM(('Raw Values'!$AC44+(2*('Raw Values'!$AD44-'Raw Values'!$AC44)/3)))</f>
        <v>0.544331</v>
      </c>
      <c r="N44" s="72"/>
      <c r="O44" s="72"/>
      <c r="P44" s="72"/>
      <c r="Q44" s="72"/>
      <c r="R44" s="72"/>
      <c r="S44" s="72"/>
      <c r="T44" s="72"/>
      <c r="U44" s="72"/>
      <c r="V44" s="72"/>
      <c r="W44" s="72"/>
      <c r="X44" s="72"/>
      <c r="Y44" s="119"/>
      <c r="Z44" s="119"/>
      <c r="AA44" s="119">
        <f>SUM(('Raw Values'!$AA44+(('Raw Values'!$AB44-'Raw Values'!$AA44)/3)))</f>
        <v>0.388808</v>
      </c>
      <c r="AB44" s="119">
        <f>SUM(('Raw Values'!$AA44+(2*('Raw Values'!$AB44-'Raw Values'!$AA44)/3)))</f>
        <v>0.388808</v>
      </c>
      <c r="AC44" s="121"/>
      <c r="AD44" s="121"/>
      <c r="AE44" s="121"/>
      <c r="AF44" s="121"/>
      <c r="AG44" s="121"/>
      <c r="AH44" s="121"/>
      <c r="AI44" s="121"/>
      <c r="AJ44" s="121"/>
      <c r="AK44" s="121"/>
      <c r="AL44" s="121"/>
      <c r="AM44" s="88"/>
      <c r="AN44" s="65">
        <f t="shared" ref="AN44:AP44" si="94">SUM(DEGREES(atan(B44/1000))*2)</f>
        <v>0.2062645835</v>
      </c>
      <c r="AO44" s="65">
        <f t="shared" si="94"/>
        <v>0.263560121</v>
      </c>
      <c r="AP44" s="65">
        <f t="shared" si="94"/>
        <v>20.02811839</v>
      </c>
      <c r="AQ44" s="63"/>
      <c r="AR44" s="46">
        <f t="shared" ref="AR44:AT44" si="95">SUM((pi())*B44^2)</f>
        <v>10.1787602</v>
      </c>
      <c r="AS44" s="46">
        <f t="shared" si="95"/>
        <v>16.61902514</v>
      </c>
      <c r="AT44" s="46">
        <f t="shared" si="95"/>
        <v>97956.41843</v>
      </c>
      <c r="AU44" s="52">
        <f t="shared" si="90"/>
        <v>0.6124763705</v>
      </c>
      <c r="AV44" s="63"/>
      <c r="AW44" s="52">
        <f>SUM('Raw Values'!B44/2)</f>
        <v>0.825</v>
      </c>
      <c r="AX44" s="46">
        <f>Sum((1-AW44)*'Raw Values'!C44 * 0.5)</f>
        <v>7</v>
      </c>
      <c r="AY44" s="63"/>
      <c r="AZ44" s="67">
        <f>ROUNDDOWN('Raw Values'!C44*('Raw Values'!$D44^(18/500)))</f>
        <v>79</v>
      </c>
      <c r="BA44" s="67">
        <f>ROUNDDOWN('Raw Values'!C44*('Raw Values'!$D44^(18/500))*4)</f>
        <v>319</v>
      </c>
      <c r="BB44" s="67">
        <f>ROUNDDOWN('Raw Values'!C44*('Raw Values'!$D44^(18/500))*1.25)</f>
        <v>99</v>
      </c>
      <c r="BC44" s="67">
        <f>ROUNDDOWN('Raw Values'!C44*('Raw Values'!$D44^(18/500))*0.75)</f>
        <v>59</v>
      </c>
      <c r="BD44" s="67">
        <f>ROUNDDOWN('Raw Values'!C44*('Raw Values'!$D44^(18/500))*AW44)</f>
        <v>65</v>
      </c>
      <c r="BE44" s="67">
        <f>ROUNDDOWN('Raw Values'!C44*('Raw Values'!$D44^(18/500))*AW44*4)</f>
        <v>263</v>
      </c>
      <c r="BF44" s="67">
        <f>ROUNDDOWN('Raw Values'!C44*('Raw Values'!$D44^(18/500))*AW44*1.25)</f>
        <v>82</v>
      </c>
      <c r="BG44" s="63"/>
      <c r="BH44" s="69">
        <f>SUM(AZ44*(1/'Raw Values'!$E44))</f>
        <v>316</v>
      </c>
      <c r="BI44" s="69">
        <f t="shared" si="91"/>
        <v>260.7</v>
      </c>
      <c r="BJ44" s="33"/>
      <c r="BK44" s="70">
        <f>SUM(AZ44*'Raw Values'!I44)</f>
        <v>1580</v>
      </c>
      <c r="BL44" s="71">
        <f t="shared" si="92"/>
        <v>1303.5</v>
      </c>
    </row>
    <row r="45" ht="15.75" customHeight="1">
      <c r="A45" s="44" t="s">
        <v>192</v>
      </c>
      <c r="B45" s="46">
        <f>SUM('Raw Values'!AH45+'Raw Values'!AI45)</f>
        <v>3.03</v>
      </c>
      <c r="C45" s="46">
        <f>SUM('Raw Values'!AH45+'Raw Values'!AJ45)</f>
        <v>3.23</v>
      </c>
      <c r="D45" s="46">
        <f>SUM('Raw Values'!R45+'Raw Values'!T45+'Raw Values'!V45)</f>
        <v>155.43</v>
      </c>
      <c r="E45" s="52">
        <f t="shared" si="87"/>
        <v>0.9380804954</v>
      </c>
      <c r="F45" s="65"/>
      <c r="G45" s="65"/>
      <c r="H45" s="117"/>
      <c r="I45" s="117"/>
      <c r="J45" s="118"/>
      <c r="K45" s="118"/>
      <c r="L45" s="118">
        <f>SUM(('Raw Values'!$AC45+(('Raw Values'!$AD45-'Raw Values'!$AC45)/3)))</f>
        <v>0.142096</v>
      </c>
      <c r="M45" s="118">
        <f>SUM(('Raw Values'!$AC45+(2*('Raw Values'!$AD45-'Raw Values'!$AC45)/3)))</f>
        <v>0.142096</v>
      </c>
      <c r="N45" s="72"/>
      <c r="O45" s="72"/>
      <c r="P45" s="72"/>
      <c r="Q45" s="72"/>
      <c r="R45" s="72"/>
      <c r="S45" s="72"/>
      <c r="T45" s="72"/>
      <c r="U45" s="72"/>
      <c r="V45" s="72"/>
      <c r="W45" s="72"/>
      <c r="X45" s="72"/>
      <c r="Y45" s="119"/>
      <c r="Z45" s="119"/>
      <c r="AA45" s="119">
        <f>SUM(('Raw Values'!$AA45+(('Raw Values'!$AB45-'Raw Values'!$AA45)/3)))</f>
        <v>0.055783</v>
      </c>
      <c r="AB45" s="119">
        <f>SUM(('Raw Values'!$AA45+(2*('Raw Values'!$AB45-'Raw Values'!$AA45)/3)))</f>
        <v>0.055783</v>
      </c>
      <c r="AC45" s="121"/>
      <c r="AD45" s="121"/>
      <c r="AE45" s="121"/>
      <c r="AF45" s="121"/>
      <c r="AG45" s="121"/>
      <c r="AH45" s="121"/>
      <c r="AI45" s="121"/>
      <c r="AJ45" s="121"/>
      <c r="AK45" s="121"/>
      <c r="AL45" s="121"/>
      <c r="AM45" s="88"/>
      <c r="AN45" s="65">
        <f t="shared" ref="AN45:AP45" si="96">SUM(DEGREES(atan(B45/1000))*2)</f>
        <v>0.3472113613</v>
      </c>
      <c r="AO45" s="65">
        <f t="shared" si="96"/>
        <v>0.3701294485</v>
      </c>
      <c r="AP45" s="65">
        <f t="shared" si="96"/>
        <v>17.66958117</v>
      </c>
      <c r="AQ45" s="63"/>
      <c r="AR45" s="46">
        <f t="shared" ref="AR45:AT45" si="97">SUM((pi())*B45^2)</f>
        <v>28.84264799</v>
      </c>
      <c r="AS45" s="46">
        <f t="shared" si="97"/>
        <v>32.775922</v>
      </c>
      <c r="AT45" s="46">
        <f t="shared" si="97"/>
        <v>75896.11868</v>
      </c>
      <c r="AU45" s="52">
        <f t="shared" si="90"/>
        <v>0.8799950158</v>
      </c>
      <c r="AV45" s="63"/>
      <c r="AW45" s="52">
        <f>SUM('Raw Values'!B45/2)</f>
        <v>0.85</v>
      </c>
      <c r="AX45" s="46">
        <f>Sum((1-AW45)*'Raw Values'!C45 * 0.5)</f>
        <v>6.6</v>
      </c>
      <c r="AY45" s="63"/>
      <c r="AZ45" s="67">
        <f>ROUNDDOWN('Raw Values'!C45*('Raw Values'!$D45^(18/500)))</f>
        <v>87</v>
      </c>
      <c r="BA45" s="67">
        <f>ROUNDDOWN('Raw Values'!C45*('Raw Values'!$D45^(18/500))*4)</f>
        <v>351</v>
      </c>
      <c r="BB45" s="67">
        <f>ROUNDDOWN('Raw Values'!C45*('Raw Values'!$D45^(18/500))*1.25)</f>
        <v>109</v>
      </c>
      <c r="BC45" s="67">
        <f>ROUNDDOWN('Raw Values'!C45*('Raw Values'!$D45^(18/500))*0.75)</f>
        <v>65</v>
      </c>
      <c r="BD45" s="67">
        <f>ROUNDDOWN('Raw Values'!C45*('Raw Values'!$D45^(18/500))*AW45)</f>
        <v>74</v>
      </c>
      <c r="BE45" s="67">
        <f>ROUNDDOWN('Raw Values'!C45*('Raw Values'!$D45^(18/500))*AW45*4)</f>
        <v>298</v>
      </c>
      <c r="BF45" s="67">
        <f>ROUNDDOWN('Raw Values'!C45*('Raw Values'!$D45^(18/500))*AW45*1.25)</f>
        <v>93</v>
      </c>
      <c r="BG45" s="63"/>
      <c r="BH45" s="69">
        <f>SUM(AZ45*(1/'Raw Values'!$E45))</f>
        <v>69.6</v>
      </c>
      <c r="BI45" s="69">
        <f t="shared" si="91"/>
        <v>59.16</v>
      </c>
      <c r="BJ45" s="33"/>
      <c r="BK45" s="70">
        <f>SUM(AZ45*'Raw Values'!I45)</f>
        <v>870</v>
      </c>
      <c r="BL45" s="71">
        <f t="shared" si="92"/>
        <v>739.5</v>
      </c>
    </row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0"/>
  <cols>
    <col customWidth="1" min="1" max="1" width="14.57"/>
    <col customWidth="1" min="2" max="5" width="11.71"/>
    <col customWidth="1" min="6" max="6" width="4.57"/>
    <col customWidth="1" min="7" max="36" width="11.71"/>
  </cols>
  <sheetData>
    <row r="1" ht="15.75" customHeight="1">
      <c r="A1" s="5" t="s">
        <v>1</v>
      </c>
      <c r="B1" s="11" t="s">
        <v>19</v>
      </c>
      <c r="C1" s="9" t="s">
        <v>204</v>
      </c>
      <c r="D1" s="21" t="s">
        <v>205</v>
      </c>
      <c r="E1" s="21" t="s">
        <v>206</v>
      </c>
      <c r="F1" s="125"/>
      <c r="G1" s="127">
        <v>1.0</v>
      </c>
      <c r="H1" s="127">
        <v>2.0</v>
      </c>
      <c r="I1" s="127">
        <v>3.0</v>
      </c>
      <c r="J1" s="127">
        <v>4.0</v>
      </c>
      <c r="K1" s="127">
        <v>5.0</v>
      </c>
      <c r="L1" s="127">
        <v>6.0</v>
      </c>
      <c r="M1" s="127">
        <v>7.0</v>
      </c>
      <c r="N1" s="127">
        <v>8.0</v>
      </c>
      <c r="O1" s="127">
        <v>9.0</v>
      </c>
      <c r="P1" s="127">
        <v>10.0</v>
      </c>
      <c r="Q1" s="127">
        <v>11.0</v>
      </c>
      <c r="R1" s="127">
        <v>12.0</v>
      </c>
      <c r="S1" s="127">
        <v>13.0</v>
      </c>
      <c r="T1" s="127">
        <v>14.0</v>
      </c>
      <c r="U1" s="127">
        <v>15.0</v>
      </c>
      <c r="V1" s="127">
        <v>16.0</v>
      </c>
      <c r="W1" s="127">
        <v>17.0</v>
      </c>
      <c r="X1" s="127">
        <v>18.0</v>
      </c>
      <c r="Y1" s="127">
        <v>19.0</v>
      </c>
      <c r="Z1" s="127">
        <v>20.0</v>
      </c>
      <c r="AA1" s="127">
        <v>21.0</v>
      </c>
      <c r="AB1" s="127">
        <v>22.0</v>
      </c>
      <c r="AC1" s="127">
        <v>23.0</v>
      </c>
      <c r="AD1" s="127">
        <v>24.0</v>
      </c>
      <c r="AE1" s="127">
        <v>25.0</v>
      </c>
      <c r="AF1" s="127">
        <v>26.0</v>
      </c>
      <c r="AG1" s="127">
        <v>27.0</v>
      </c>
      <c r="AH1" s="127">
        <v>28.0</v>
      </c>
      <c r="AI1" s="127">
        <v>29.0</v>
      </c>
      <c r="AJ1" s="127">
        <v>30.0</v>
      </c>
    </row>
    <row r="2" ht="15.75" customHeight="1">
      <c r="A2" s="28" t="s">
        <v>104</v>
      </c>
      <c r="B2" s="32">
        <f>'Raw Values'!E2</f>
        <v>0.225</v>
      </c>
      <c r="C2" s="34">
        <f>'Raw Values'!U2</f>
        <v>72.23</v>
      </c>
      <c r="D2" s="43">
        <f>'Raw Values'!AC2</f>
        <v>0.8112</v>
      </c>
      <c r="E2" s="43" t="s">
        <v>209</v>
      </c>
      <c r="F2" s="130"/>
      <c r="G2" s="39">
        <v>0.0</v>
      </c>
      <c r="H2" s="41">
        <f>('Raw Values'!$U2)*(0.1^('Raw Values'!$E2/'Raw Values'!$AC2))</f>
        <v>38.13737094</v>
      </c>
      <c r="I2" s="41">
        <f>('Raw Values'!$U2+H2)*(0.1^('Raw Values'!$E2/'Raw Values'!$AC2))</f>
        <v>58.27386633</v>
      </c>
      <c r="J2" s="41">
        <f>('Raw Values'!$U2+I2)*(0.1^('Raw Values'!$E2/'Raw Values'!$AC2))</f>
        <v>68.90591664</v>
      </c>
      <c r="K2" s="41">
        <f>('Raw Values'!$U2+J2)*(0.1^('Raw Values'!$E2/Analysis!$M2))</f>
        <v>74.51962904</v>
      </c>
      <c r="L2" s="41">
        <f>('Raw Values'!$U2+K2)*(0.1^('Raw Values'!$E2/Analysis!$N2))</f>
        <v>77.48366382</v>
      </c>
      <c r="M2" s="41">
        <f>('Raw Values'!$U2+L2)*(0.1^('Raw Values'!$E2/Analysis!$O2))</f>
        <v>79.04867135</v>
      </c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  <c r="AF2" s="41"/>
      <c r="AG2" s="41"/>
      <c r="AH2" s="41"/>
      <c r="AI2" s="41"/>
      <c r="AJ2" s="41"/>
    </row>
    <row r="3" ht="15.75" customHeight="1">
      <c r="A3" s="28" t="s">
        <v>118</v>
      </c>
      <c r="B3" s="32">
        <f>'Raw Values'!AW3</f>
        <v>0.4</v>
      </c>
      <c r="C3" s="34">
        <f>'Raw Values'!AK3</f>
        <v>55</v>
      </c>
      <c r="D3" s="43">
        <f>'Raw Values'!AC3</f>
        <v>0.9</v>
      </c>
      <c r="E3" s="43" t="s">
        <v>209</v>
      </c>
      <c r="F3" s="130"/>
      <c r="G3" s="39">
        <v>0.0</v>
      </c>
      <c r="H3" s="41">
        <f>('Raw Values'!$AK3)*(0.1^('Raw Values'!$AW3/'Raw Values'!$AC3))</f>
        <v>19.76597515</v>
      </c>
      <c r="I3" s="41">
        <f>('Raw Values'!$AK3+H3)*(0.1^('Raw Values'!$AW3/'Raw Values'!$AC3))</f>
        <v>26.86949831</v>
      </c>
      <c r="J3" s="41">
        <f>('Raw Values'!$AK3+I3)*(0.1^('Raw Values'!$AW3/'Raw Values'!$AC3))</f>
        <v>29.42237217</v>
      </c>
      <c r="K3" s="41">
        <f>('Raw Values'!$AK3+J3)*(0.1^('Raw Values'!$AW3/'Raw Values'!$AC3))</f>
        <v>30.33982746</v>
      </c>
      <c r="L3" s="41">
        <f>('Raw Values'!$AK3+K3)*(0.1^('Raw Values'!$AW3/'Raw Values'!$AC3))</f>
        <v>30.6695438</v>
      </c>
      <c r="M3" s="41">
        <f>('Raw Values'!$AK3+L3)*(0.1^('Raw Values'!$AW3/'Raw Values'!$AC3))</f>
        <v>30.78803771</v>
      </c>
      <c r="N3" s="41">
        <f>('Raw Values'!$AK3+M3)*(0.1^('Raw Values'!$AW3/'Raw Values'!$AC3))</f>
        <v>30.83062221</v>
      </c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  <c r="AA3" s="41"/>
      <c r="AB3" s="41"/>
      <c r="AC3" s="41"/>
      <c r="AD3" s="41"/>
      <c r="AE3" s="41"/>
      <c r="AF3" s="41"/>
      <c r="AG3" s="41"/>
      <c r="AH3" s="41"/>
      <c r="AI3" s="41"/>
      <c r="AJ3" s="41"/>
    </row>
    <row r="4" ht="15.75" customHeight="1">
      <c r="A4" s="28" t="s">
        <v>120</v>
      </c>
      <c r="B4" s="32">
        <f>'Raw Values'!E4</f>
        <v>0.12</v>
      </c>
      <c r="C4" s="34">
        <f>'Raw Values'!U4</f>
        <v>11.16</v>
      </c>
      <c r="D4" s="43">
        <f>'Raw Values'!AC4</f>
        <v>0.524989</v>
      </c>
      <c r="E4" s="43" t="s">
        <v>209</v>
      </c>
      <c r="F4" s="130"/>
      <c r="G4" s="39">
        <v>0.0</v>
      </c>
      <c r="H4" s="41">
        <f>('Raw Values'!$U4)*(0.1^('Raw Values'!$E4/'Raw Values'!$AC4))</f>
        <v>6.593074403</v>
      </c>
      <c r="I4" s="41">
        <f>('Raw Values'!$AK4+H4)*(0.1^('Raw Values'!$E4/'Raw Values'!$AC4))</f>
        <v>10.96073476</v>
      </c>
      <c r="J4" s="41">
        <f>('Raw Values'!$U4+I4)*(0.1^('Raw Values'!$E4/'Raw Values'!$AC4))</f>
        <v>13.06842743</v>
      </c>
      <c r="K4" s="41">
        <f>('Raw Values'!$AK4+J4)*(0.1^('Raw Values'!$E4/Analysis!$M4))</f>
        <v>14.78622619</v>
      </c>
      <c r="L4" s="41">
        <f>('Raw Values'!$U4+K4)*(0.1^('Raw Values'!$E4/Analysis!$N4))</f>
        <v>15.32844084</v>
      </c>
      <c r="M4" s="41">
        <f>('Raw Values'!$AK4+L4)*(0.1^('Raw Values'!$E4/Analysis!$O4))</f>
        <v>16.12139075</v>
      </c>
      <c r="N4" s="41">
        <f>('Raw Values'!$U4+M4)*(0.1^('Raw Values'!$E4/Analysis!$P4))</f>
        <v>16.11722572</v>
      </c>
      <c r="O4" s="41">
        <f>('Raw Values'!$AK4+N4)*(0.1^('Raw Values'!$E4/Analysis!$Q4))</f>
        <v>16.58738694</v>
      </c>
      <c r="P4" s="41">
        <f>('Raw Values'!$U4+O4)*(0.1^('Raw Values'!$E4/Analysis!$R4))</f>
        <v>16.39252568</v>
      </c>
      <c r="Q4" s="41">
        <f>('Raw Values'!$AK4+P4)*(0.1^('Raw Values'!$E4/'Raw Values'!$AD4))</f>
        <v>16.7500279</v>
      </c>
      <c r="R4" s="41">
        <f>('Raw Values'!$U4+Q4)*(0.1^('Raw Values'!$E4/'Raw Values'!$AD4))</f>
        <v>16.48861026</v>
      </c>
      <c r="S4" s="41">
        <f>('Raw Values'!$AK4+R4)*(0.1^('Raw Values'!$E4/'Raw Values'!$AD4))</f>
        <v>16.80679248</v>
      </c>
      <c r="T4" s="41">
        <f>('Raw Values'!$U4+S4)*(0.1^('Raw Values'!$E4/'Raw Values'!$AD4))</f>
        <v>16.52214549</v>
      </c>
      <c r="U4" s="41">
        <f>('Raw Values'!$AK4+T4)*(0.1^('Raw Values'!$E4/'Raw Values'!$AD4))</f>
        <v>16.82660434</v>
      </c>
      <c r="V4" s="41">
        <f>('Raw Values'!$U4+U4)*(0.1^('Raw Values'!$E4/'Raw Values'!$AD4))</f>
        <v>16.53384988</v>
      </c>
      <c r="W4" s="41">
        <f>('Raw Values'!$AK4+V4)*(0.1^('Raw Values'!$E4/'Raw Values'!$AD4))</f>
        <v>16.83351902</v>
      </c>
      <c r="X4" s="41">
        <f>('Raw Values'!$U4+W4)*(0.1^('Raw Values'!$E4/'Raw Values'!$AD4))</f>
        <v>16.53793492</v>
      </c>
      <c r="Y4" s="41">
        <f>('Raw Values'!$AK4+X4)*(0.1^('Raw Values'!$E4/'Raw Values'!$AD4))</f>
        <v>16.83593237</v>
      </c>
      <c r="Z4" s="41">
        <f>('Raw Values'!$U4+Y4)*(0.1^('Raw Values'!$E4/'Raw Values'!$AD4))</f>
        <v>16.53936067</v>
      </c>
      <c r="AA4" s="41">
        <f>('Raw Values'!$AK4+Z4)*(0.1^('Raw Values'!$E4/'Raw Values'!$AD4))</f>
        <v>16.83677467</v>
      </c>
      <c r="AB4" s="41">
        <f>('Raw Values'!$U4+AA4)*(0.1^('Raw Values'!$E4/'Raw Values'!$AD4))</f>
        <v>16.53985829</v>
      </c>
      <c r="AC4" s="41">
        <f>('Raw Values'!$AK4+AB4)*(0.1^('Raw Values'!$E4/'Raw Values'!$AD4))</f>
        <v>16.83706865</v>
      </c>
      <c r="AD4" s="41">
        <f>('Raw Values'!$U4+AC4)*(0.1^('Raw Values'!$E4/'Raw Values'!$AD4))</f>
        <v>16.54003196</v>
      </c>
      <c r="AE4" s="41">
        <f>('Raw Values'!$AK4+AD4)*(0.1^('Raw Values'!$E4/'Raw Values'!$AD4))</f>
        <v>16.83717126</v>
      </c>
      <c r="AF4" s="41">
        <f>('Raw Values'!$U4+AE4)*(0.1^('Raw Values'!$E4/'Raw Values'!$AD4))</f>
        <v>16.54009258</v>
      </c>
      <c r="AG4" s="41">
        <f>('Raw Values'!$AK4+AF4)*(0.1^('Raw Values'!$E4/'Raw Values'!$AD4))</f>
        <v>16.83720707</v>
      </c>
      <c r="AH4" s="41">
        <f>('Raw Values'!$U4+AG4)*(0.1^('Raw Values'!$E4/'Raw Values'!$AD4))</f>
        <v>16.54011373</v>
      </c>
      <c r="AI4" s="41">
        <f>('Raw Values'!$AK4+AH4)*(0.1^('Raw Values'!$E4/'Raw Values'!$AD4))</f>
        <v>16.83721957</v>
      </c>
      <c r="AJ4" s="41">
        <f>('Raw Values'!$U4+AI4)*(0.1^('Raw Values'!$E4/'Raw Values'!$AD4))</f>
        <v>16.54012112</v>
      </c>
    </row>
    <row r="5" ht="15.75" customHeight="1">
      <c r="A5" s="61" t="s">
        <v>122</v>
      </c>
      <c r="B5" s="32">
        <f>'Raw Values'!E5</f>
        <v>0.15</v>
      </c>
      <c r="C5" s="34">
        <f>'Raw Values'!U5</f>
        <v>25</v>
      </c>
      <c r="D5" s="43">
        <f>'Raw Values'!AC5</f>
        <v>0.2</v>
      </c>
      <c r="E5" s="43">
        <f>'Raw Values'!AD5</f>
        <v>0.5</v>
      </c>
      <c r="F5" s="130"/>
      <c r="G5" s="39">
        <v>0.0</v>
      </c>
      <c r="H5" s="41">
        <f>('Raw Values'!$U5)*(0.1^('Raw Values'!$E5/Analysis!$J5))</f>
        <v>6.622423219</v>
      </c>
      <c r="I5" s="41">
        <f>('Raw Values'!$U5+H5)*(0.1^('Raw Values'!$E5/Analysis!$K5))</f>
        <v>10.7459582</v>
      </c>
      <c r="J5" s="41">
        <f>('Raw Values'!$U5+I5)*(0.1^('Raw Values'!$E5/Analysis!$L5))</f>
        <v>14.40423178</v>
      </c>
      <c r="K5" s="41">
        <f>('Raw Values'!$U5+J5)*(0.1^('Raw Values'!$E5/Analysis!$M5))</f>
        <v>17.97354627</v>
      </c>
      <c r="L5" s="41">
        <f>('Raw Values'!$U5+K5)*(0.1^('Raw Values'!$E5/'Raw Values'!$AD5))</f>
        <v>21.53779278</v>
      </c>
      <c r="M5" s="41">
        <f>('Raw Values'!$U5+L5)*(0.1^('Raw Values'!$E5/'Raw Values'!$AD5))</f>
        <v>23.32414762</v>
      </c>
      <c r="N5" s="41">
        <f>('Raw Values'!$U5+M5)*(0.1^('Raw Values'!$E5/'Raw Values'!$AD5))</f>
        <v>24.21944586</v>
      </c>
      <c r="O5" s="41">
        <f>('Raw Values'!$U5+N5)*(0.1^('Raw Values'!$E5/'Raw Values'!$AD5))</f>
        <v>24.66815791</v>
      </c>
      <c r="P5" s="41">
        <f>('Raw Values'!$U5+O5)*(0.1^('Raw Values'!$E5/'Raw Values'!$AD5))</f>
        <v>24.89304666</v>
      </c>
      <c r="Q5" s="41">
        <f>('Raw Values'!$U5+P5)*(0.1^('Raw Values'!$E5/'Raw Values'!$AD5))</f>
        <v>25.00575803</v>
      </c>
      <c r="R5" s="41">
        <f>('Raw Values'!$U5+Q5)*(0.1^('Raw Values'!$E5/'Raw Values'!$AD5))</f>
        <v>25.06224753</v>
      </c>
      <c r="S5" s="41">
        <f>('Raw Values'!$U5+R5)*(0.1^('Raw Values'!$E5/'Raw Values'!$AD5))</f>
        <v>25.09055935</v>
      </c>
      <c r="T5" s="41">
        <f>('Raw Values'!$U5+S5)*(0.1^('Raw Values'!$E5/'Raw Values'!$AD5))</f>
        <v>25.10474887</v>
      </c>
      <c r="U5" s="41">
        <f>('Raw Values'!$U5+T5)*(0.1^('Raw Values'!$E5/'Raw Values'!$AD5))</f>
        <v>25.11186048</v>
      </c>
      <c r="V5" s="41">
        <f>('Raw Values'!$U5+U5)*(0.1^('Raw Values'!$E5/'Raw Values'!$AD5))</f>
        <v>25.11542473</v>
      </c>
      <c r="W5" s="41">
        <f>('Raw Values'!$U5+V5)*(0.1^('Raw Values'!$E5/'Raw Values'!$AD5))</f>
        <v>25.11721108</v>
      </c>
      <c r="X5" s="41">
        <f>('Raw Values'!$U5+W5)*(0.1^('Raw Values'!$E5/'Raw Values'!$AD5))</f>
        <v>25.11810638</v>
      </c>
      <c r="Y5" s="41">
        <f>('Raw Values'!$U5+X5)*(0.1^('Raw Values'!$E5/'Raw Values'!$AD5))</f>
        <v>25.11855509</v>
      </c>
      <c r="Z5" s="41">
        <f>('Raw Values'!$U5+Y5)*(0.1^('Raw Values'!$E5/'Raw Values'!$AD5))</f>
        <v>25.11877998</v>
      </c>
      <c r="AA5" s="41"/>
      <c r="AB5" s="41"/>
      <c r="AC5" s="41"/>
      <c r="AD5" s="41"/>
      <c r="AE5" s="41"/>
      <c r="AF5" s="41"/>
      <c r="AG5" s="41"/>
      <c r="AH5" s="41"/>
      <c r="AI5" s="41"/>
      <c r="AJ5" s="41"/>
    </row>
    <row r="6" ht="15.75" customHeight="1">
      <c r="A6" s="66" t="s">
        <v>124</v>
      </c>
      <c r="B6" s="32">
        <f>'Raw Values'!E6</f>
        <v>0.15</v>
      </c>
      <c r="C6" s="34">
        <f>'Raw Values'!U6</f>
        <v>56</v>
      </c>
      <c r="D6" s="43">
        <f>'Raw Values'!AC6</f>
        <v>0.2</v>
      </c>
      <c r="E6" s="43">
        <f>'Raw Values'!AD6</f>
        <v>0.33</v>
      </c>
      <c r="F6" s="130"/>
      <c r="G6" s="39">
        <v>0.0</v>
      </c>
      <c r="H6" s="41">
        <f>('Raw Values'!$U6)*(0.1^('Raw Values'!$E6/Analysis!$J6))</f>
        <v>12.14706101</v>
      </c>
      <c r="I6" s="41">
        <f>('Raw Values'!$U6+H6)*(0.1^('Raw Values'!$E6/Analysis!$K6))</f>
        <v>17.30649158</v>
      </c>
      <c r="J6" s="41">
        <f>('Raw Values'!$U6+I6)*(0.1^('Raw Values'!$E6/Analysis!$L6))</f>
        <v>21.16284687</v>
      </c>
      <c r="K6" s="41">
        <f>('Raw Values'!$U6+J6)*(0.1^('Raw Values'!$E6/Analysis!$M6))</f>
        <v>24.77348982</v>
      </c>
      <c r="L6" s="41">
        <f>('Raw Values'!$U6+K6)*(0.1^('Raw Values'!$E6/'Raw Values'!$AD6))</f>
        <v>28.36112098</v>
      </c>
      <c r="M6" s="41">
        <f>('Raw Values'!$U6+L6)*(0.1^('Raw Values'!$E6/'Raw Values'!$AD6))</f>
        <v>29.62080707</v>
      </c>
      <c r="N6" s="41">
        <f>('Raw Values'!$U6+M6)*(0.1^('Raw Values'!$E6/'Raw Values'!$AD6))</f>
        <v>30.06310701</v>
      </c>
      <c r="O6" s="41">
        <f>('Raw Values'!$U6+N6)*(0.1^('Raw Values'!$E6/'Raw Values'!$AD6))</f>
        <v>30.21840699</v>
      </c>
      <c r="P6" s="41">
        <f>('Raw Values'!$U6+O6)*(0.1^('Raw Values'!$E6/'Raw Values'!$AD6))</f>
        <v>30.2729358</v>
      </c>
      <c r="Q6" s="41">
        <f>('Raw Values'!$U6+P6)*(0.1^('Raw Values'!$E6/'Raw Values'!$AD6))</f>
        <v>30.29208191</v>
      </c>
      <c r="R6" s="41">
        <f>('Raw Values'!$U6+Q6)*(0.1^('Raw Values'!$E6/'Raw Values'!$AD6))</f>
        <v>30.29880447</v>
      </c>
      <c r="S6" s="41">
        <f>('Raw Values'!$U6+R6)*(0.1^('Raw Values'!$E6/'Raw Values'!$AD6))</f>
        <v>30.30116489</v>
      </c>
      <c r="T6" s="41">
        <f>('Raw Values'!$U6+S6)*(0.1^('Raw Values'!$E6/'Raw Values'!$AD6))</f>
        <v>30.30199368</v>
      </c>
      <c r="U6" s="41">
        <f>('Raw Values'!$U6+T6)*(0.1^('Raw Values'!$E6/'Raw Values'!$AD6))</f>
        <v>30.30228469</v>
      </c>
      <c r="V6" s="41">
        <f>('Raw Values'!$U6+U6)*(0.1^('Raw Values'!$E6/'Raw Values'!$AD6))</f>
        <v>30.30238686</v>
      </c>
      <c r="W6" s="41">
        <f>('Raw Values'!$U6+V6)*(0.1^('Raw Values'!$E6/'Raw Values'!$AD6))</f>
        <v>30.30242274</v>
      </c>
      <c r="X6" s="41">
        <f>('Raw Values'!$U6+W6)*(0.1^('Raw Values'!$E6/'Raw Values'!$AD6))</f>
        <v>30.30243534</v>
      </c>
      <c r="Y6" s="41">
        <f>('Raw Values'!$U6+X6)*(0.1^('Raw Values'!$E6/'Raw Values'!$AD6))</f>
        <v>30.30243976</v>
      </c>
      <c r="Z6" s="41">
        <f>('Raw Values'!$U6+Y6)*(0.1^('Raw Values'!$E6/'Raw Values'!$AD6))</f>
        <v>30.30244131</v>
      </c>
      <c r="AA6" s="41"/>
      <c r="AB6" s="41"/>
      <c r="AC6" s="41"/>
      <c r="AD6" s="41"/>
      <c r="AE6" s="41"/>
      <c r="AF6" s="41"/>
      <c r="AG6" s="41"/>
      <c r="AH6" s="41"/>
      <c r="AI6" s="41"/>
      <c r="AJ6" s="41"/>
    </row>
    <row r="7" ht="15.75" customHeight="1">
      <c r="A7" s="61" t="s">
        <v>125</v>
      </c>
      <c r="B7" s="32">
        <f>'Raw Values'!E7</f>
        <v>0.17</v>
      </c>
      <c r="C7" s="34">
        <f>'Raw Values'!U7</f>
        <v>50</v>
      </c>
      <c r="D7" s="43">
        <f>'Raw Values'!AC7</f>
        <v>0.349532</v>
      </c>
      <c r="E7" s="43" t="s">
        <v>209</v>
      </c>
      <c r="F7" s="130"/>
      <c r="G7" s="39">
        <v>0.0</v>
      </c>
      <c r="H7" s="41">
        <f>('Raw Values'!$U7)*(0.1^('Raw Values'!$E7/'Raw Values'!$AC7))</f>
        <v>16.31568754</v>
      </c>
      <c r="I7" s="41">
        <f>('Raw Values'!$U7+H7)*(0.1^('Raw Values'!$E7/'Raw Values'!$AC7))</f>
        <v>21.63972074</v>
      </c>
      <c r="J7" s="41">
        <f>('Raw Values'!$U7+I7)*(0.1^('Raw Values'!$E7/'Raw Values'!$AC7))</f>
        <v>23.37702598</v>
      </c>
      <c r="K7" s="41">
        <f>('Raw Values'!$U7+J7)*(0.1^('Raw Values'!$E7/Analysis!$M7))</f>
        <v>23.94393257</v>
      </c>
      <c r="L7" s="41">
        <f>('Raw Values'!$U7+K7)*(0.1^('Raw Values'!$E7/Analysis!$N7))</f>
        <v>24.12892199</v>
      </c>
      <c r="M7" s="41">
        <f>('Raw Values'!$U7+L7)*(0.1^('Raw Values'!$E7/Analysis!$O7))</f>
        <v>24.18928658</v>
      </c>
      <c r="N7" s="41">
        <f>('Raw Values'!$U7+M7)*(0.1^('Raw Values'!$E7/Analysis!$P7))</f>
        <v>24.20898438</v>
      </c>
      <c r="O7" s="41">
        <f>('Raw Values'!$U7+N7)*(0.1^('Raw Values'!$E7/Analysis!$Q7))</f>
        <v>24.21541204</v>
      </c>
      <c r="P7" s="41">
        <f>('Raw Values'!$U7+O7)*(0.1^('Raw Values'!$E7/Analysis!$R7))</f>
        <v>24.21750947</v>
      </c>
      <c r="Q7" s="41">
        <f>('Raw Values'!$U7+P7)*(0.1^('Raw Values'!$E7/'Raw Values'!$AD7))</f>
        <v>24.21819389</v>
      </c>
      <c r="R7" s="41">
        <f>('Raw Values'!$U7+Q7)*(0.1^('Raw Values'!$E7/'Raw Values'!$AD7))</f>
        <v>24.21841723</v>
      </c>
      <c r="S7" s="41">
        <f>('Raw Values'!$U7+R7)*(0.1^('Raw Values'!$E7/'Raw Values'!$AD7))</f>
        <v>24.21849011</v>
      </c>
      <c r="T7" s="41"/>
      <c r="U7" s="41"/>
      <c r="V7" s="41"/>
      <c r="W7" s="41"/>
      <c r="X7" s="41"/>
      <c r="Y7" s="41"/>
      <c r="Z7" s="41"/>
      <c r="AA7" s="41"/>
      <c r="AB7" s="41"/>
      <c r="AC7" s="41"/>
      <c r="AD7" s="41"/>
      <c r="AE7" s="41"/>
      <c r="AF7" s="41"/>
      <c r="AG7" s="41"/>
      <c r="AH7" s="41"/>
      <c r="AI7" s="41"/>
      <c r="AJ7" s="41"/>
    </row>
    <row r="8" ht="15.75" customHeight="1">
      <c r="A8" s="61" t="s">
        <v>127</v>
      </c>
      <c r="B8" s="32">
        <f>'Raw Values'!E8</f>
        <v>0.17</v>
      </c>
      <c r="C8" s="34">
        <f>'Raw Values'!AK8</f>
        <v>52</v>
      </c>
      <c r="D8" s="43">
        <f>'Raw Values'!AC8</f>
        <v>0.349532</v>
      </c>
      <c r="E8" s="43" t="s">
        <v>209</v>
      </c>
      <c r="F8" s="130"/>
      <c r="G8" s="39">
        <v>0.0</v>
      </c>
      <c r="H8" s="41">
        <f>('Raw Values'!$AK8)*(0.1^('Raw Values'!$E8/'Raw Values'!$AC8))</f>
        <v>16.96831504</v>
      </c>
      <c r="I8" s="41">
        <f>('Raw Values'!$AK8+H8)*(0.1^('Raw Values'!$E8/'Raw Values'!$AC8))</f>
        <v>22.50530957</v>
      </c>
      <c r="J8" s="41">
        <f>('Raw Values'!$AK8+I8)*(0.1^('Raw Values'!$E8/'Raw Values'!$AC8))</f>
        <v>24.31210702</v>
      </c>
      <c r="K8" s="41">
        <f>('Raw Values'!$AK8+J8)*(0.1^('Raw Values'!$E8/Analysis!$M8))</f>
        <v>24.90168988</v>
      </c>
      <c r="L8" s="41">
        <f>('Raw Values'!$AK8+K8)*(0.1^('Raw Values'!$E8/Analysis!$N8))</f>
        <v>25.09407887</v>
      </c>
      <c r="M8" s="41">
        <f>('Raw Values'!$AK8+L8)*(0.1^('Raw Values'!$E8/Analysis!$O8))</f>
        <v>25.15685804</v>
      </c>
      <c r="N8" s="41">
        <f>('Raw Values'!$AK8+M8)*(0.1^('Raw Values'!$E8/Analysis!$P8))</f>
        <v>25.17734375</v>
      </c>
      <c r="O8" s="41">
        <f>('Raw Values'!$AK8+N8)*(0.1^('Raw Values'!$E8/Analysis!$Q8))</f>
        <v>25.18402852</v>
      </c>
      <c r="P8" s="41">
        <f>('Raw Values'!$AK8+O8)*(0.1^('Raw Values'!$E8/Analysis!$R8))</f>
        <v>25.18620985</v>
      </c>
      <c r="Q8" s="41">
        <f>('Raw Values'!$AK8+P8)*(0.1^('Raw Values'!$E8/'Raw Values'!$AD8))</f>
        <v>25.18692165</v>
      </c>
      <c r="R8" s="41">
        <f>('Raw Values'!$AK8+Q8)*(0.1^('Raw Values'!$E8/'Raw Values'!$AD8))</f>
        <v>25.18715392</v>
      </c>
      <c r="S8" s="41"/>
      <c r="T8" s="41"/>
      <c r="U8" s="41"/>
      <c r="V8" s="41"/>
      <c r="W8" s="41"/>
      <c r="X8" s="41"/>
      <c r="Y8" s="41"/>
      <c r="Z8" s="41"/>
      <c r="AA8" s="41"/>
      <c r="AB8" s="41"/>
      <c r="AC8" s="41"/>
      <c r="AD8" s="41"/>
      <c r="AE8" s="41"/>
      <c r="AF8" s="41"/>
      <c r="AG8" s="41"/>
      <c r="AH8" s="41"/>
      <c r="AI8" s="41"/>
      <c r="AJ8" s="41"/>
    </row>
    <row r="9" ht="15.75" customHeight="1">
      <c r="A9" s="28" t="s">
        <v>129</v>
      </c>
      <c r="B9" s="32">
        <f>'Raw Values'!E9</f>
        <v>0.15</v>
      </c>
      <c r="C9" s="34">
        <f>'Raw Values'!U9</f>
        <v>52.45</v>
      </c>
      <c r="D9" s="43">
        <f>'Raw Values'!AC9</f>
        <v>0.345388</v>
      </c>
      <c r="E9" s="43" t="s">
        <v>209</v>
      </c>
      <c r="F9" s="130"/>
      <c r="G9" s="39">
        <v>0.0</v>
      </c>
      <c r="H9" s="41">
        <f>('Raw Values'!$U9)*(0.1^('Raw Values'!$E9/'Raw Values'!$AC9))</f>
        <v>19.29528988</v>
      </c>
      <c r="I9" s="41">
        <f>('Raw Values'!$U9+H9)*(0.1^('Raw Values'!$E9/'Raw Values'!$AC9))</f>
        <v>26.39363518</v>
      </c>
      <c r="J9" s="41">
        <f>('Raw Values'!$U9+I9)*(0.1^('Raw Values'!$E9/'Raw Values'!$AC9))</f>
        <v>29.00497227</v>
      </c>
      <c r="K9" s="41">
        <f>('Raw Values'!$U9+J9)*(0.1^('Raw Values'!$E9/Analysis!$M9))</f>
        <v>29.96563016</v>
      </c>
      <c r="L9" s="41">
        <f>('Raw Values'!$U9+K9)*(0.1^('Raw Values'!$E9/Analysis!$N9))</f>
        <v>30.31903669</v>
      </c>
      <c r="M9" s="41">
        <f>('Raw Values'!$U9+L9)*(0.1^('Raw Values'!$E9/Analysis!$O9))</f>
        <v>30.44904777</v>
      </c>
      <c r="N9" s="41">
        <f>('Raw Values'!$U9+M9)*(0.1^('Raw Values'!$E9/Analysis!$P9))</f>
        <v>30.49687621</v>
      </c>
      <c r="O9" s="41">
        <f>('Raw Values'!$U9+N9)*(0.1^('Raw Values'!$E9/Analysis!$Q9))</f>
        <v>30.51447132</v>
      </c>
      <c r="P9" s="41">
        <f>('Raw Values'!$U9+O9)*(0.1^('Raw Values'!$E9/Analysis!$R9))</f>
        <v>30.52094421</v>
      </c>
      <c r="Q9" s="41">
        <f>('Raw Values'!$U9+P9)*(0.1^('Raw Values'!$E9/'Raw Values'!$AD9))</f>
        <v>30.52332545</v>
      </c>
      <c r="R9" s="41">
        <f>('Raw Values'!$U9+Q9)*(0.1^('Raw Values'!$E9/'Raw Values'!$AD9))</f>
        <v>30.52420146</v>
      </c>
      <c r="S9" s="41">
        <f>('Raw Values'!$U9+R9)*(0.1^('Raw Values'!$E9/'Raw Values'!$AD9))</f>
        <v>30.52452373</v>
      </c>
      <c r="T9" s="41"/>
      <c r="U9" s="41"/>
      <c r="V9" s="41"/>
      <c r="W9" s="41"/>
      <c r="X9" s="41"/>
      <c r="Y9" s="41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</row>
    <row r="10" ht="15.75" customHeight="1">
      <c r="A10" s="28" t="s">
        <v>131</v>
      </c>
      <c r="B10" s="32">
        <f>'Raw Values'!E10</f>
        <v>0.1</v>
      </c>
      <c r="C10" s="34">
        <f>'Raw Values'!U10</f>
        <v>35</v>
      </c>
      <c r="D10" s="43">
        <f>'Raw Values'!AC10</f>
        <v>0.2425</v>
      </c>
      <c r="E10" s="43">
        <f>'Raw Values'!AD10</f>
        <v>0.345388</v>
      </c>
      <c r="F10" s="130"/>
      <c r="G10" s="39">
        <v>0.0</v>
      </c>
      <c r="H10" s="41">
        <f>('Raw Values'!$U10)*(0.1^('Raw Values'!$E10/'Raw Values'!$AC10))</f>
        <v>13.54243969</v>
      </c>
      <c r="I10" s="41">
        <f>('Raw Values'!$U10+H10)*(0.1^('Raw Values'!$E10/'Raw Values'!$AC10))</f>
        <v>18.78237321</v>
      </c>
      <c r="J10" s="41">
        <f>('Raw Values'!$U10+I10)*(0.1^('Raw Values'!$E10/'Raw Values'!$AC10))</f>
        <v>20.80984417</v>
      </c>
      <c r="K10" s="41">
        <f>('Raw Values'!$U10+J10)*(0.1^('Raw Values'!$E10/Analysis!$M10))</f>
        <v>22.79847144</v>
      </c>
      <c r="L10" s="41">
        <f>('Raw Values'!$U10+K10)*(0.1^('Raw Values'!$E10/Analysis!$N10))</f>
        <v>24.78160569</v>
      </c>
      <c r="M10" s="41">
        <f>('Raw Values'!$U10+L10)*(0.1^('Raw Values'!$E10/Analysis!$O10))</f>
        <v>26.76966654</v>
      </c>
      <c r="N10" s="41">
        <f>('Raw Values'!$U10+M10)*(0.1^('Raw Values'!$E10/Analysis!$P10))</f>
        <v>28.76554337</v>
      </c>
      <c r="O10" s="41">
        <f>('Raw Values'!$U10+N10)*(0.1^('Raw Values'!$E10/Analysis!$Q10))</f>
        <v>30.76959533</v>
      </c>
      <c r="P10" s="41">
        <f>('Raw Values'!$U10+O10)*(0.1^('Raw Values'!$E10/Analysis!$R10))</f>
        <v>32.78135434</v>
      </c>
      <c r="Q10" s="41">
        <f>('Raw Values'!$U10+P10)*(0.1^('Raw Values'!$E10/'Raw Values'!$AD10))</f>
        <v>34.80012352</v>
      </c>
      <c r="R10" s="41">
        <f>('Raw Values'!$U10+Q10)*(0.1^('Raw Values'!$E10/'Raw Values'!$AD10))</f>
        <v>35.83659466</v>
      </c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</row>
    <row r="11" ht="15.75" customHeight="1">
      <c r="A11" s="66" t="s">
        <v>132</v>
      </c>
      <c r="B11" s="32">
        <f>'Raw Values'!E11</f>
        <v>0.12</v>
      </c>
      <c r="C11" s="34">
        <f>'Raw Values'!U11</f>
        <v>95</v>
      </c>
      <c r="D11" s="43">
        <f>'Raw Values'!AC11</f>
        <v>0.345</v>
      </c>
      <c r="E11" s="43">
        <f>'Raw Values'!AD11</f>
        <v>0.386834</v>
      </c>
      <c r="F11" s="130"/>
      <c r="G11" s="39">
        <v>0.0</v>
      </c>
      <c r="H11" s="41">
        <f>('Raw Values'!$U11)*(0.1^('Raw Values'!$E11/'Raw Values'!$AC11))</f>
        <v>42.64788695</v>
      </c>
      <c r="I11" s="41">
        <f>('Raw Values'!$U11+H11)*(0.1^('Raw Values'!$E11/'Raw Values'!$AC11))</f>
        <v>61.79359497</v>
      </c>
      <c r="J11" s="41">
        <f>('Raw Values'!$U11+I11)*(0.1^('Raw Values'!$E11/'Raw Values'!$AC11))</f>
        <v>70.38858435</v>
      </c>
      <c r="K11" s="41">
        <f>('Raw Values'!$U11+J11)*(0.1^('Raw Values'!$E11/Analysis!$M11))</f>
        <v>75.26656362</v>
      </c>
      <c r="L11" s="41">
        <f>('Raw Values'!$U11+K11)*(0.1^('Raw Values'!$E11/Analysis!$N11))</f>
        <v>78.51456969</v>
      </c>
      <c r="M11" s="41">
        <f>('Raw Values'!$U11+L11)*(0.1^('Raw Values'!$E11/Analysis!$O11))</f>
        <v>81.03873138</v>
      </c>
      <c r="N11" s="41">
        <f>('Raw Values'!$U11+M11)*(0.1^('Raw Values'!$E11/Analysis!$P11))</f>
        <v>83.23794661</v>
      </c>
      <c r="O11" s="41">
        <f>('Raw Values'!$U11+N11)*(0.1^('Raw Values'!$E11/Analysis!$Q11))</f>
        <v>85.29016553</v>
      </c>
      <c r="P11" s="41">
        <f>('Raw Values'!$U11+O11)*(0.1^('Raw Values'!$E11/Analysis!$R11))</f>
        <v>87.27578033</v>
      </c>
      <c r="Q11" s="41">
        <f>('Raw Values'!$U11+P11)*(0.1^('Raw Values'!$E11/'Raw Values'!$AD11))</f>
        <v>89.23153929</v>
      </c>
      <c r="R11" s="41">
        <f>('Raw Values'!$U11+Q11)*(0.1^('Raw Values'!$E11/'Raw Values'!$AD11))</f>
        <v>90.18896426</v>
      </c>
      <c r="S11" s="41">
        <f>('Raw Values'!$U11+R11)*(0.1^('Raw Values'!$E11/'Raw Values'!$AD11))</f>
        <v>90.65766341</v>
      </c>
      <c r="T11" s="41">
        <f>('Raw Values'!$U11+S11)*(0.1^('Raw Values'!$E11/'Raw Values'!$AD11))</f>
        <v>90.88711104</v>
      </c>
      <c r="U11" s="41">
        <f>('Raw Values'!$U11+T11)*(0.1^('Raw Values'!$E11/'Raw Values'!$AD11))</f>
        <v>90.99943516</v>
      </c>
      <c r="V11" s="41">
        <f>('Raw Values'!$U11+U11)*(0.1^('Raw Values'!$E11/'Raw Values'!$AD11))</f>
        <v>91.05442246</v>
      </c>
      <c r="W11" s="41">
        <f>('Raw Values'!$U11+V11)*(0.1^('Raw Values'!$E11/'Raw Values'!$AD11))</f>
        <v>91.08134102</v>
      </c>
      <c r="X11" s="41">
        <f>('Raw Values'!$U11+W11)*(0.1^('Raw Values'!$E11/'Raw Values'!$AD11))</f>
        <v>91.09451877</v>
      </c>
      <c r="Y11" s="41"/>
      <c r="Z11" s="41"/>
      <c r="AA11" s="41"/>
      <c r="AB11" s="41"/>
      <c r="AC11" s="41"/>
      <c r="AD11" s="41"/>
      <c r="AE11" s="41"/>
      <c r="AF11" s="41"/>
      <c r="AG11" s="41"/>
      <c r="AH11" s="41"/>
      <c r="AI11" s="41"/>
      <c r="AJ11" s="41"/>
    </row>
    <row r="12" ht="15.75" customHeight="1">
      <c r="A12" s="75"/>
      <c r="B12" s="77"/>
      <c r="C12" s="131"/>
      <c r="D12" s="132"/>
      <c r="E12" s="132"/>
      <c r="F12" s="133"/>
      <c r="G12" s="79"/>
      <c r="H12" s="79"/>
      <c r="I12" s="79"/>
      <c r="J12" s="79"/>
      <c r="K12" s="79"/>
      <c r="L12" s="79"/>
      <c r="M12" s="79"/>
      <c r="N12" s="79"/>
      <c r="O12" s="134"/>
      <c r="P12" s="134"/>
      <c r="Q12" s="134"/>
      <c r="R12" s="134"/>
      <c r="S12" s="134"/>
      <c r="T12" s="134"/>
      <c r="U12" s="134"/>
      <c r="V12" s="134"/>
      <c r="W12" s="134"/>
      <c r="X12" s="134"/>
      <c r="Y12" s="134"/>
      <c r="Z12" s="134"/>
      <c r="AA12" s="134"/>
      <c r="AB12" s="134"/>
      <c r="AC12" s="134"/>
      <c r="AD12" s="134"/>
      <c r="AE12" s="134"/>
      <c r="AF12" s="134"/>
      <c r="AG12" s="134"/>
      <c r="AH12" s="134"/>
      <c r="AI12" s="134"/>
      <c r="AJ12" s="134"/>
    </row>
    <row r="13" ht="15.75" customHeight="1">
      <c r="A13" s="5" t="s">
        <v>135</v>
      </c>
      <c r="B13" s="11" t="s">
        <v>19</v>
      </c>
      <c r="C13" s="9" t="s">
        <v>204</v>
      </c>
      <c r="D13" s="21" t="s">
        <v>205</v>
      </c>
      <c r="E13" s="21" t="s">
        <v>206</v>
      </c>
      <c r="F13" s="125"/>
      <c r="G13" s="127">
        <v>1.0</v>
      </c>
      <c r="H13" s="127">
        <v>2.0</v>
      </c>
      <c r="I13" s="127">
        <v>3.0</v>
      </c>
      <c r="J13" s="127">
        <v>4.0</v>
      </c>
      <c r="K13" s="127">
        <v>5.0</v>
      </c>
      <c r="L13" s="127">
        <v>6.0</v>
      </c>
      <c r="M13" s="127">
        <v>7.0</v>
      </c>
      <c r="N13" s="127">
        <v>8.0</v>
      </c>
      <c r="O13" s="135"/>
      <c r="P13" s="136"/>
      <c r="Q13" s="136"/>
      <c r="R13" s="136"/>
      <c r="S13" s="136"/>
      <c r="T13" s="136"/>
      <c r="U13" s="136"/>
      <c r="V13" s="136"/>
      <c r="W13" s="136"/>
      <c r="X13" s="136"/>
      <c r="Y13" s="136"/>
      <c r="Z13" s="136"/>
      <c r="AA13" s="136"/>
      <c r="AB13" s="136"/>
      <c r="AC13" s="136"/>
      <c r="AD13" s="136"/>
      <c r="AE13" s="136"/>
      <c r="AF13" s="136"/>
      <c r="AG13" s="136"/>
      <c r="AH13" s="136"/>
      <c r="AI13" s="136"/>
      <c r="AJ13" s="136"/>
    </row>
    <row r="14" ht="15.75" customHeight="1">
      <c r="A14" s="61" t="s">
        <v>137</v>
      </c>
      <c r="B14" s="32">
        <f>'Raw Values'!E14</f>
        <v>0.85</v>
      </c>
      <c r="C14" s="34">
        <f>'Raw Values'!U14</f>
        <v>11.19</v>
      </c>
      <c r="D14" s="43">
        <f>'Raw Values'!AC14</f>
        <v>0.399729</v>
      </c>
      <c r="E14" s="43" t="s">
        <v>209</v>
      </c>
      <c r="F14" s="130"/>
      <c r="G14" s="39">
        <v>0.0</v>
      </c>
      <c r="H14" s="41">
        <f>('Raw Values'!$U14)*(0.1^('Raw Values'!$E14/'Raw Values'!$AC14))</f>
        <v>0.08363526224</v>
      </c>
      <c r="I14" s="41">
        <f>('Raw Values'!$U14+H14)*(0.1^('Raw Values'!$E14/'Raw Values'!$AC14))</f>
        <v>0.08426036117</v>
      </c>
      <c r="J14" s="41">
        <f>('Raw Values'!$U14+I14)*(0.1^('Raw Values'!$E14/Analysis!$L14))</f>
        <v>0.08426503323</v>
      </c>
      <c r="K14" s="41">
        <f>('Raw Values'!$U14+J14)*(0.1^('Raw Values'!$E14/Analysis!$M14))</f>
        <v>0.08426506815</v>
      </c>
      <c r="L14" s="41"/>
      <c r="M14" s="41"/>
      <c r="N14" s="41"/>
      <c r="O14" s="137"/>
      <c r="P14" s="131"/>
      <c r="Q14" s="131"/>
      <c r="R14" s="138"/>
      <c r="S14" s="131"/>
      <c r="T14" s="131"/>
      <c r="U14" s="131"/>
      <c r="V14" s="131"/>
      <c r="W14" s="131"/>
      <c r="X14" s="131"/>
      <c r="Y14" s="131"/>
      <c r="Z14" s="131"/>
      <c r="AA14" s="131"/>
      <c r="AB14" s="131"/>
      <c r="AC14" s="131"/>
      <c r="AD14" s="131"/>
      <c r="AE14" s="131"/>
      <c r="AF14" s="131"/>
      <c r="AG14" s="131"/>
      <c r="AH14" s="131"/>
      <c r="AI14" s="131"/>
      <c r="AJ14" s="131"/>
    </row>
    <row r="15" ht="15.75" customHeight="1">
      <c r="A15" s="28" t="s">
        <v>140</v>
      </c>
      <c r="B15" s="32">
        <f>'Raw Values'!E15</f>
        <v>0.88</v>
      </c>
      <c r="C15" s="34">
        <f>'Raw Values'!U15</f>
        <v>9.72</v>
      </c>
      <c r="D15" s="43">
        <f>'Raw Values'!AC15</f>
        <v>0.460517</v>
      </c>
      <c r="E15" s="43" t="s">
        <v>209</v>
      </c>
      <c r="F15" s="130"/>
      <c r="G15" s="39">
        <v>0.0</v>
      </c>
      <c r="H15" s="41">
        <f>('Raw Values'!$U15)*(0.1^('Raw Values'!$E15/'Raw Values'!$AC15))</f>
        <v>0.1193357227</v>
      </c>
      <c r="I15" s="41">
        <f>('Raw Values'!$U15+H15)*(0.1^('Raw Values'!$E15/'Raw Values'!$AC15))</f>
        <v>0.1208008476</v>
      </c>
      <c r="J15" s="41">
        <f>('Raw Values'!$U15+I15)*(0.1^('Raw Values'!$E15/Analysis!$L15))</f>
        <v>0.1208188355</v>
      </c>
      <c r="K15" s="41">
        <f>('Raw Values'!$U15+J15)*(0.1^('Raw Values'!$E15/Analysis!$M15))</f>
        <v>0.1208190563</v>
      </c>
      <c r="L15" s="41">
        <f>('Raw Values'!$U15+K15)*(0.1^('Raw Values'!$E15/'Raw Values'!$AD15))</f>
        <v>0.120819059</v>
      </c>
      <c r="M15" s="41">
        <f>('Raw Values'!$U15+L15)*(0.1^('Raw Values'!$E15/'Raw Values'!$AD15))</f>
        <v>0.120819059</v>
      </c>
      <c r="N15" s="41">
        <f>('Raw Values'!$U15+M15)*(0.1^('Raw Values'!$E15/'Raw Values'!$AD15))</f>
        <v>0.120819059</v>
      </c>
      <c r="O15" s="137"/>
      <c r="P15" s="131"/>
      <c r="Q15" s="139"/>
      <c r="R15" s="138"/>
      <c r="S15" s="131"/>
      <c r="T15" s="131"/>
      <c r="U15" s="131"/>
      <c r="V15" s="131"/>
      <c r="W15" s="131"/>
      <c r="X15" s="131"/>
      <c r="Y15" s="131"/>
      <c r="Z15" s="131"/>
      <c r="AA15" s="131"/>
      <c r="AB15" s="131"/>
      <c r="AC15" s="131"/>
      <c r="AD15" s="131"/>
      <c r="AE15" s="131"/>
      <c r="AF15" s="131"/>
      <c r="AG15" s="131"/>
      <c r="AH15" s="131"/>
      <c r="AI15" s="131"/>
      <c r="AJ15" s="131"/>
    </row>
    <row r="16" ht="15.75" customHeight="1">
      <c r="A16" s="66" t="s">
        <v>142</v>
      </c>
      <c r="B16" s="32">
        <f>'Raw Values'!E16</f>
        <v>0.85</v>
      </c>
      <c r="C16" s="34">
        <f>'Raw Values'!U16</f>
        <v>9.72</v>
      </c>
      <c r="D16" s="43">
        <f>'Raw Values'!AC16</f>
        <v>0.460517</v>
      </c>
      <c r="E16" s="43" t="s">
        <v>209</v>
      </c>
      <c r="F16" s="130"/>
      <c r="G16" s="39">
        <v>0.0</v>
      </c>
      <c r="H16" s="41">
        <f>('Raw Values'!$U16)*(0.1^('Raw Values'!$E16/'Raw Values'!$AC16))</f>
        <v>0.1386483298</v>
      </c>
      <c r="I16" s="41">
        <f>('Raw Values'!$U16+H16)*(0.1^('Raw Values'!$E16/'Raw Values'!$AC16))</f>
        <v>0.1406260417</v>
      </c>
      <c r="J16" s="41">
        <f>('Raw Values'!$U16+I16)*(0.1^('Raw Values'!$E16/Analysis!$L16))</f>
        <v>0.1406542522</v>
      </c>
      <c r="K16" s="41">
        <f>('Raw Values'!$U16+J16)*(0.1^('Raw Values'!$E16/Analysis!$M16))</f>
        <v>0.1406546546</v>
      </c>
      <c r="L16" s="41">
        <f>('Raw Values'!$U16+K16)*(0.1^('Raw Values'!$E16/'Raw Values'!$AD16))</f>
        <v>0.1406546603</v>
      </c>
      <c r="M16" s="41">
        <f>('Raw Values'!$U16+L16)*(0.1^('Raw Values'!$E16/'Raw Values'!$AD16))</f>
        <v>0.1406546604</v>
      </c>
      <c r="N16" s="41"/>
      <c r="O16" s="137"/>
      <c r="P16" s="131"/>
      <c r="Q16" s="131"/>
      <c r="R16" s="131"/>
      <c r="S16" s="131"/>
      <c r="T16" s="131"/>
      <c r="U16" s="131"/>
      <c r="V16" s="131"/>
      <c r="W16" s="131"/>
      <c r="X16" s="131"/>
      <c r="Y16" s="131"/>
      <c r="Z16" s="131"/>
      <c r="AA16" s="131"/>
      <c r="AB16" s="131"/>
      <c r="AC16" s="131"/>
      <c r="AD16" s="131"/>
      <c r="AE16" s="131"/>
      <c r="AF16" s="131"/>
      <c r="AG16" s="131"/>
      <c r="AH16" s="131"/>
      <c r="AI16" s="131"/>
      <c r="AJ16" s="131"/>
    </row>
    <row r="17" ht="15.75" customHeight="1">
      <c r="A17" s="28" t="s">
        <v>143</v>
      </c>
      <c r="B17" s="32">
        <f>'Raw Values'!E17</f>
        <v>0.35</v>
      </c>
      <c r="C17" s="34">
        <f>'Raw Values'!U17</f>
        <v>8.83</v>
      </c>
      <c r="D17" s="43">
        <f>'Raw Values'!AC17</f>
        <v>0.506569</v>
      </c>
      <c r="E17" s="43" t="s">
        <v>209</v>
      </c>
      <c r="F17" s="130"/>
      <c r="G17" s="39">
        <v>0.0</v>
      </c>
      <c r="H17" s="41">
        <f>('Raw Values'!$U17)*(0.1^('Raw Values'!$E17/'Raw Values'!$AC17))</f>
        <v>1.799028508</v>
      </c>
      <c r="I17" s="41">
        <f>('Raw Values'!$U17+H17)*(0.1^('Raw Values'!$E17/'Raw Values'!$AC17))</f>
        <v>2.165563454</v>
      </c>
      <c r="J17" s="41">
        <f>('Raw Values'!$U17+I17)*(0.1^('Raw Values'!$E17/Analysis!$L17))</f>
        <v>2.240241463</v>
      </c>
      <c r="K17" s="41">
        <f>('Raw Values'!$U17+J17)*(0.1^('Raw Values'!$E17/Analysis!$M17))</f>
        <v>2.255456397</v>
      </c>
      <c r="L17" s="41">
        <f>('Raw Values'!$U17+K17)*(0.1^('Raw Values'!$E17/'Raw Values'!$AD17))</f>
        <v>2.258556295</v>
      </c>
      <c r="M17" s="41">
        <f>('Raw Values'!$U17+L17)*(0.1^('Raw Values'!$E17/'Raw Values'!$AD17))</f>
        <v>2.25918787</v>
      </c>
      <c r="N17" s="41"/>
      <c r="O17" s="137"/>
      <c r="P17" s="131"/>
      <c r="Q17" s="131"/>
      <c r="R17" s="131"/>
      <c r="S17" s="131"/>
      <c r="T17" s="131"/>
      <c r="U17" s="131"/>
      <c r="V17" s="131"/>
      <c r="W17" s="131"/>
      <c r="X17" s="131"/>
      <c r="Y17" s="131"/>
      <c r="Z17" s="131"/>
      <c r="AA17" s="131"/>
      <c r="AB17" s="131"/>
      <c r="AC17" s="131"/>
      <c r="AD17" s="131"/>
      <c r="AE17" s="131"/>
      <c r="AF17" s="131"/>
      <c r="AG17" s="131"/>
      <c r="AH17" s="131"/>
      <c r="AI17" s="131"/>
      <c r="AJ17" s="131"/>
    </row>
    <row r="18" ht="15.75" customHeight="1">
      <c r="A18" s="75"/>
      <c r="B18" s="77"/>
      <c r="C18" s="131"/>
      <c r="D18" s="132"/>
      <c r="E18" s="132"/>
      <c r="F18" s="133"/>
      <c r="G18" s="79"/>
      <c r="H18" s="79"/>
      <c r="I18" s="79"/>
      <c r="J18" s="79"/>
      <c r="K18" s="79"/>
      <c r="L18" s="79"/>
      <c r="M18" s="79"/>
      <c r="N18" s="79"/>
      <c r="O18" s="140"/>
      <c r="P18" s="140"/>
      <c r="Q18" s="140"/>
      <c r="R18" s="140"/>
      <c r="S18" s="140"/>
      <c r="T18" s="140"/>
      <c r="U18" s="140"/>
      <c r="V18" s="140"/>
      <c r="W18" s="140"/>
      <c r="X18" s="140"/>
      <c r="Y18" s="140"/>
      <c r="Z18" s="140"/>
      <c r="AA18" s="140"/>
      <c r="AB18" s="140"/>
      <c r="AC18" s="140"/>
      <c r="AD18" s="140"/>
      <c r="AE18" s="140"/>
      <c r="AF18" s="140"/>
      <c r="AG18" s="140"/>
      <c r="AH18" s="140"/>
      <c r="AI18" s="140"/>
      <c r="AJ18" s="140"/>
    </row>
    <row r="19" ht="15.75" customHeight="1">
      <c r="A19" s="5" t="s">
        <v>145</v>
      </c>
      <c r="B19" s="11" t="s">
        <v>19</v>
      </c>
      <c r="C19" s="9" t="s">
        <v>204</v>
      </c>
      <c r="D19" s="21" t="s">
        <v>205</v>
      </c>
      <c r="E19" s="21" t="s">
        <v>206</v>
      </c>
      <c r="F19" s="125"/>
      <c r="G19" s="127">
        <v>1.0</v>
      </c>
      <c r="H19" s="127">
        <v>2.0</v>
      </c>
      <c r="I19" s="127">
        <v>3.0</v>
      </c>
      <c r="J19" s="127">
        <v>4.0</v>
      </c>
      <c r="K19" s="127">
        <v>5.0</v>
      </c>
      <c r="L19" s="127">
        <v>6.0</v>
      </c>
      <c r="M19" s="127">
        <v>7.0</v>
      </c>
      <c r="N19" s="127">
        <v>8.0</v>
      </c>
      <c r="O19" s="127">
        <v>9.0</v>
      </c>
      <c r="P19" s="127">
        <v>10.0</v>
      </c>
      <c r="Q19" s="127">
        <v>11.0</v>
      </c>
      <c r="R19" s="127">
        <v>12.0</v>
      </c>
      <c r="S19" s="127">
        <v>13.0</v>
      </c>
      <c r="T19" s="127">
        <v>14.0</v>
      </c>
      <c r="U19" s="127">
        <v>15.0</v>
      </c>
      <c r="V19" s="127">
        <v>16.0</v>
      </c>
      <c r="W19" s="127">
        <v>17.0</v>
      </c>
      <c r="X19" s="127">
        <v>18.0</v>
      </c>
      <c r="Y19" s="127">
        <v>19.0</v>
      </c>
      <c r="Z19" s="127">
        <v>20.0</v>
      </c>
      <c r="AA19" s="127">
        <v>21.0</v>
      </c>
      <c r="AB19" s="127">
        <v>22.0</v>
      </c>
      <c r="AC19" s="127">
        <v>23.0</v>
      </c>
      <c r="AD19" s="127">
        <v>24.0</v>
      </c>
      <c r="AE19" s="127">
        <v>25.0</v>
      </c>
      <c r="AF19" s="127">
        <v>26.0</v>
      </c>
      <c r="AG19" s="127">
        <v>27.0</v>
      </c>
      <c r="AH19" s="127">
        <v>28.0</v>
      </c>
      <c r="AI19" s="127">
        <v>29.0</v>
      </c>
      <c r="AJ19" s="127">
        <v>30.0</v>
      </c>
    </row>
    <row r="20" ht="15.75" customHeight="1">
      <c r="A20" s="28" t="s">
        <v>147</v>
      </c>
      <c r="B20" s="32">
        <f>'Raw Values'!E20</f>
        <v>0.08</v>
      </c>
      <c r="C20" s="34">
        <f>'Raw Values'!U20</f>
        <v>2.88</v>
      </c>
      <c r="D20" s="43">
        <f>'Raw Values'!AC20</f>
        <v>0.331572</v>
      </c>
      <c r="E20" s="43" t="s">
        <v>209</v>
      </c>
      <c r="F20" s="130"/>
      <c r="G20" s="39">
        <v>0.0</v>
      </c>
      <c r="H20" s="41">
        <f>('Raw Values'!$U20)*(0.1^('Raw Values'!$E20/'Raw Values'!$AC20))</f>
        <v>1.65240915</v>
      </c>
      <c r="I20" s="41">
        <f>('Raw Values'!$U20+H20)*(0.1^('Raw Values'!$E20/'Raw Values'!$AC20))</f>
        <v>2.60048415</v>
      </c>
      <c r="J20" s="41">
        <f>('Raw Values'!$U20+I20)*(0.1^('Raw Values'!$E20/Analysis!$L20))</f>
        <v>3.144445193</v>
      </c>
      <c r="K20" s="41">
        <f>('Raw Values'!$U20+J20)*(0.1^('Raw Values'!$E20/Analysis!$M20))</f>
        <v>3.45654457</v>
      </c>
      <c r="L20" s="41">
        <f>('Raw Values'!$U20+K20)*(0.1^('Raw Values'!$E20/'Raw Values'!$AD20))</f>
        <v>3.635612579</v>
      </c>
      <c r="M20" s="41">
        <f>('Raw Values'!$U20+L20)*(0.1^('Raw Values'!$E20/'Raw Values'!$AD20))</f>
        <v>3.738353418</v>
      </c>
      <c r="N20" s="41">
        <f>('Raw Values'!$U20+M20)*(0.1^('Raw Values'!$E20/'Raw Values'!$AD20))</f>
        <v>3.797301301</v>
      </c>
      <c r="O20" s="41">
        <f>('Raw Values'!$U20+N20)*(0.1^('Raw Values'!$E20/'Raw Values'!$AD20))</f>
        <v>3.831122836</v>
      </c>
      <c r="P20" s="41">
        <f>('Raw Values'!$U20+O20)*(0.1^('Raw Values'!$E20/'Raw Values'!$AD20))</f>
        <v>3.85052805</v>
      </c>
      <c r="Q20" s="41">
        <f>('Raw Values'!$U20+P20)*(0.1^('Raw Values'!$E20/'Raw Values'!$AD20))</f>
        <v>3.861661852</v>
      </c>
      <c r="R20" s="41">
        <f>('Raw Values'!$U20+Q20)*(0.1^('Raw Values'!$E20/'Raw Values'!$AD20))</f>
        <v>3.868049907</v>
      </c>
      <c r="S20" s="41">
        <f>('Raw Values'!$U20+R20)*(0.1^('Raw Values'!$E20/'Raw Values'!$AD20))</f>
        <v>3.871715074</v>
      </c>
      <c r="T20" s="41">
        <f>('Raw Values'!$U20+S20)*(0.1^('Raw Values'!$E20/'Raw Values'!$AD20))</f>
        <v>3.873817975</v>
      </c>
      <c r="U20" s="41">
        <f>('Raw Values'!$U20+T20)*(0.1^('Raw Values'!$E20/'Raw Values'!$AD20))</f>
        <v>3.875024521</v>
      </c>
      <c r="V20" s="41">
        <f>('Raw Values'!$U20+U20)*(0.1^('Raw Values'!$E20/'Raw Values'!$AD20))</f>
        <v>3.875716781</v>
      </c>
      <c r="W20" s="41">
        <f>('Raw Values'!$U20+V20)*(0.1^('Raw Values'!$E20/'Raw Values'!$AD20))</f>
        <v>3.876113967</v>
      </c>
      <c r="X20" s="41">
        <f>('Raw Values'!$U20+W20)*(0.1^('Raw Values'!$E20/'Raw Values'!$AD20))</f>
        <v>3.876341854</v>
      </c>
      <c r="Y20" s="41">
        <f>('Raw Values'!$U20+X20)*(0.1^('Raw Values'!$E20/'Raw Values'!$AD20))</f>
        <v>3.876472604</v>
      </c>
      <c r="Z20" s="41">
        <f>('Raw Values'!$U20+Y20)*(0.1^('Raw Values'!$E20/'Raw Values'!$AD20))</f>
        <v>3.876547623</v>
      </c>
      <c r="AA20" s="41">
        <f>('Raw Values'!$U20+Z20)*(0.1^('Raw Values'!$E20/'Raw Values'!$AD20))</f>
        <v>3.876590665</v>
      </c>
      <c r="AB20" s="41">
        <f>('Raw Values'!$U20+AA20)*(0.1^('Raw Values'!$E20/'Raw Values'!$AD20))</f>
        <v>3.876615361</v>
      </c>
      <c r="AC20" s="41">
        <f>('Raw Values'!$U20+AB20)*(0.1^('Raw Values'!$E20/'Raw Values'!$AD20))</f>
        <v>3.87662953</v>
      </c>
      <c r="AD20" s="41">
        <f>('Raw Values'!$U20+AC20)*(0.1^('Raw Values'!$E20/'Raw Values'!$AD20))</f>
        <v>3.87663766</v>
      </c>
      <c r="AE20" s="41">
        <f>('Raw Values'!$U20+AD20)*(0.1^('Raw Values'!$E20/'Raw Values'!$AD20))</f>
        <v>3.876642324</v>
      </c>
      <c r="AF20" s="41">
        <f>('Raw Values'!$U20+AE20)*(0.1^('Raw Values'!$E20/'Raw Values'!$AD20))</f>
        <v>3.876645</v>
      </c>
      <c r="AG20" s="41">
        <f>('Raw Values'!$U20+AF20)*(0.1^('Raw Values'!$E20/'Raw Values'!$AD20))</f>
        <v>3.876646536</v>
      </c>
      <c r="AH20" s="41">
        <f>('Raw Values'!$U20+AG20)*(0.1^('Raw Values'!$E20/'Raw Values'!$AD20))</f>
        <v>3.876647417</v>
      </c>
      <c r="AI20" s="41">
        <f>('Raw Values'!$U20+AH20)*(0.1^('Raw Values'!$E20/'Raw Values'!$AD20))</f>
        <v>3.876647922</v>
      </c>
      <c r="AJ20" s="41">
        <f>('Raw Values'!$U20+AI20)*(0.1^('Raw Values'!$E20/'Raw Values'!$AD20))</f>
        <v>3.876648212</v>
      </c>
    </row>
    <row r="21" ht="15.75" customHeight="1">
      <c r="A21" s="66" t="s">
        <v>150</v>
      </c>
      <c r="B21" s="32">
        <f>'Raw Values'!E21</f>
        <v>0.075</v>
      </c>
      <c r="C21" s="34">
        <f>'Raw Values'!U21</f>
        <v>4.76</v>
      </c>
      <c r="D21" s="43">
        <f>'Raw Values'!AC21</f>
        <v>0.399729</v>
      </c>
      <c r="E21" s="43" t="s">
        <v>209</v>
      </c>
      <c r="F21" s="130"/>
      <c r="G21" s="39">
        <v>0.0</v>
      </c>
      <c r="H21" s="41">
        <f>('Raw Values'!$U21)*(0.1^('Raw Values'!$E21/'Raw Values'!$AC21))</f>
        <v>3.090151951</v>
      </c>
      <c r="I21" s="41">
        <f>('Raw Values'!$U21+H21)*(0.1^('Raw Values'!$E21/'Raw Values'!$AC21))</f>
        <v>5.096252598</v>
      </c>
      <c r="J21" s="41">
        <f>('Raw Values'!$U21+I21)*(0.1^('Raw Values'!$E21/Analysis!$L21))</f>
        <v>6.398596259</v>
      </c>
      <c r="K21" s="41">
        <f>('Raw Values'!$U21+J21)*(0.1^('Raw Values'!$E21/Analysis!$M21))</f>
        <v>7.244066807</v>
      </c>
      <c r="L21" s="41">
        <f>('Raw Values'!$U21+K21)*(0.1^('Raw Values'!$E21/'Raw Values'!$AD21))</f>
        <v>7.792939172</v>
      </c>
      <c r="M21" s="41">
        <f>('Raw Values'!$U21+L21)*(0.1^('Raw Values'!$E21/'Raw Values'!$AD21))</f>
        <v>8.149262494</v>
      </c>
      <c r="N21" s="41">
        <f>('Raw Values'!$U21+M21)*(0.1^('Raw Values'!$E21/'Raw Values'!$AD21))</f>
        <v>8.380584597</v>
      </c>
      <c r="O21" s="41">
        <f>('Raw Values'!$U21+N21)*(0.1^('Raw Values'!$E21/'Raw Values'!$AD21))</f>
        <v>8.53075696</v>
      </c>
      <c r="P21" s="41">
        <f>('Raw Values'!$U21+O21)*(0.1^('Raw Values'!$E21/'Raw Values'!$AD21))</f>
        <v>8.628247594</v>
      </c>
      <c r="Q21" s="41">
        <f>('Raw Values'!$U21+P21)*(0.1^('Raw Values'!$E21/'Raw Values'!$AD21))</f>
        <v>8.691537694</v>
      </c>
      <c r="R21" s="41">
        <f>('Raw Values'!$U21+Q21)*(0.1^('Raw Values'!$E21/'Raw Values'!$AD21))</f>
        <v>8.732625094</v>
      </c>
      <c r="S21" s="41">
        <f>('Raw Values'!$U21+R21)*(0.1^('Raw Values'!$E21/'Raw Values'!$AD21))</f>
        <v>8.759298688</v>
      </c>
      <c r="T21" s="41">
        <f>('Raw Values'!$U21+S21)*(0.1^('Raw Values'!$E21/'Raw Values'!$AD21))</f>
        <v>8.776614961</v>
      </c>
      <c r="U21" s="41">
        <f>('Raw Values'!$U21+T21)*(0.1^('Raw Values'!$E21/'Raw Values'!$AD21))</f>
        <v>8.78785654</v>
      </c>
      <c r="V21" s="41">
        <f>('Raw Values'!$U21+U21)*(0.1^('Raw Values'!$E21/'Raw Values'!$AD21))</f>
        <v>8.795154478</v>
      </c>
      <c r="W21" s="41">
        <f>('Raw Values'!$U21+V21)*(0.1^('Raw Values'!$E21/'Raw Values'!$AD21))</f>
        <v>8.799892239</v>
      </c>
      <c r="X21" s="41">
        <f>('Raw Values'!$U21+W21)*(0.1^('Raw Values'!$E21/'Raw Values'!$AD21))</f>
        <v>8.802967953</v>
      </c>
      <c r="Y21" s="41">
        <f>('Raw Values'!$U21+X21)*(0.1^('Raw Values'!$E21/'Raw Values'!$AD21))</f>
        <v>8.80496468</v>
      </c>
      <c r="Z21" s="41">
        <f>('Raw Values'!$U21+Y21)*(0.1^('Raw Values'!$E21/'Raw Values'!$AD21))</f>
        <v>8.806260939</v>
      </c>
      <c r="AA21" s="41">
        <f>('Raw Values'!$U21+Z21)*(0.1^('Raw Values'!$E21/'Raw Values'!$AD21))</f>
        <v>8.80710246</v>
      </c>
      <c r="AB21" s="41">
        <f>('Raw Values'!$U21+AA21)*(0.1^('Raw Values'!$E21/'Raw Values'!$AD21))</f>
        <v>8.807648767</v>
      </c>
      <c r="AC21" s="41">
        <f>('Raw Values'!$U21+AB21)*(0.1^('Raw Values'!$E21/'Raw Values'!$AD21))</f>
        <v>8.808003426</v>
      </c>
      <c r="AD21" s="41">
        <f>('Raw Values'!$U21+AC21)*(0.1^('Raw Values'!$E21/'Raw Values'!$AD21))</f>
        <v>8.808233667</v>
      </c>
      <c r="AE21" s="41">
        <f>('Raw Values'!$U21+AD21)*(0.1^('Raw Values'!$E21/'Raw Values'!$AD21))</f>
        <v>8.808383138</v>
      </c>
      <c r="AF21" s="41">
        <f>('Raw Values'!$U21+AE21)*(0.1^('Raw Values'!$E21/'Raw Values'!$AD21))</f>
        <v>8.808480173</v>
      </c>
      <c r="AG21" s="41">
        <f>('Raw Values'!$U21+AF21)*(0.1^('Raw Values'!$E21/'Raw Values'!$AD21))</f>
        <v>8.808543168</v>
      </c>
      <c r="AH21" s="41">
        <f>('Raw Values'!$U21+AG21)*(0.1^('Raw Values'!$E21/'Raw Values'!$AD21))</f>
        <v>8.808584063</v>
      </c>
      <c r="AI21" s="41">
        <f>('Raw Values'!$U21+AH21)*(0.1^('Raw Values'!$E21/'Raw Values'!$AD21))</f>
        <v>8.808610612</v>
      </c>
      <c r="AJ21" s="41">
        <f>('Raw Values'!$U21+AI21)*(0.1^('Raw Values'!$E21/'Raw Values'!$AD21))</f>
        <v>8.808627847</v>
      </c>
    </row>
    <row r="22" ht="15.75" customHeight="1">
      <c r="A22" s="28" t="s">
        <v>152</v>
      </c>
      <c r="B22" s="32">
        <f>'Raw Values'!E22</f>
        <v>0.08</v>
      </c>
      <c r="C22" s="34">
        <f>'Raw Values'!U22</f>
        <v>2.18</v>
      </c>
      <c r="D22" s="43">
        <f>'Raw Values'!AC22</f>
        <v>0.437491</v>
      </c>
      <c r="E22" s="43" t="s">
        <v>209</v>
      </c>
      <c r="F22" s="130"/>
      <c r="G22" s="39">
        <v>0.0</v>
      </c>
      <c r="H22" s="41">
        <f>('Raw Values'!$U22)*(0.1^('Raw Values'!$E22/'Raw Values'!$AC22))</f>
        <v>1.43085488</v>
      </c>
      <c r="I22" s="41">
        <f>('Raw Values'!$U22+H22)*(0.1^('Raw Values'!$E22/'Raw Values'!$AC22))</f>
        <v>2.370004278</v>
      </c>
      <c r="J22" s="41">
        <f>('Raw Values'!$U22+I22)*(0.1^('Raw Values'!$E22/Analysis!$L22))</f>
        <v>2.986420103</v>
      </c>
      <c r="K22" s="41">
        <f>('Raw Values'!$U22+J22)*(0.1^('Raw Values'!$E22/Analysis!$M22))</f>
        <v>3.39100799</v>
      </c>
      <c r="L22" s="41">
        <f>('Raw Values'!$U22+K22)*(0.1^('Raw Values'!$E22/'Raw Values'!$AD22))</f>
        <v>3.656561453</v>
      </c>
      <c r="M22" s="41">
        <f>('Raw Values'!$U22+L22)*(0.1^('Raw Values'!$E22/'Raw Values'!$AD22))</f>
        <v>3.830858917</v>
      </c>
      <c r="N22" s="41">
        <f>('Raw Values'!$U22+M22)*(0.1^('Raw Values'!$E22/'Raw Values'!$AD22))</f>
        <v>3.945260006</v>
      </c>
      <c r="O22" s="41">
        <f>('Raw Values'!$U22+N22)*(0.1^('Raw Values'!$E22/'Raw Values'!$AD22))</f>
        <v>4.020347785</v>
      </c>
      <c r="P22" s="41">
        <f>('Raw Values'!$U22+O22)*(0.1^('Raw Values'!$E22/'Raw Values'!$AD22))</f>
        <v>4.069632058</v>
      </c>
      <c r="Q22" s="41">
        <f>('Raw Values'!$U22+P22)*(0.1^('Raw Values'!$E22/'Raw Values'!$AD22))</f>
        <v>4.101980059</v>
      </c>
      <c r="R22" s="41">
        <f>('Raw Values'!$U22+Q22)*(0.1^('Raw Values'!$E22/'Raw Values'!$AD22))</f>
        <v>4.123211846</v>
      </c>
      <c r="S22" s="41">
        <f>('Raw Values'!$U22+R22)*(0.1^('Raw Values'!$E22/'Raw Values'!$AD22))</f>
        <v>4.137147445</v>
      </c>
      <c r="T22" s="41">
        <f>('Raw Values'!$U22+S22)*(0.1^('Raw Values'!$E22/'Raw Values'!$AD22))</f>
        <v>4.146294151</v>
      </c>
      <c r="U22" s="41">
        <f>('Raw Values'!$U22+T22)*(0.1^('Raw Values'!$E22/'Raw Values'!$AD22))</f>
        <v>4.152297641</v>
      </c>
      <c r="V22" s="41">
        <f>('Raw Values'!$U22+U22)*(0.1^('Raw Values'!$E22/'Raw Values'!$AD22))</f>
        <v>4.156238065</v>
      </c>
      <c r="W22" s="41">
        <f>('Raw Values'!$U22+V22)*(0.1^('Raw Values'!$E22/'Raw Values'!$AD22))</f>
        <v>4.158824384</v>
      </c>
      <c r="X22" s="41">
        <f>('Raw Values'!$U22+W22)*(0.1^('Raw Values'!$E22/'Raw Values'!$AD22))</f>
        <v>4.160521928</v>
      </c>
      <c r="Y22" s="41">
        <f>('Raw Values'!$U22+X22)*(0.1^('Raw Values'!$E22/'Raw Values'!$AD22))</f>
        <v>4.161636121</v>
      </c>
      <c r="Z22" s="41">
        <f>('Raw Values'!$U22+Y22)*(0.1^('Raw Values'!$E22/'Raw Values'!$AD22))</f>
        <v>4.162367427</v>
      </c>
      <c r="AA22" s="41">
        <f>('Raw Values'!$U22+Z22)*(0.1^('Raw Values'!$E22/'Raw Values'!$AD22))</f>
        <v>4.162847424</v>
      </c>
      <c r="AB22" s="41">
        <f>('Raw Values'!$U22+AA22)*(0.1^('Raw Values'!$E22/'Raw Values'!$AD22))</f>
        <v>4.163162472</v>
      </c>
      <c r="AC22" s="41">
        <f>('Raw Values'!$U22+AB22)*(0.1^('Raw Values'!$E22/'Raw Values'!$AD22))</f>
        <v>4.163369256</v>
      </c>
      <c r="AD22" s="41">
        <f>('Raw Values'!$U22+AC22)*(0.1^('Raw Values'!$E22/'Raw Values'!$AD22))</f>
        <v>4.16350498</v>
      </c>
      <c r="AE22" s="41">
        <f>('Raw Values'!$U22+AD22)*(0.1^('Raw Values'!$E22/'Raw Values'!$AD22))</f>
        <v>4.163594063</v>
      </c>
      <c r="AF22" s="41">
        <f>('Raw Values'!$U22+AE22)*(0.1^('Raw Values'!$E22/'Raw Values'!$AD22))</f>
        <v>4.163652533</v>
      </c>
      <c r="AG22" s="41">
        <f>('Raw Values'!$U22+AF22)*(0.1^('Raw Values'!$E22/'Raw Values'!$AD22))</f>
        <v>4.16369091</v>
      </c>
      <c r="AH22" s="41">
        <f>('Raw Values'!$U22+AG22)*(0.1^('Raw Values'!$E22/'Raw Values'!$AD22))</f>
        <v>4.163716099</v>
      </c>
      <c r="AI22" s="41">
        <f>('Raw Values'!$U22+AH22)*(0.1^('Raw Values'!$E22/'Raw Values'!$AD22))</f>
        <v>4.163732632</v>
      </c>
      <c r="AJ22" s="41">
        <f>('Raw Values'!$U22+AI22)*(0.1^('Raw Values'!$E22/'Raw Values'!$AD22))</f>
        <v>4.163743484</v>
      </c>
    </row>
    <row r="23" ht="15.75" customHeight="1">
      <c r="A23" s="28" t="s">
        <v>154</v>
      </c>
      <c r="B23" s="32">
        <f>'Raw Values'!E23</f>
        <v>0.08</v>
      </c>
      <c r="C23" s="34">
        <f>'Raw Values'!U23</f>
        <v>2.18</v>
      </c>
      <c r="D23" s="43">
        <f>'Raw Values'!AC23</f>
        <v>0.437491</v>
      </c>
      <c r="E23" s="43" t="s">
        <v>209</v>
      </c>
      <c r="F23" s="130"/>
      <c r="G23" s="39">
        <v>0.0</v>
      </c>
      <c r="H23" s="41">
        <f>('Raw Values'!$U23)*(0.1^('Raw Values'!$E23/'Raw Values'!$AC23))</f>
        <v>1.43085488</v>
      </c>
      <c r="I23" s="41">
        <f>('Raw Values'!$U23+H23)*(0.1^('Raw Values'!$E23/'Raw Values'!$AC23))</f>
        <v>2.370004278</v>
      </c>
      <c r="J23" s="41">
        <f>('Raw Values'!$U23+I23)*(0.1^('Raw Values'!$E23/Analysis!$L23))</f>
        <v>2.986420103</v>
      </c>
      <c r="K23" s="41">
        <f>('Raw Values'!$U23+J23)*(0.1^('Raw Values'!$E23/Analysis!$M23))</f>
        <v>3.39100799</v>
      </c>
      <c r="L23" s="41">
        <f>('Raw Values'!$U23+K23)*(0.1^('Raw Values'!$E23/'Raw Values'!$AD23))</f>
        <v>3.656561453</v>
      </c>
      <c r="M23" s="41">
        <f>('Raw Values'!$U23+L23)*(0.1^('Raw Values'!$E23/'Raw Values'!$AD23))</f>
        <v>3.830858917</v>
      </c>
      <c r="N23" s="41">
        <f>('Raw Values'!$U23+M23)*(0.1^('Raw Values'!$E23/'Raw Values'!$AD23))</f>
        <v>3.945260006</v>
      </c>
      <c r="O23" s="41">
        <f>('Raw Values'!$U23+N23)*(0.1^('Raw Values'!$E23/'Raw Values'!$AD23))</f>
        <v>4.020347785</v>
      </c>
      <c r="P23" s="41">
        <f>('Raw Values'!$U23+O23)*(0.1^('Raw Values'!$E23/'Raw Values'!$AD23))</f>
        <v>4.069632058</v>
      </c>
      <c r="Q23" s="41">
        <f>('Raw Values'!$U23+P23)*(0.1^('Raw Values'!$E23/'Raw Values'!$AD23))</f>
        <v>4.101980059</v>
      </c>
      <c r="R23" s="41">
        <f>('Raw Values'!$U23+Q23)*(0.1^('Raw Values'!$E23/'Raw Values'!$AD23))</f>
        <v>4.123211846</v>
      </c>
      <c r="S23" s="41">
        <f>('Raw Values'!$U23+R23)*(0.1^('Raw Values'!$E23/'Raw Values'!$AD23))</f>
        <v>4.137147445</v>
      </c>
      <c r="T23" s="41">
        <f>('Raw Values'!$U23+S23)*(0.1^('Raw Values'!$E23/'Raw Values'!$AD23))</f>
        <v>4.146294151</v>
      </c>
      <c r="U23" s="41">
        <f>('Raw Values'!$U23+T23)*(0.1^('Raw Values'!$E23/'Raw Values'!$AD23))</f>
        <v>4.152297641</v>
      </c>
      <c r="V23" s="41">
        <f>('Raw Values'!$U23+U23)*(0.1^('Raw Values'!$E23/'Raw Values'!$AD23))</f>
        <v>4.156238065</v>
      </c>
      <c r="W23" s="41">
        <f>('Raw Values'!$U23+V23)*(0.1^('Raw Values'!$E23/'Raw Values'!$AD23))</f>
        <v>4.158824384</v>
      </c>
      <c r="X23" s="41">
        <f>('Raw Values'!$U23+W23)*(0.1^('Raw Values'!$E23/'Raw Values'!$AD23))</f>
        <v>4.160521928</v>
      </c>
      <c r="Y23" s="41">
        <f>('Raw Values'!$U23+X23)*(0.1^('Raw Values'!$E23/'Raw Values'!$AD23))</f>
        <v>4.161636121</v>
      </c>
      <c r="Z23" s="41">
        <f>('Raw Values'!$U23+Y23)*(0.1^('Raw Values'!$E23/'Raw Values'!$AD23))</f>
        <v>4.162367427</v>
      </c>
      <c r="AA23" s="41">
        <f>('Raw Values'!$U23+Z23)*(0.1^('Raw Values'!$E23/'Raw Values'!$AD23))</f>
        <v>4.162847424</v>
      </c>
      <c r="AB23" s="41">
        <f>('Raw Values'!$U23+AA23)*(0.1^('Raw Values'!$E23/'Raw Values'!$AD23))</f>
        <v>4.163162472</v>
      </c>
      <c r="AC23" s="41">
        <f>('Raw Values'!$U23+AB23)*(0.1^('Raw Values'!$E23/'Raw Values'!$AD23))</f>
        <v>4.163369256</v>
      </c>
      <c r="AD23" s="41">
        <f>('Raw Values'!$U23+AC23)*(0.1^('Raw Values'!$E23/'Raw Values'!$AD23))</f>
        <v>4.16350498</v>
      </c>
      <c r="AE23" s="41">
        <f>('Raw Values'!$U23+AD23)*(0.1^('Raw Values'!$E23/'Raw Values'!$AD23))</f>
        <v>4.163594063</v>
      </c>
      <c r="AF23" s="41">
        <f>('Raw Values'!$U23+AE23)*(0.1^('Raw Values'!$E23/'Raw Values'!$AD23))</f>
        <v>4.163652533</v>
      </c>
      <c r="AG23" s="41">
        <f>('Raw Values'!$U23+AF23)*(0.1^('Raw Values'!$E23/'Raw Values'!$AD23))</f>
        <v>4.16369091</v>
      </c>
      <c r="AH23" s="41">
        <f>('Raw Values'!$U23+AG23)*(0.1^('Raw Values'!$E23/'Raw Values'!$AD23))</f>
        <v>4.163716099</v>
      </c>
      <c r="AI23" s="41">
        <f>('Raw Values'!$U23+AH23)*(0.1^('Raw Values'!$E23/'Raw Values'!$AD23))</f>
        <v>4.163732632</v>
      </c>
      <c r="AJ23" s="41">
        <f>('Raw Values'!$U23+AI23)*(0.1^('Raw Values'!$E23/'Raw Values'!$AD23))</f>
        <v>4.163743484</v>
      </c>
    </row>
    <row r="24" ht="15.75" customHeight="1">
      <c r="A24" s="61" t="s">
        <v>156</v>
      </c>
      <c r="B24" s="32">
        <f>'Raw Values'!E24</f>
        <v>0.07</v>
      </c>
      <c r="C24" s="34">
        <f>'Raw Values'!U24</f>
        <v>3.7</v>
      </c>
      <c r="D24" s="43">
        <f>'Raw Values'!AC24</f>
        <v>0.25789</v>
      </c>
      <c r="E24" s="43" t="s">
        <v>209</v>
      </c>
      <c r="F24" s="130"/>
      <c r="G24" s="39">
        <v>0.0</v>
      </c>
      <c r="H24" s="41">
        <f>('Raw Values'!$U24)*(0.1^('Raw Values'!$E24/'Raw Values'!$AC24))</f>
        <v>1.980469539</v>
      </c>
      <c r="I24" s="41">
        <f>('Raw Values'!$U24+H24)*(0.1^('Raw Values'!$E24/'Raw Values'!$AC24))</f>
        <v>3.040539701</v>
      </c>
      <c r="J24" s="41">
        <f>('Raw Values'!$U24+I24)*(0.1^('Raw Values'!$E24/Analysis!$L24))</f>
        <v>3.607955015</v>
      </c>
      <c r="K24" s="41">
        <f>('Raw Values'!$U24+J24)*(0.1^('Raw Values'!$E24/Analysis!$M24))</f>
        <v>3.911670893</v>
      </c>
      <c r="L24" s="41">
        <f>('Raw Values'!$U24+K24)*(0.1^('Raw Values'!$E24/'Raw Values'!$AD24))</f>
        <v>4.074238472</v>
      </c>
      <c r="M24" s="41">
        <f>('Raw Values'!$U24+L24)*(0.1^('Raw Values'!$E24/'Raw Values'!$AD24))</f>
        <v>4.161254726</v>
      </c>
      <c r="N24" s="41">
        <f>('Raw Values'!$U24+M24)*(0.1^('Raw Values'!$E24/'Raw Values'!$AD24))</f>
        <v>4.207831223</v>
      </c>
      <c r="O24" s="41">
        <f>('Raw Values'!$U24+N24)*(0.1^('Raw Values'!$E24/'Raw Values'!$AD24))</f>
        <v>4.232761854</v>
      </c>
      <c r="P24" s="41">
        <f>('Raw Values'!$U24+O24)*(0.1^('Raw Values'!$E24/'Raw Values'!$AD24))</f>
        <v>4.246106274</v>
      </c>
      <c r="Q24" s="41">
        <f>('Raw Values'!$U24+P24)*(0.1^('Raw Values'!$E24/'Raw Values'!$AD24))</f>
        <v>4.253249036</v>
      </c>
      <c r="R24" s="41">
        <f>('Raw Values'!$U24+Q24)*(0.1^('Raw Values'!$E24/'Raw Values'!$AD24))</f>
        <v>4.257072285</v>
      </c>
      <c r="S24" s="41">
        <f>('Raw Values'!$U24+R24)*(0.1^('Raw Values'!$E24/'Raw Values'!$AD24))</f>
        <v>4.259118725</v>
      </c>
      <c r="T24" s="41">
        <f>('Raw Values'!$U24+S24)*(0.1^('Raw Values'!$E24/'Raw Values'!$AD24))</f>
        <v>4.260214107</v>
      </c>
      <c r="U24" s="41">
        <f>('Raw Values'!$U24+T24)*(0.1^('Raw Values'!$E24/'Raw Values'!$AD24))</f>
        <v>4.260800423</v>
      </c>
      <c r="V24" s="41">
        <f>('Raw Values'!$U24+U24)*(0.1^('Raw Values'!$E24/'Raw Values'!$AD24))</f>
        <v>4.261114256</v>
      </c>
      <c r="W24" s="41">
        <f>('Raw Values'!$U24+V24)*(0.1^('Raw Values'!$E24/'Raw Values'!$AD24))</f>
        <v>4.261282239</v>
      </c>
      <c r="X24" s="41">
        <f>('Raw Values'!$U24+W24)*(0.1^('Raw Values'!$E24/'Raw Values'!$AD24))</f>
        <v>4.261372154</v>
      </c>
      <c r="Y24" s="41">
        <f>('Raw Values'!$U24+X24)*(0.1^('Raw Values'!$E24/'Raw Values'!$AD24))</f>
        <v>4.261420282</v>
      </c>
      <c r="Z24" s="41">
        <f>('Raw Values'!$U24+Y24)*(0.1^('Raw Values'!$E24/'Raw Values'!$AD24))</f>
        <v>4.261446043</v>
      </c>
      <c r="AA24" s="41">
        <f>('Raw Values'!$U24+Z24)*(0.1^('Raw Values'!$E24/'Raw Values'!$AD24))</f>
        <v>4.261459832</v>
      </c>
      <c r="AB24" s="41">
        <f>('Raw Values'!$U24+AA24)*(0.1^('Raw Values'!$E24/'Raw Values'!$AD24))</f>
        <v>4.261467212</v>
      </c>
      <c r="AC24" s="41">
        <f>('Raw Values'!$U24+AB24)*(0.1^('Raw Values'!$E24/'Raw Values'!$AD24))</f>
        <v>4.261471163</v>
      </c>
      <c r="AD24" s="41">
        <f>('Raw Values'!$U24+AC24)*(0.1^('Raw Values'!$E24/'Raw Values'!$AD24))</f>
        <v>4.261473278</v>
      </c>
      <c r="AE24" s="41">
        <f>('Raw Values'!$U24+AD24)*(0.1^('Raw Values'!$E24/'Raw Values'!$AD24))</f>
        <v>4.261474409</v>
      </c>
      <c r="AF24" s="41">
        <f>('Raw Values'!$U24+AE24)*(0.1^('Raw Values'!$E24/'Raw Values'!$AD24))</f>
        <v>4.261475015</v>
      </c>
      <c r="AG24" s="41">
        <f>('Raw Values'!$U24+AF24)*(0.1^('Raw Values'!$E24/'Raw Values'!$AD24))</f>
        <v>4.26147534</v>
      </c>
      <c r="AH24" s="41">
        <f>('Raw Values'!$U24+AG24)*(0.1^('Raw Values'!$E24/'Raw Values'!$AD24))</f>
        <v>4.261475513</v>
      </c>
      <c r="AI24" s="41">
        <f>('Raw Values'!$U24+AH24)*(0.1^('Raw Values'!$E24/'Raw Values'!$AD24))</f>
        <v>4.261475606</v>
      </c>
      <c r="AJ24" s="41">
        <f>('Raw Values'!$U24+AI24)*(0.1^('Raw Values'!$E24/'Raw Values'!$AD24))</f>
        <v>4.261475656</v>
      </c>
    </row>
    <row r="25" ht="15.75" customHeight="1">
      <c r="A25" s="28" t="s">
        <v>158</v>
      </c>
      <c r="B25" s="32">
        <f>'Raw Values'!E25</f>
        <v>0.07</v>
      </c>
      <c r="C25" s="34">
        <f>'Raw Values'!U25</f>
        <v>2.85</v>
      </c>
      <c r="D25" s="43">
        <f>'Raw Values'!AC25</f>
        <v>0.372098</v>
      </c>
      <c r="E25" s="43" t="s">
        <v>209</v>
      </c>
      <c r="F25" s="130"/>
      <c r="G25" s="39">
        <v>0.0</v>
      </c>
      <c r="H25" s="41">
        <f>('Raw Values'!$U25)*(0.1^('Raw Values'!$E25/'Raw Values'!$AC25))</f>
        <v>1.848086847</v>
      </c>
      <c r="I25" s="41">
        <f>('Raw Values'!$U25+H25)*(0.1^('Raw Values'!$E25/'Raw Values'!$AC25))</f>
        <v>3.046481582</v>
      </c>
      <c r="J25" s="41">
        <f>('Raw Values'!$U25+I25)*(0.1^('Raw Values'!$E25/Analysis!$L25))</f>
        <v>3.823582476</v>
      </c>
      <c r="K25" s="41">
        <f>('Raw Values'!$U25+J25)*(0.1^('Raw Values'!$E25/Analysis!$M25))</f>
        <v>4.327494735</v>
      </c>
      <c r="L25" s="41">
        <f>('Raw Values'!$U25+K25)*(0.1^('Raw Values'!$E25/'Raw Values'!$AD25))</f>
        <v>4.654257409</v>
      </c>
      <c r="M25" s="41">
        <f>('Raw Values'!$U25+L25)*(0.1^('Raw Values'!$E25/'Raw Values'!$AD25))</f>
        <v>4.866147163</v>
      </c>
      <c r="N25" s="41">
        <f>('Raw Values'!$U25+M25)*(0.1^('Raw Values'!$E25/'Raw Values'!$AD25))</f>
        <v>5.003547397</v>
      </c>
      <c r="O25" s="41">
        <f>('Raw Values'!$U25+N25)*(0.1^('Raw Values'!$E25/'Raw Values'!$AD25))</f>
        <v>5.092644789</v>
      </c>
      <c r="P25" s="41">
        <f>('Raw Values'!$U25+O25)*(0.1^('Raw Values'!$E25/'Raw Values'!$AD25))</f>
        <v>5.150420128</v>
      </c>
      <c r="Q25" s="41">
        <f>('Raw Values'!$U25+P25)*(0.1^('Raw Values'!$E25/'Raw Values'!$AD25))</f>
        <v>5.187884635</v>
      </c>
      <c r="R25" s="41">
        <f>('Raw Values'!$U25+Q25)*(0.1^('Raw Values'!$E25/'Raw Values'!$AD25))</f>
        <v>5.212178552</v>
      </c>
      <c r="S25" s="41">
        <f>('Raw Values'!$U25+R25)*(0.1^('Raw Values'!$E25/'Raw Values'!$AD25))</f>
        <v>5.227931979</v>
      </c>
      <c r="T25" s="41">
        <f>('Raw Values'!$U25+S25)*(0.1^('Raw Values'!$E25/'Raw Values'!$AD25))</f>
        <v>5.238147313</v>
      </c>
      <c r="U25" s="41">
        <f>('Raw Values'!$U25+T25)*(0.1^('Raw Values'!$E25/'Raw Values'!$AD25))</f>
        <v>5.244771462</v>
      </c>
      <c r="V25" s="41">
        <f>('Raw Values'!$U25+U25)*(0.1^('Raw Values'!$E25/'Raw Values'!$AD25))</f>
        <v>5.249066901</v>
      </c>
      <c r="W25" s="41">
        <f>('Raw Values'!$U25+V25)*(0.1^('Raw Values'!$E25/'Raw Values'!$AD25))</f>
        <v>5.251852286</v>
      </c>
      <c r="X25" s="41">
        <f>('Raw Values'!$U25+W25)*(0.1^('Raw Values'!$E25/'Raw Values'!$AD25))</f>
        <v>5.253658472</v>
      </c>
      <c r="Y25" s="41">
        <f>('Raw Values'!$U25+X25)*(0.1^('Raw Values'!$E25/'Raw Values'!$AD25))</f>
        <v>5.254829697</v>
      </c>
      <c r="Z25" s="41">
        <f>('Raw Values'!$U25+Y25)*(0.1^('Raw Values'!$E25/'Raw Values'!$AD25))</f>
        <v>5.255589179</v>
      </c>
      <c r="AA25" s="41">
        <f>('Raw Values'!$U25+Z25)*(0.1^('Raw Values'!$E25/'Raw Values'!$AD25))</f>
        <v>5.256081667</v>
      </c>
      <c r="AB25" s="41">
        <f>('Raw Values'!$U25+AA25)*(0.1^('Raw Values'!$E25/'Raw Values'!$AD25))</f>
        <v>5.256401021</v>
      </c>
      <c r="AC25" s="41">
        <f>('Raw Values'!$U25+AB25)*(0.1^('Raw Values'!$E25/'Raw Values'!$AD25))</f>
        <v>5.256608107</v>
      </c>
      <c r="AD25" s="41">
        <f>('Raw Values'!$U25+AC25)*(0.1^('Raw Values'!$E25/'Raw Values'!$AD25))</f>
        <v>5.256742392</v>
      </c>
      <c r="AE25" s="41">
        <f>('Raw Values'!$U25+AD25)*(0.1^('Raw Values'!$E25/'Raw Values'!$AD25))</f>
        <v>5.256829469</v>
      </c>
      <c r="AF25" s="41">
        <f>('Raw Values'!$U25+AE25)*(0.1^('Raw Values'!$E25/'Raw Values'!$AD25))</f>
        <v>5.256885934</v>
      </c>
      <c r="AG25" s="41">
        <f>('Raw Values'!$U25+AF25)*(0.1^('Raw Values'!$E25/'Raw Values'!$AD25))</f>
        <v>5.256922549</v>
      </c>
      <c r="AH25" s="41">
        <f>('Raw Values'!$U25+AG25)*(0.1^('Raw Values'!$E25/'Raw Values'!$AD25))</f>
        <v>5.256946293</v>
      </c>
      <c r="AI25" s="41">
        <f>('Raw Values'!$U25+AH25)*(0.1^('Raw Values'!$E25/'Raw Values'!$AD25))</f>
        <v>5.256961689</v>
      </c>
      <c r="AJ25" s="41">
        <f>('Raw Values'!$U25+AI25)*(0.1^('Raw Values'!$E25/'Raw Values'!$AD25))</f>
        <v>5.256971673</v>
      </c>
    </row>
    <row r="26" ht="15.75" customHeight="1">
      <c r="A26" s="28" t="s">
        <v>160</v>
      </c>
      <c r="B26" s="32">
        <f>'Raw Values'!E26</f>
        <v>0.09</v>
      </c>
      <c r="C26" s="34">
        <f>'Raw Values'!U26</f>
        <v>3.42</v>
      </c>
      <c r="D26" s="43">
        <f>'Raw Values'!AC26</f>
        <v>0.349993</v>
      </c>
      <c r="E26" s="43" t="s">
        <v>209</v>
      </c>
      <c r="F26" s="130"/>
      <c r="G26" s="39">
        <v>0.0</v>
      </c>
      <c r="H26" s="41">
        <f>('Raw Values'!$U26)*(0.1^('Raw Values'!$E26/'Raw Values'!$AC26))</f>
        <v>1.891812566</v>
      </c>
      <c r="I26" s="41">
        <f>('Raw Values'!$U26+H26)*(0.1^('Raw Values'!$E26/'Raw Values'!$AC26))</f>
        <v>2.938290574</v>
      </c>
      <c r="J26" s="41">
        <f>('Raw Values'!$U26+I26)*(0.1^('Raw Values'!$E26/Analysis!$L26))</f>
        <v>3.517161991</v>
      </c>
      <c r="K26" s="41">
        <f>('Raw Values'!$U26+J26)*(0.1^('Raw Values'!$E26/Analysis!$M26))</f>
        <v>3.837371412</v>
      </c>
      <c r="L26" s="41">
        <f>('Raw Values'!$U26+K26)*(0.1^('Raw Values'!$E26/'Raw Values'!$AD26))</f>
        <v>4.014498958</v>
      </c>
      <c r="M26" s="41">
        <f>('Raw Values'!$U26+L26)*(0.1^('Raw Values'!$E26/'Raw Values'!$AD26))</f>
        <v>4.112479109</v>
      </c>
      <c r="N26" s="41">
        <f>('Raw Values'!$U26+M26)*(0.1^('Raw Values'!$E26/'Raw Values'!$AD26))</f>
        <v>4.166677964</v>
      </c>
      <c r="O26" s="41">
        <f>('Raw Values'!$U26+N26)*(0.1^('Raw Values'!$E26/'Raw Values'!$AD26))</f>
        <v>4.196658687</v>
      </c>
      <c r="P26" s="41">
        <f>('Raw Values'!$U26+O26)*(0.1^('Raw Values'!$E26/'Raw Values'!$AD26))</f>
        <v>4.213242871</v>
      </c>
      <c r="Q26" s="41">
        <f>('Raw Values'!$U26+P26)*(0.1^('Raw Values'!$E26/'Raw Values'!$AD26))</f>
        <v>4.222416604</v>
      </c>
      <c r="R26" s="41">
        <f>('Raw Values'!$U26+Q26)*(0.1^('Raw Values'!$E26/'Raw Values'!$AD26))</f>
        <v>4.227491161</v>
      </c>
      <c r="S26" s="41">
        <f>('Raw Values'!$U26+R26)*(0.1^('Raw Values'!$E26/'Raw Values'!$AD26))</f>
        <v>4.23029821</v>
      </c>
      <c r="T26" s="41">
        <f>('Raw Values'!$U26+S26)*(0.1^('Raw Values'!$E26/'Raw Values'!$AD26))</f>
        <v>4.231850962</v>
      </c>
      <c r="U26" s="41">
        <f>('Raw Values'!$U26+T26)*(0.1^('Raw Values'!$E26/'Raw Values'!$AD26))</f>
        <v>4.232709885</v>
      </c>
      <c r="V26" s="41">
        <f>('Raw Values'!$U26+U26)*(0.1^('Raw Values'!$E26/'Raw Values'!$AD26))</f>
        <v>4.233185008</v>
      </c>
      <c r="W26" s="41">
        <f>('Raw Values'!$U26+V26)*(0.1^('Raw Values'!$E26/'Raw Values'!$AD26))</f>
        <v>4.233447828</v>
      </c>
      <c r="X26" s="41">
        <f>('Raw Values'!$U26+W26)*(0.1^('Raw Values'!$E26/'Raw Values'!$AD26))</f>
        <v>4.23359321</v>
      </c>
      <c r="Y26" s="41">
        <f>('Raw Values'!$U26+X26)*(0.1^('Raw Values'!$E26/'Raw Values'!$AD26))</f>
        <v>4.233673629</v>
      </c>
      <c r="Z26" s="41">
        <f>('Raw Values'!$U26+Y26)*(0.1^('Raw Values'!$E26/'Raw Values'!$AD26))</f>
        <v>4.233718114</v>
      </c>
      <c r="AA26" s="41">
        <f>('Raw Values'!$U26+Z26)*(0.1^('Raw Values'!$E26/'Raw Values'!$AD26))</f>
        <v>4.233742722</v>
      </c>
      <c r="AB26" s="41">
        <f>('Raw Values'!$U26+AA26)*(0.1^('Raw Values'!$E26/'Raw Values'!$AD26))</f>
        <v>4.233756334</v>
      </c>
      <c r="AC26" s="41">
        <f>('Raw Values'!$U26+AB26)*(0.1^('Raw Values'!$E26/'Raw Values'!$AD26))</f>
        <v>4.233763863</v>
      </c>
      <c r="AD26" s="41">
        <f>('Raw Values'!$U26+AC26)*(0.1^('Raw Values'!$E26/'Raw Values'!$AD26))</f>
        <v>4.233768028</v>
      </c>
      <c r="AE26" s="41">
        <f>('Raw Values'!$U26+AD26)*(0.1^('Raw Values'!$E26/'Raw Values'!$AD26))</f>
        <v>4.233770332</v>
      </c>
      <c r="AF26" s="41"/>
      <c r="AG26" s="41"/>
      <c r="AH26" s="41"/>
      <c r="AI26" s="41"/>
      <c r="AJ26" s="41"/>
    </row>
    <row r="27" ht="15.75" customHeight="1">
      <c r="A27" s="75"/>
      <c r="B27" s="77"/>
      <c r="C27" s="79"/>
      <c r="D27" s="132"/>
      <c r="E27" s="132"/>
      <c r="F27" s="133"/>
      <c r="G27" s="79"/>
      <c r="H27" s="79"/>
      <c r="I27" s="79"/>
      <c r="J27" s="34"/>
      <c r="K27" s="79"/>
      <c r="L27" s="79"/>
      <c r="M27" s="79"/>
      <c r="N27" s="79"/>
      <c r="O27" s="79"/>
      <c r="P27" s="79"/>
      <c r="Q27" s="79"/>
      <c r="R27" s="79"/>
      <c r="S27" s="79"/>
      <c r="T27" s="79"/>
      <c r="U27" s="79"/>
      <c r="V27" s="79"/>
      <c r="W27" s="79"/>
      <c r="X27" s="79"/>
      <c r="Y27" s="79"/>
      <c r="Z27" s="79"/>
      <c r="AA27" s="79"/>
      <c r="AB27" s="79"/>
      <c r="AC27" s="79"/>
      <c r="AD27" s="79"/>
      <c r="AE27" s="79"/>
      <c r="AF27" s="79"/>
      <c r="AG27" s="79"/>
      <c r="AH27" s="79"/>
      <c r="AI27" s="79"/>
      <c r="AJ27" s="79"/>
    </row>
    <row r="28" ht="15.75" customHeight="1">
      <c r="A28" s="5" t="s">
        <v>161</v>
      </c>
      <c r="B28" s="11" t="s">
        <v>19</v>
      </c>
      <c r="C28" s="9" t="s">
        <v>204</v>
      </c>
      <c r="D28" s="21" t="s">
        <v>205</v>
      </c>
      <c r="E28" s="21" t="s">
        <v>206</v>
      </c>
      <c r="F28" s="125"/>
      <c r="G28" s="127">
        <v>1.0</v>
      </c>
      <c r="H28" s="127">
        <v>2.0</v>
      </c>
      <c r="I28" s="127">
        <v>3.0</v>
      </c>
      <c r="J28" s="127">
        <v>4.0</v>
      </c>
      <c r="K28" s="127">
        <v>5.0</v>
      </c>
      <c r="L28" s="127">
        <v>6.0</v>
      </c>
      <c r="M28" s="127">
        <v>7.0</v>
      </c>
      <c r="N28" s="127">
        <v>8.0</v>
      </c>
      <c r="O28" s="127">
        <v>9.0</v>
      </c>
      <c r="P28" s="127">
        <v>10.0</v>
      </c>
      <c r="Q28" s="127">
        <v>11.0</v>
      </c>
      <c r="R28" s="127">
        <v>12.0</v>
      </c>
      <c r="S28" s="127">
        <v>13.0</v>
      </c>
      <c r="T28" s="127">
        <v>14.0</v>
      </c>
      <c r="U28" s="127">
        <v>15.0</v>
      </c>
      <c r="V28" s="127">
        <v>16.0</v>
      </c>
      <c r="W28" s="127">
        <v>17.0</v>
      </c>
      <c r="X28" s="127">
        <v>18.0</v>
      </c>
      <c r="Y28" s="127">
        <v>19.0</v>
      </c>
      <c r="Z28" s="127">
        <v>20.0</v>
      </c>
      <c r="AA28" s="127">
        <v>21.0</v>
      </c>
      <c r="AB28" s="127">
        <v>22.0</v>
      </c>
      <c r="AC28" s="127">
        <v>23.0</v>
      </c>
      <c r="AD28" s="127">
        <v>24.0</v>
      </c>
      <c r="AE28" s="127">
        <v>25.0</v>
      </c>
      <c r="AF28" s="127">
        <v>26.0</v>
      </c>
      <c r="AG28" s="127">
        <v>27.0</v>
      </c>
      <c r="AH28" s="127">
        <v>28.0</v>
      </c>
      <c r="AI28" s="127">
        <v>29.0</v>
      </c>
      <c r="AJ28" s="127">
        <v>30.0</v>
      </c>
    </row>
    <row r="29" ht="15.75" customHeight="1">
      <c r="A29" s="66" t="s">
        <v>164</v>
      </c>
      <c r="B29" s="32">
        <f>'Raw Values'!E29</f>
        <v>0.1</v>
      </c>
      <c r="C29" s="34">
        <f>'Raw Values'!U29</f>
        <v>7.8</v>
      </c>
      <c r="D29" s="43">
        <f>'Raw Values'!AC29</f>
        <v>0.368</v>
      </c>
      <c r="E29" s="43">
        <f>'Raw Values'!AD29</f>
        <v>0.506</v>
      </c>
      <c r="F29" s="130"/>
      <c r="G29" s="39">
        <v>0.0</v>
      </c>
      <c r="H29" s="41">
        <f>('Raw Values'!$U29)*(0.1^('Raw Values'!$E29/'Raw Values'!$AC29))</f>
        <v>4.172107329</v>
      </c>
      <c r="I29" s="41">
        <f>('Raw Values'!$U29+H29)*(0.1^('Raw Values'!$E29/'Raw Values'!$AC29))</f>
        <v>6.403707273</v>
      </c>
      <c r="J29" s="41">
        <f>('Raw Values'!$U29+I29)*(0.1^('Raw Values'!$E29/Analysis!$L29))</f>
        <v>8.14433857</v>
      </c>
      <c r="K29" s="41">
        <f>('Raw Values'!$U29+J29)*(0.1^('Raw Values'!$E29/Analysis!$M29))</f>
        <v>9.665296993</v>
      </c>
      <c r="L29" s="41">
        <f>('Raw Values'!$U29+K29)*(0.1^('Raw Values'!$E29/'Raw Values'!$AD29))</f>
        <v>11.08019788</v>
      </c>
      <c r="M29" s="41">
        <f>('Raw Values'!$U29+L29)*(0.1^('Raw Values'!$E29/'Raw Values'!$AD29))</f>
        <v>11.9778283</v>
      </c>
      <c r="N29" s="41">
        <f>('Raw Values'!$U29+M29)*(0.1^('Raw Values'!$E29/'Raw Values'!$AD29))</f>
        <v>12.54729601</v>
      </c>
      <c r="O29" s="41">
        <f>('Raw Values'!$U29+N29)*(0.1^('Raw Values'!$E29/'Raw Values'!$AD29))</f>
        <v>12.90857329</v>
      </c>
      <c r="P29" s="41">
        <f>('Raw Values'!$U29+O29)*(0.1^('Raw Values'!$E29/'Raw Values'!$AD29))</f>
        <v>13.137772</v>
      </c>
      <c r="Q29" s="41">
        <f>('Raw Values'!$U29+P29)*(0.1^('Raw Values'!$E29/'Raw Values'!$AD29))</f>
        <v>13.28317847</v>
      </c>
      <c r="R29" s="41">
        <f>('Raw Values'!$U29+Q29)*(0.1^('Raw Values'!$E29/'Raw Values'!$AD29))</f>
        <v>13.37542611</v>
      </c>
      <c r="S29" s="41">
        <f>('Raw Values'!$U29+R29)*(0.1^('Raw Values'!$E29/'Raw Values'!$AD29))</f>
        <v>13.43394915</v>
      </c>
      <c r="T29" s="41">
        <f>('Raw Values'!$U29+S29)*(0.1^('Raw Values'!$E29/'Raw Values'!$AD29))</f>
        <v>13.47107687</v>
      </c>
      <c r="U29" s="41">
        <f>('Raw Values'!$U29+T29)*(0.1^('Raw Values'!$E29/'Raw Values'!$AD29))</f>
        <v>13.49463115</v>
      </c>
      <c r="V29" s="41">
        <f>('Raw Values'!$U29+U29)*(0.1^('Raw Values'!$E29/'Raw Values'!$AD29))</f>
        <v>13.50957428</v>
      </c>
      <c r="W29" s="41">
        <f>('Raw Values'!$U29+V29)*(0.1^('Raw Values'!$E29/'Raw Values'!$AD29))</f>
        <v>13.51905438</v>
      </c>
      <c r="X29" s="41">
        <f>('Raw Values'!$U29+W29)*(0.1^('Raw Values'!$E29/'Raw Values'!$AD29))</f>
        <v>13.52506867</v>
      </c>
      <c r="Y29" s="41">
        <f>('Raw Values'!$U29+X29)*(0.1^('Raw Values'!$E29/'Raw Values'!$AD29))</f>
        <v>13.52888421</v>
      </c>
      <c r="Z29" s="41">
        <f>('Raw Values'!$U29+Y29)*(0.1^('Raw Values'!$E29/'Raw Values'!$AD29))</f>
        <v>13.53130484</v>
      </c>
      <c r="AA29" s="41">
        <f>('Raw Values'!$U29+Z29)*(0.1^('Raw Values'!$E29/'Raw Values'!$AD29))</f>
        <v>13.53284051</v>
      </c>
      <c r="AB29" s="41">
        <f>('Raw Values'!$U29+AA29)*(0.1^('Raw Values'!$E29/'Raw Values'!$AD29))</f>
        <v>13.53381476</v>
      </c>
      <c r="AC29" s="41">
        <f>('Raw Values'!$U29+AB29)*(0.1^('Raw Values'!$E29/'Raw Values'!$AD29))</f>
        <v>13.53443284</v>
      </c>
      <c r="AD29" s="41">
        <f>('Raw Values'!$U29+AC29)*(0.1^('Raw Values'!$E29/'Raw Values'!$AD29))</f>
        <v>13.53482496</v>
      </c>
      <c r="AE29" s="41">
        <f>('Raw Values'!$U29+AD29)*(0.1^('Raw Values'!$E29/'Raw Values'!$AD29))</f>
        <v>13.53507372</v>
      </c>
      <c r="AF29" s="41">
        <f>('Raw Values'!$U29+AE29)*(0.1^('Raw Values'!$E29/'Raw Values'!$AD29))</f>
        <v>13.53523154</v>
      </c>
      <c r="AG29" s="41">
        <f>('Raw Values'!$U29+AF29)*(0.1^('Raw Values'!$E29/'Raw Values'!$AD29))</f>
        <v>13.53533166</v>
      </c>
      <c r="AH29" s="41">
        <f>('Raw Values'!$U29+AG29)*(0.1^('Raw Values'!$E29/'Raw Values'!$AD29))</f>
        <v>13.53539518</v>
      </c>
      <c r="AI29" s="41">
        <f>('Raw Values'!$U29+AH29)*(0.1^('Raw Values'!$E29/'Raw Values'!$AD29))</f>
        <v>13.53543547</v>
      </c>
      <c r="AJ29" s="41">
        <f>('Raw Values'!$U29+AI29)*(0.1^('Raw Values'!$E29/'Raw Values'!$AD29))</f>
        <v>13.53546104</v>
      </c>
    </row>
    <row r="30" ht="15.75" customHeight="1">
      <c r="A30" s="61" t="s">
        <v>166</v>
      </c>
      <c r="B30" s="32">
        <f>'Raw Values'!E30</f>
        <v>0.1</v>
      </c>
      <c r="C30" s="34">
        <f>'Raw Values'!U30</f>
        <v>7.29</v>
      </c>
      <c r="D30" s="43">
        <f>'Raw Values'!AC30</f>
        <v>0.429727</v>
      </c>
      <c r="E30" s="43" t="s">
        <v>209</v>
      </c>
      <c r="F30" s="130"/>
      <c r="G30" s="39">
        <v>0.0</v>
      </c>
      <c r="H30" s="41">
        <f>('Raw Values'!$U30)*(0.1^('Raw Values'!$E30/'Raw Values'!$AC30))</f>
        <v>4.266007824</v>
      </c>
      <c r="I30" s="41">
        <f>('Raw Values'!$U30+H30)*(0.1^('Raw Values'!$E30/'Raw Values'!$AC30))</f>
        <v>6.762416981</v>
      </c>
      <c r="J30" s="41">
        <f>('Raw Values'!$U30+I30)*(0.1^('Raw Values'!$E30/Analysis!$L30))</f>
        <v>8.223281315</v>
      </c>
      <c r="K30" s="41">
        <f>('Raw Values'!$U30+J30)*(0.1^('Raw Values'!$E30/Analysis!$M30))</f>
        <v>9.078159048</v>
      </c>
      <c r="L30" s="41">
        <f>('Raw Values'!$U30+K30)*(0.1^('Raw Values'!$E30/'Raw Values'!$AD30))</f>
        <v>9.578421751</v>
      </c>
      <c r="M30" s="41">
        <f>('Raw Values'!$U30+L30)*(0.1^('Raw Values'!$E30/'Raw Values'!$AD30))</f>
        <v>9.87116861</v>
      </c>
      <c r="N30" s="41">
        <f>('Raw Values'!$U30+M30)*(0.1^('Raw Values'!$E30/'Raw Values'!$AD30))</f>
        <v>10.04248005</v>
      </c>
      <c r="O30" s="41">
        <f>('Raw Values'!$U30+N30)*(0.1^('Raw Values'!$E30/'Raw Values'!$AD30))</f>
        <v>10.14272915</v>
      </c>
      <c r="P30" s="41">
        <f>('Raw Values'!$U30+O30)*(0.1^('Raw Values'!$E30/'Raw Values'!$AD30))</f>
        <v>10.20139354</v>
      </c>
      <c r="Q30" s="41">
        <f>('Raw Values'!$U30+P30)*(0.1^('Raw Values'!$E30/'Raw Values'!$AD30))</f>
        <v>10.23572314</v>
      </c>
      <c r="R30" s="41">
        <f>('Raw Values'!$U30+Q30)*(0.1^('Raw Values'!$E30/'Raw Values'!$AD30))</f>
        <v>10.25581235</v>
      </c>
      <c r="S30" s="41">
        <f>('Raw Values'!$U30+R30)*(0.1^('Raw Values'!$E30/'Raw Values'!$AD30))</f>
        <v>10.26756828</v>
      </c>
      <c r="T30" s="41">
        <f>('Raw Values'!$U30+S30)*(0.1^('Raw Values'!$E30/'Raw Values'!$AD30))</f>
        <v>10.27444769</v>
      </c>
      <c r="U30" s="41">
        <f>('Raw Values'!$U30+T30)*(0.1^('Raw Values'!$E30/'Raw Values'!$AD30))</f>
        <v>10.27847342</v>
      </c>
      <c r="V30" s="41">
        <f>('Raw Values'!$U30+U30)*(0.1^('Raw Values'!$E30/'Raw Values'!$AD30))</f>
        <v>10.28082923</v>
      </c>
      <c r="W30" s="41">
        <f>('Raw Values'!$U30+V30)*(0.1^('Raw Values'!$E30/'Raw Values'!$AD30))</f>
        <v>10.28220781</v>
      </c>
      <c r="X30" s="41">
        <f>('Raw Values'!$U30+W30)*(0.1^('Raw Values'!$E30/'Raw Values'!$AD30))</f>
        <v>10.28301454</v>
      </c>
      <c r="Y30" s="41">
        <f>('Raw Values'!$U30+X30)*(0.1^('Raw Values'!$E30/'Raw Values'!$AD30))</f>
        <v>10.28348663</v>
      </c>
      <c r="Z30" s="41">
        <f>('Raw Values'!$U30+Y30)*(0.1^('Raw Values'!$E30/'Raw Values'!$AD30))</f>
        <v>10.28376289</v>
      </c>
      <c r="AA30" s="41">
        <f>('Raw Values'!$U30+Z30)*(0.1^('Raw Values'!$E30/'Raw Values'!$AD30))</f>
        <v>10.28392455</v>
      </c>
      <c r="AB30" s="41">
        <f>('Raw Values'!$U30+AA30)*(0.1^('Raw Values'!$E30/'Raw Values'!$AD30))</f>
        <v>10.28401915</v>
      </c>
      <c r="AC30" s="41">
        <f>('Raw Values'!$U30+AB30)*(0.1^('Raw Values'!$E30/'Raw Values'!$AD30))</f>
        <v>10.28407451</v>
      </c>
      <c r="AD30" s="41">
        <f>('Raw Values'!$U30+AC30)*(0.1^('Raw Values'!$E30/'Raw Values'!$AD30))</f>
        <v>10.28410691</v>
      </c>
      <c r="AE30" s="41">
        <f>('Raw Values'!$U30+AD30)*(0.1^('Raw Values'!$E30/'Raw Values'!$AD30))</f>
        <v>10.28412587</v>
      </c>
      <c r="AF30" s="41">
        <f>('Raw Values'!$U30+AE30)*(0.1^('Raw Values'!$E30/'Raw Values'!$AD30))</f>
        <v>10.28413696</v>
      </c>
      <c r="AG30" s="41">
        <f>('Raw Values'!$U30+AF30)*(0.1^('Raw Values'!$E30/'Raw Values'!$AD30))</f>
        <v>10.28414345</v>
      </c>
      <c r="AH30" s="41">
        <f>('Raw Values'!$U30+AG30)*(0.1^('Raw Values'!$E30/'Raw Values'!$AD30))</f>
        <v>10.28414725</v>
      </c>
      <c r="AI30" s="41">
        <f>('Raw Values'!$U30+AH30)*(0.1^('Raw Values'!$E30/'Raw Values'!$AD30))</f>
        <v>10.28414948</v>
      </c>
      <c r="AJ30" s="41">
        <f>('Raw Values'!$U30+AI30)*(0.1^('Raw Values'!$E30/'Raw Values'!$AD30))</f>
        <v>10.28415078</v>
      </c>
    </row>
    <row r="31" ht="15.75" customHeight="1">
      <c r="A31" s="61" t="s">
        <v>168</v>
      </c>
      <c r="B31" s="32">
        <f>'Raw Values'!E31</f>
        <v>0.09</v>
      </c>
      <c r="C31" s="34">
        <f>'Raw Values'!U31</f>
        <v>6.05</v>
      </c>
      <c r="D31" s="43">
        <f>'Raw Values'!AC31</f>
        <v>0.25</v>
      </c>
      <c r="E31" s="43">
        <f>'Raw Values'!AD31</f>
        <v>0.5</v>
      </c>
      <c r="F31" s="130"/>
      <c r="G31" s="39">
        <v>0.0</v>
      </c>
      <c r="H31" s="41">
        <f>('Raw Values'!$U31)*(0.1^('Raw Values'!$E31/'Raw Values'!$AC31))</f>
        <v>2.640920785</v>
      </c>
      <c r="I31" s="41">
        <f>('Raw Values'!$U31+H31)*(0.1^('Raw Values'!$E31/'Raw Values'!$AC31))</f>
        <v>3.793724519</v>
      </c>
      <c r="J31" s="41">
        <f>('Raw Values'!$U31+I31)*(0.1^('Raw Values'!$E31/Analysis!$L31))</f>
        <v>5.286393062</v>
      </c>
      <c r="K31" s="41">
        <f>('Raw Values'!$U31+J31)*(0.1^('Raw Values'!$E31/Analysis!$M31))</f>
        <v>6.894057409</v>
      </c>
      <c r="L31" s="41">
        <f>('Raw Values'!$U31+K31)*(0.1^('Raw Values'!$E31/'Raw Values'!$AD31))</f>
        <v>8.552053921</v>
      </c>
      <c r="M31" s="41">
        <f>('Raw Values'!$U31+L31)*(0.1^('Raw Values'!$E31/'Raw Values'!$AD31))</f>
        <v>9.647481353</v>
      </c>
      <c r="N31" s="41">
        <f>('Raw Values'!$U31+M31)*(0.1^('Raw Values'!$E31/'Raw Values'!$AD31))</f>
        <v>10.37122308</v>
      </c>
      <c r="O31" s="41">
        <f>('Raw Values'!$U31+N31)*(0.1^('Raw Values'!$E31/'Raw Values'!$AD31))</f>
        <v>10.8493945</v>
      </c>
      <c r="P31" s="41">
        <f>('Raw Values'!$U31+O31)*(0.1^('Raw Values'!$E31/'Raw Values'!$AD31))</f>
        <v>11.16531922</v>
      </c>
      <c r="Q31" s="41">
        <f>('Raw Values'!$U31+P31)*(0.1^('Raw Values'!$E31/'Raw Values'!$AD31))</f>
        <v>11.37404861</v>
      </c>
      <c r="R31" s="41">
        <f>('Raw Values'!$U31+Q31)*(0.1^('Raw Values'!$E31/'Raw Values'!$AD31))</f>
        <v>11.51195476</v>
      </c>
      <c r="S31" s="41">
        <f>('Raw Values'!$U31+R31)*(0.1^('Raw Values'!$E31/'Raw Values'!$AD31))</f>
        <v>11.60306844</v>
      </c>
      <c r="T31" s="41">
        <f>('Raw Values'!$U31+S31)*(0.1^('Raw Values'!$E31/'Raw Values'!$AD31))</f>
        <v>11.66326666</v>
      </c>
      <c r="U31" s="41">
        <f>('Raw Values'!$U31+T31)*(0.1^('Raw Values'!$E31/'Raw Values'!$AD31))</f>
        <v>11.70303922</v>
      </c>
      <c r="V31" s="41">
        <f>('Raw Values'!$U31+U31)*(0.1^('Raw Values'!$E31/'Raw Values'!$AD31))</f>
        <v>11.7293167</v>
      </c>
      <c r="W31" s="41">
        <f>('Raw Values'!$U31+V31)*(0.1^('Raw Values'!$E31/'Raw Values'!$AD31))</f>
        <v>11.74667805</v>
      </c>
      <c r="X31" s="41">
        <f>('Raw Values'!$U31+W31)*(0.1^('Raw Values'!$E31/'Raw Values'!$AD31))</f>
        <v>11.75814859</v>
      </c>
      <c r="Y31" s="41">
        <f>('Raw Values'!$U31+X31)*(0.1^('Raw Values'!$E31/'Raw Values'!$AD31))</f>
        <v>11.76572709</v>
      </c>
      <c r="Z31" s="41">
        <f>('Raw Values'!$U31+Y31)*(0.1^('Raw Values'!$E31/'Raw Values'!$AD31))</f>
        <v>11.77073416</v>
      </c>
      <c r="AA31" s="41">
        <f>('Raw Values'!$U31+Z31)*(0.1^('Raw Values'!$E31/'Raw Values'!$AD31))</f>
        <v>11.7740423</v>
      </c>
      <c r="AB31" s="41">
        <f>('Raw Values'!$U31+AA31)*(0.1^('Raw Values'!$E31/'Raw Values'!$AD31))</f>
        <v>11.77622796</v>
      </c>
      <c r="AC31" s="41">
        <f>('Raw Values'!$U31+AB31)*(0.1^('Raw Values'!$E31/'Raw Values'!$AD31))</f>
        <v>11.77767202</v>
      </c>
      <c r="AD31" s="41">
        <f>('Raw Values'!$U31+AC31)*(0.1^('Raw Values'!$E31/'Raw Values'!$AD31))</f>
        <v>11.7786261</v>
      </c>
      <c r="AE31" s="41">
        <f>('Raw Values'!$U31+AD31)*(0.1^('Raw Values'!$E31/'Raw Values'!$AD31))</f>
        <v>11.77925645</v>
      </c>
      <c r="AF31" s="41"/>
      <c r="AG31" s="41"/>
      <c r="AH31" s="41"/>
      <c r="AI31" s="41"/>
      <c r="AJ31" s="41"/>
    </row>
    <row r="32" ht="15.75" customHeight="1">
      <c r="A32" s="66" t="s">
        <v>170</v>
      </c>
      <c r="B32" s="32">
        <f>'Raw Values'!E32</f>
        <v>0.09</v>
      </c>
      <c r="C32" s="34">
        <f>'Raw Values'!U32</f>
        <v>7</v>
      </c>
      <c r="D32" s="43">
        <f>'Raw Values'!AC32</f>
        <v>0.3</v>
      </c>
      <c r="E32" s="43">
        <f>'Raw Values'!AD32</f>
        <v>0.5</v>
      </c>
      <c r="F32" s="130"/>
      <c r="G32" s="39">
        <v>0.0</v>
      </c>
      <c r="H32" s="41">
        <f>('Raw Values'!$U32)*(0.1^('Raw Values'!$E32/'Raw Values'!$AC32))</f>
        <v>3.508310635</v>
      </c>
      <c r="I32" s="41">
        <f>('Raw Values'!$U32+H32)*(0.1^('Raw Values'!$E32/'Raw Values'!$AC32))</f>
        <v>5.266631137</v>
      </c>
      <c r="J32" s="41">
        <f>('Raw Values'!$U32+I32)*(0.1^('Raw Values'!$E32/Analysis!$L32))</f>
        <v>6.970609609</v>
      </c>
      <c r="K32" s="41">
        <f>('Raw Values'!$U32+J32)*(0.1^('Raw Values'!$E32/Analysis!$M32))</f>
        <v>8.660102839</v>
      </c>
      <c r="L32" s="41">
        <f>('Raw Values'!$U32+K32)*(0.1^('Raw Values'!$E32/'Raw Values'!$AD32))</f>
        <v>10.34652734</v>
      </c>
      <c r="M32" s="41">
        <f>('Raw Values'!$U32+L32)*(0.1^('Raw Values'!$E32/'Raw Values'!$AD32))</f>
        <v>11.46073696</v>
      </c>
      <c r="N32" s="41">
        <f>('Raw Values'!$U32+M32)*(0.1^('Raw Values'!$E32/'Raw Values'!$AD32))</f>
        <v>12.19688795</v>
      </c>
      <c r="O32" s="41">
        <f>('Raw Values'!$U32+N32)*(0.1^('Raw Values'!$E32/'Raw Values'!$AD32))</f>
        <v>12.68325809</v>
      </c>
      <c r="P32" s="41">
        <f>('Raw Values'!$U32+O32)*(0.1^('Raw Values'!$E32/'Raw Values'!$AD32))</f>
        <v>13.00459966</v>
      </c>
      <c r="Q32" s="41">
        <f>('Raw Values'!$U32+P32)*(0.1^('Raw Values'!$E32/'Raw Values'!$AD32))</f>
        <v>13.21690792</v>
      </c>
      <c r="R32" s="41">
        <f>('Raw Values'!$U32+Q32)*(0.1^('Raw Values'!$E32/'Raw Values'!$AD32))</f>
        <v>13.3571786</v>
      </c>
      <c r="S32" s="41">
        <f>('Raw Values'!$U32+R32)*(0.1^('Raw Values'!$E32/'Raw Values'!$AD32))</f>
        <v>13.44985452</v>
      </c>
      <c r="T32" s="41">
        <f>('Raw Values'!$U32+S32)*(0.1^('Raw Values'!$E32/'Raw Values'!$AD32))</f>
        <v>13.5110849</v>
      </c>
      <c r="U32" s="41">
        <f>('Raw Values'!$U32+T32)*(0.1^('Raw Values'!$E32/'Raw Values'!$AD32))</f>
        <v>13.5515394</v>
      </c>
      <c r="V32" s="41">
        <f>('Raw Values'!$U32+U32)*(0.1^('Raw Values'!$E32/'Raw Values'!$AD32))</f>
        <v>13.57826743</v>
      </c>
      <c r="W32" s="41">
        <f>('Raw Values'!$U32+V32)*(0.1^('Raw Values'!$E32/'Raw Values'!$AD32))</f>
        <v>13.59592646</v>
      </c>
      <c r="X32" s="41">
        <f>('Raw Values'!$U32+W32)*(0.1^('Raw Values'!$E32/'Raw Values'!$AD32))</f>
        <v>13.60759367</v>
      </c>
      <c r="Y32" s="41">
        <f>('Raw Values'!$U32+X32)*(0.1^('Raw Values'!$E32/'Raw Values'!$AD32))</f>
        <v>13.61530212</v>
      </c>
      <c r="Z32" s="41">
        <f>('Raw Values'!$U32+Y32)*(0.1^('Raw Values'!$E32/'Raw Values'!$AD32))</f>
        <v>13.62039504</v>
      </c>
      <c r="AA32" s="41">
        <f>('Raw Values'!$U32+Z32)*(0.1^('Raw Values'!$E32/'Raw Values'!$AD32))</f>
        <v>13.6237599</v>
      </c>
      <c r="AB32" s="41">
        <f>('Raw Values'!$U32+AA32)*(0.1^('Raw Values'!$E32/'Raw Values'!$AD32))</f>
        <v>13.62598304</v>
      </c>
      <c r="AC32" s="41">
        <f>('Raw Values'!$U32+AB32)*(0.1^('Raw Values'!$E32/'Raw Values'!$AD32))</f>
        <v>13.62745185</v>
      </c>
      <c r="AD32" s="41">
        <f>('Raw Values'!$U32+AC32)*(0.1^('Raw Values'!$E32/'Raw Values'!$AD32))</f>
        <v>13.62842229</v>
      </c>
      <c r="AE32" s="41">
        <f>('Raw Values'!$U32+AD32)*(0.1^('Raw Values'!$E32/'Raw Values'!$AD32))</f>
        <v>13.62906345</v>
      </c>
      <c r="AF32" s="41">
        <f>('Raw Values'!$U32+AE32)*(0.1^('Raw Values'!$E32/'Raw Values'!$AD32))</f>
        <v>13.62948706</v>
      </c>
      <c r="AG32" s="41">
        <f>('Raw Values'!$U32+AF32)*(0.1^('Raw Values'!$E32/'Raw Values'!$AD32))</f>
        <v>13.62976694</v>
      </c>
      <c r="AH32" s="41">
        <f>('Raw Values'!$U32+AG32)*(0.1^('Raw Values'!$E32/'Raw Values'!$AD32))</f>
        <v>13.62995185</v>
      </c>
      <c r="AI32" s="41">
        <f>('Raw Values'!$U32+AH32)*(0.1^('Raw Values'!$E32/'Raw Values'!$AD32))</f>
        <v>13.63007402</v>
      </c>
      <c r="AJ32" s="41">
        <f>('Raw Values'!$U32+AI32)*(0.1^('Raw Values'!$E32/'Raw Values'!$AD32))</f>
        <v>13.63015474</v>
      </c>
    </row>
    <row r="33" ht="15.75" customHeight="1">
      <c r="A33" s="61" t="s">
        <v>171</v>
      </c>
      <c r="B33" s="32">
        <f>'Raw Values'!E33</f>
        <v>0.09</v>
      </c>
      <c r="C33" s="34">
        <f>'Raw Values'!U33</f>
        <v>7</v>
      </c>
      <c r="D33" s="43">
        <f>'Raw Values'!AC33</f>
        <v>0.338941</v>
      </c>
      <c r="E33" s="43">
        <f>'Raw Values'!AD33</f>
        <v>0.466044</v>
      </c>
      <c r="F33" s="130"/>
      <c r="G33" s="39">
        <v>0.0</v>
      </c>
      <c r="H33" s="41">
        <f>('Raw Values'!$U33)*(0.1^('Raw Values'!$E33/'Raw Values'!$AC33))</f>
        <v>3.79808868</v>
      </c>
      <c r="I33" s="41">
        <f>('Raw Values'!$U33+H33)*(0.1^('Raw Values'!$E33/'Raw Values'!$AC33))</f>
        <v>5.858871197</v>
      </c>
      <c r="J33" s="41">
        <f>('Raw Values'!$U33+I33)*(0.1^('Raw Values'!$E33/Analysis!$L33))</f>
        <v>7.467471822</v>
      </c>
      <c r="K33" s="41">
        <f>('Raw Values'!$U33+J33)*(0.1^('Raw Values'!$E33/Analysis!$M33))</f>
        <v>8.870872464</v>
      </c>
      <c r="L33" s="41">
        <f>('Raw Values'!$U33+K33)*(0.1^('Raw Values'!$E33/'Raw Values'!$AD33))</f>
        <v>10.17386542</v>
      </c>
      <c r="M33" s="41">
        <f>('Raw Values'!$U33+L33)*(0.1^('Raw Values'!$E33/'Raw Values'!$AD33))</f>
        <v>11.00913614</v>
      </c>
      <c r="N33" s="41">
        <f>('Raw Values'!$U33+M33)*(0.1^('Raw Values'!$E33/'Raw Values'!$AD33))</f>
        <v>11.54457815</v>
      </c>
      <c r="O33" s="41">
        <f>('Raw Values'!$U33+N33)*(0.1^('Raw Values'!$E33/'Raw Values'!$AD33))</f>
        <v>11.88781794</v>
      </c>
      <c r="P33" s="41">
        <f>('Raw Values'!$U33+O33)*(0.1^('Raw Values'!$E33/'Raw Values'!$AD33))</f>
        <v>12.1078484</v>
      </c>
      <c r="Q33" s="41">
        <f>('Raw Values'!$U33+P33)*(0.1^('Raw Values'!$E33/'Raw Values'!$AD33))</f>
        <v>12.24889675</v>
      </c>
      <c r="R33" s="41">
        <f>('Raw Values'!$U33+Q33)*(0.1^('Raw Values'!$E33/'Raw Values'!$AD33))</f>
        <v>12.33931439</v>
      </c>
      <c r="S33" s="41">
        <f>('Raw Values'!$U33+R33)*(0.1^('Raw Values'!$E33/'Raw Values'!$AD33))</f>
        <v>12.39727573</v>
      </c>
      <c r="T33" s="41">
        <f>('Raw Values'!$U33+S33)*(0.1^('Raw Values'!$E33/'Raw Values'!$AD33))</f>
        <v>12.43443127</v>
      </c>
      <c r="U33" s="41">
        <f>('Raw Values'!$U33+T33)*(0.1^('Raw Values'!$E33/'Raw Values'!$AD33))</f>
        <v>12.45824946</v>
      </c>
      <c r="V33" s="41">
        <f>('Raw Values'!$U33+U33)*(0.1^('Raw Values'!$E33/'Raw Values'!$AD33))</f>
        <v>12.47351787</v>
      </c>
      <c r="W33" s="41">
        <f>('Raw Values'!$U33+V33)*(0.1^('Raw Values'!$E33/'Raw Values'!$AD33))</f>
        <v>12.48330554</v>
      </c>
      <c r="X33" s="41">
        <f>('Raw Values'!$U33+W33)*(0.1^('Raw Values'!$E33/'Raw Values'!$AD33))</f>
        <v>12.48957982</v>
      </c>
      <c r="Y33" s="41">
        <f>('Raw Values'!$U33+X33)*(0.1^('Raw Values'!$E33/'Raw Values'!$AD33))</f>
        <v>12.49360189</v>
      </c>
      <c r="Z33" s="41">
        <f>('Raw Values'!$U33+Y33)*(0.1^('Raw Values'!$E33/'Raw Values'!$AD33))</f>
        <v>12.4961802</v>
      </c>
      <c r="AA33" s="41">
        <f>('Raw Values'!$U33+Z33)*(0.1^('Raw Values'!$E33/'Raw Values'!$AD33))</f>
        <v>12.497833</v>
      </c>
      <c r="AB33" s="41">
        <f>('Raw Values'!$U33+AA33)*(0.1^('Raw Values'!$E33/'Raw Values'!$AD33))</f>
        <v>12.49889251</v>
      </c>
      <c r="AC33" s="41">
        <f>('Raw Values'!$U33+AB33)*(0.1^('Raw Values'!$E33/'Raw Values'!$AD33))</f>
        <v>12.4995717</v>
      </c>
      <c r="AD33" s="41">
        <f>('Raw Values'!$U33+AC33)*(0.1^('Raw Values'!$E33/'Raw Values'!$AD33))</f>
        <v>12.50000708</v>
      </c>
      <c r="AE33" s="41">
        <f>('Raw Values'!$U33+AD33)*(0.1^('Raw Values'!$E33/'Raw Values'!$AD33))</f>
        <v>12.50028618</v>
      </c>
      <c r="AF33" s="41">
        <f>('Raw Values'!$U33+AE33)*(0.1^('Raw Values'!$E33/'Raw Values'!$AD33))</f>
        <v>12.5004651</v>
      </c>
      <c r="AG33" s="41">
        <f>('Raw Values'!$U33+AF33)*(0.1^('Raw Values'!$E33/'Raw Values'!$AD33))</f>
        <v>12.50057979</v>
      </c>
      <c r="AH33" s="41">
        <f>('Raw Values'!$U33+AG33)*(0.1^('Raw Values'!$E33/'Raw Values'!$AD33))</f>
        <v>12.50065331</v>
      </c>
      <c r="AI33" s="41">
        <f>('Raw Values'!$U33+AH33)*(0.1^('Raw Values'!$E33/'Raw Values'!$AD33))</f>
        <v>12.50070044</v>
      </c>
      <c r="AJ33" s="41">
        <f>('Raw Values'!$U33+AI33)*(0.1^('Raw Values'!$E33/'Raw Values'!$AD33))</f>
        <v>12.50073065</v>
      </c>
    </row>
    <row r="34" ht="15.75" customHeight="1">
      <c r="A34" s="61" t="s">
        <v>173</v>
      </c>
      <c r="B34" s="32">
        <f>'Raw Values'!E34</f>
        <v>0.1</v>
      </c>
      <c r="C34" s="34">
        <f>'Raw Values'!AK34</f>
        <v>7</v>
      </c>
      <c r="D34" s="43">
        <f>'Raw Values'!AC34</f>
        <v>0.338941</v>
      </c>
      <c r="E34" s="43">
        <f>'Raw Values'!AD34</f>
        <v>0.466044</v>
      </c>
      <c r="F34" s="130"/>
      <c r="G34" s="35">
        <v>0.0</v>
      </c>
      <c r="H34" s="37">
        <f>('Raw Values'!$AK34)*(0.1^('Raw Values'!$E34/'Raw Values'!$AC34))</f>
        <v>3.548635891</v>
      </c>
      <c r="I34" s="37">
        <f>('Raw Values'!$AK34+H34)*(0.1^('Raw Values'!$E34/'Raw Values'!$AC34))</f>
        <v>5.347609704</v>
      </c>
      <c r="J34" s="37">
        <f>('Raw Values'!$AK34+I34)*(0.1^('Raw Values'!$E34/Analysis!$L34))</f>
        <v>6.750379158</v>
      </c>
      <c r="K34" s="37">
        <f>('Raw Values'!$AK34+J34)*(0.1^('Raw Values'!$E34/Analysis!$M34))</f>
        <v>7.985193429</v>
      </c>
      <c r="L34" s="37">
        <f>('Raw Values'!$AK34+K34)*(0.1^('Raw Values'!$E34/'Raw Values'!$AD34))</f>
        <v>9.143034079</v>
      </c>
      <c r="M34" s="37">
        <f>('Raw Values'!$AK34+L34)*(0.1^('Raw Values'!$E34/'Raw Values'!$AD34))</f>
        <v>9.849476513</v>
      </c>
      <c r="N34" s="37">
        <f>('Raw Values'!$AK34+M34)*(0.1^('Raw Values'!$E34/'Raw Values'!$AD34))</f>
        <v>10.2805038</v>
      </c>
      <c r="O34" s="37">
        <f>('Raw Values'!$AK34+N34)*(0.1^('Raw Values'!$E34/'Raw Values'!$AD34))</f>
        <v>10.54348987</v>
      </c>
      <c r="P34" s="37">
        <f>('Raw Values'!$AK34+O34)*(0.1^('Raw Values'!$E34/'Raw Values'!$AD34))</f>
        <v>10.70394763</v>
      </c>
      <c r="Q34" s="37">
        <f>('Raw Values'!$AK34+P34)*(0.1^('Raw Values'!$E34/'Raw Values'!$AD34))</f>
        <v>10.80184899</v>
      </c>
      <c r="R34" s="37">
        <f>('Raw Values'!$AK34+Q34)*(0.1^('Raw Values'!$E34/'Raw Values'!$AD34))</f>
        <v>10.86158232</v>
      </c>
      <c r="S34" s="37">
        <f>('Raw Values'!$AK34+R34)*(0.1^('Raw Values'!$E34/'Raw Values'!$AD34))</f>
        <v>10.89802789</v>
      </c>
      <c r="T34" s="37">
        <f>('Raw Values'!$AK34+S34)*(0.1^('Raw Values'!$E34/'Raw Values'!$AD34))</f>
        <v>10.92026471</v>
      </c>
      <c r="U34" s="37">
        <f>('Raw Values'!$AK34+T34)*(0.1^('Raw Values'!$E34/'Raw Values'!$AD34))</f>
        <v>10.93383223</v>
      </c>
      <c r="V34" s="37">
        <f>('Raw Values'!$AK34+U34)*(0.1^('Raw Values'!$E34/'Raw Values'!$AD34))</f>
        <v>10.94211029</v>
      </c>
      <c r="W34" s="37">
        <f>('Raw Values'!$AK34+V34)*(0.1^('Raw Values'!$E34/'Raw Values'!$AD34))</f>
        <v>10.94716105</v>
      </c>
      <c r="X34" s="37">
        <f>('Raw Values'!$AK34+W34)*(0.1^('Raw Values'!$E34/'Raw Values'!$AD34))</f>
        <v>10.95024271</v>
      </c>
      <c r="Y34" s="37">
        <f>('Raw Values'!$AK34+X34)*(0.1^('Raw Values'!$E34/'Raw Values'!$AD34))</f>
        <v>10.95212295</v>
      </c>
      <c r="Z34" s="37">
        <f>('Raw Values'!$AK34+Y34)*(0.1^('Raw Values'!$E34/'Raw Values'!$AD34))</f>
        <v>10.95327015</v>
      </c>
      <c r="AA34" s="37">
        <f>('Raw Values'!$AK34+Z34)*(0.1^('Raw Values'!$E34/'Raw Values'!$AD34))</f>
        <v>10.9539701</v>
      </c>
      <c r="AB34" s="37">
        <f>('Raw Values'!$AK34+AA34)*(0.1^('Raw Values'!$E34/'Raw Values'!$AD34))</f>
        <v>10.95439717</v>
      </c>
      <c r="AC34" s="37">
        <f>('Raw Values'!$AK34+AB34)*(0.1^('Raw Values'!$E34/'Raw Values'!$AD34))</f>
        <v>10.95465774</v>
      </c>
      <c r="AD34" s="37">
        <f>('Raw Values'!$AK34+AC34)*(0.1^('Raw Values'!$E34/'Raw Values'!$AD34))</f>
        <v>10.95481673</v>
      </c>
      <c r="AE34" s="37">
        <f>('Raw Values'!$AK34+AD34)*(0.1^('Raw Values'!$E34/'Raw Values'!$AD34))</f>
        <v>10.95491373</v>
      </c>
      <c r="AF34" s="145"/>
      <c r="AG34" s="145"/>
      <c r="AH34" s="145"/>
      <c r="AI34" s="145"/>
      <c r="AJ34" s="145"/>
    </row>
    <row r="35" ht="15.75" customHeight="1">
      <c r="A35" s="66" t="s">
        <v>175</v>
      </c>
      <c r="B35" s="32">
        <f>'Raw Values'!E35</f>
        <v>0.09</v>
      </c>
      <c r="C35" s="34">
        <f>'Raw Values'!U35</f>
        <v>6.68</v>
      </c>
      <c r="D35" s="43">
        <f>'Raw Values'!AC35</f>
        <v>0.452886</v>
      </c>
      <c r="E35" s="43" t="s">
        <v>209</v>
      </c>
      <c r="F35" s="130"/>
      <c r="G35" s="39">
        <v>0.0</v>
      </c>
      <c r="H35" s="41">
        <f>('Raw Values'!$U35)*(0.1^('Raw Values'!$E35/'Raw Values'!$AC35))</f>
        <v>4.227182085</v>
      </c>
      <c r="I35" s="41">
        <f>('Raw Values'!$U35+H35)*(0.1^('Raw Values'!$E35/'Raw Values'!$AC35))</f>
        <v>6.902192322</v>
      </c>
      <c r="J35" s="41">
        <f>('Raw Values'!$U35+I35)*(0.1^('Raw Values'!$E35/Analysis!$L35))</f>
        <v>8.594970069</v>
      </c>
      <c r="K35" s="41">
        <f>('Raw Values'!$U35+J35)*(0.1^('Raw Values'!$E35/Analysis!$M35))</f>
        <v>9.666179615</v>
      </c>
      <c r="L35" s="41">
        <f>('Raw Values'!$U35+K35)*(0.1^('Raw Values'!$E35/'Raw Values'!$AD35))</f>
        <v>10.34405354</v>
      </c>
      <c r="M35" s="41">
        <f>('Raw Values'!$U35+L35)*(0.1^('Raw Values'!$E35/'Raw Values'!$AD35))</f>
        <v>10.77302008</v>
      </c>
      <c r="N35" s="41">
        <f>('Raw Values'!$U35+M35)*(0.1^('Raw Values'!$E35/'Raw Values'!$AD35))</f>
        <v>11.04447512</v>
      </c>
      <c r="O35" s="41">
        <f>('Raw Values'!$U35+N35)*(0.1^('Raw Values'!$E35/'Raw Values'!$AD35))</f>
        <v>11.21625505</v>
      </c>
      <c r="P35" s="41">
        <f>('Raw Values'!$U35+O35)*(0.1^('Raw Values'!$E35/'Raw Values'!$AD35))</f>
        <v>11.32495939</v>
      </c>
      <c r="Q35" s="41">
        <f>('Raw Values'!$U35+P35)*(0.1^('Raw Values'!$E35/'Raw Values'!$AD35))</f>
        <v>11.39374877</v>
      </c>
      <c r="R35" s="41">
        <f>('Raw Values'!$U35+Q35)*(0.1^('Raw Values'!$E35/'Raw Values'!$AD35))</f>
        <v>11.43727949</v>
      </c>
      <c r="S35" s="41">
        <f>('Raw Values'!$U35+R35)*(0.1^('Raw Values'!$E35/'Raw Values'!$AD35))</f>
        <v>11.46482624</v>
      </c>
      <c r="T35" s="41">
        <f>('Raw Values'!$U35+S35)*(0.1^('Raw Values'!$E35/'Raw Values'!$AD35))</f>
        <v>11.48225815</v>
      </c>
      <c r="U35" s="41">
        <f>('Raw Values'!$U35+T35)*(0.1^('Raw Values'!$E35/'Raw Values'!$AD35))</f>
        <v>11.49328926</v>
      </c>
      <c r="V35" s="41">
        <f>('Raw Values'!$U35+U35)*(0.1^('Raw Values'!$E35/'Raw Values'!$AD35))</f>
        <v>11.50026988</v>
      </c>
      <c r="W35" s="41">
        <f>('Raw Values'!$U35+V35)*(0.1^('Raw Values'!$E35/'Raw Values'!$AD35))</f>
        <v>11.5046873</v>
      </c>
      <c r="X35" s="41">
        <f>('Raw Values'!$U35+W35)*(0.1^('Raw Values'!$E35/'Raw Values'!$AD35))</f>
        <v>11.50748269</v>
      </c>
      <c r="Y35" s="41">
        <f>('Raw Values'!$U35+X35)*(0.1^('Raw Values'!$E35/'Raw Values'!$AD35))</f>
        <v>11.50925165</v>
      </c>
      <c r="Z35" s="41">
        <f>('Raw Values'!$U35+Y35)*(0.1^('Raw Values'!$E35/'Raw Values'!$AD35))</f>
        <v>11.51037106</v>
      </c>
      <c r="AA35" s="41">
        <f>('Raw Values'!$U35+Z35)*(0.1^('Raw Values'!$E35/'Raw Values'!$AD35))</f>
        <v>11.51107944</v>
      </c>
      <c r="AB35" s="41">
        <f>('Raw Values'!$U35+AA35)*(0.1^('Raw Values'!$E35/'Raw Values'!$AD35))</f>
        <v>11.51152771</v>
      </c>
      <c r="AC35" s="41">
        <f>('Raw Values'!$U35+AB35)*(0.1^('Raw Values'!$E35/'Raw Values'!$AD35))</f>
        <v>11.51181139</v>
      </c>
      <c r="AD35" s="41">
        <f>('Raw Values'!$U35+AC35)*(0.1^('Raw Values'!$E35/'Raw Values'!$AD35))</f>
        <v>11.5119909</v>
      </c>
      <c r="AE35" s="41">
        <f>('Raw Values'!$U35+AD35)*(0.1^('Raw Values'!$E35/'Raw Values'!$AD35))</f>
        <v>11.51210449</v>
      </c>
      <c r="AF35" s="41">
        <f>('Raw Values'!$U35+AE35)*(0.1^('Raw Values'!$E35/'Raw Values'!$AD35))</f>
        <v>11.51217638</v>
      </c>
      <c r="AG35" s="41">
        <f>('Raw Values'!$U35+AF35)*(0.1^('Raw Values'!$E35/'Raw Values'!$AD35))</f>
        <v>11.51222187</v>
      </c>
      <c r="AH35" s="41">
        <f>('Raw Values'!$U35+AG35)*(0.1^('Raw Values'!$E35/'Raw Values'!$AD35))</f>
        <v>11.51225065</v>
      </c>
      <c r="AI35" s="41">
        <f>('Raw Values'!$U35+AH35)*(0.1^('Raw Values'!$E35/'Raw Values'!$AD35))</f>
        <v>11.51226887</v>
      </c>
      <c r="AJ35" s="41">
        <f>('Raw Values'!$U35+AI35)*(0.1^('Raw Values'!$E35/'Raw Values'!$AD35))</f>
        <v>11.5122804</v>
      </c>
    </row>
    <row r="36" ht="15.75" customHeight="1">
      <c r="A36" s="75"/>
      <c r="B36" s="77"/>
      <c r="C36" s="79"/>
      <c r="D36" s="132"/>
      <c r="E36" s="132"/>
      <c r="F36" s="133"/>
      <c r="G36" s="79"/>
      <c r="H36" s="79"/>
      <c r="I36" s="79"/>
      <c r="J36" s="79"/>
      <c r="K36" s="79"/>
      <c r="L36" s="79"/>
      <c r="M36" s="79"/>
      <c r="N36" s="79"/>
      <c r="O36" s="79"/>
      <c r="P36" s="79"/>
      <c r="Q36" s="79"/>
      <c r="R36" s="79"/>
      <c r="S36" s="79"/>
      <c r="T36" s="79"/>
      <c r="U36" s="79"/>
      <c r="V36" s="79"/>
      <c r="W36" s="79"/>
      <c r="X36" s="79"/>
      <c r="Y36" s="79"/>
      <c r="Z36" s="79"/>
      <c r="AA36" s="79"/>
      <c r="AB36" s="79"/>
      <c r="AC36" s="79"/>
      <c r="AD36" s="79"/>
      <c r="AE36" s="79"/>
      <c r="AF36" s="79"/>
      <c r="AG36" s="79"/>
      <c r="AH36" s="79"/>
      <c r="AI36" s="79"/>
      <c r="AJ36" s="79"/>
    </row>
    <row r="37" ht="15.75" customHeight="1">
      <c r="A37" s="5" t="s">
        <v>177</v>
      </c>
      <c r="B37" s="11" t="s">
        <v>19</v>
      </c>
      <c r="C37" s="9" t="s">
        <v>204</v>
      </c>
      <c r="D37" s="21" t="s">
        <v>205</v>
      </c>
      <c r="E37" s="21" t="s">
        <v>206</v>
      </c>
      <c r="F37" s="125"/>
      <c r="G37" s="127">
        <v>1.0</v>
      </c>
      <c r="H37" s="127">
        <v>2.0</v>
      </c>
      <c r="I37" s="127">
        <v>3.0</v>
      </c>
      <c r="J37" s="127">
        <v>4.0</v>
      </c>
      <c r="K37" s="127">
        <v>5.0</v>
      </c>
      <c r="L37" s="127">
        <v>6.0</v>
      </c>
      <c r="M37" s="127">
        <v>7.0</v>
      </c>
      <c r="N37" s="127">
        <v>8.0</v>
      </c>
      <c r="O37" s="127">
        <v>9.0</v>
      </c>
      <c r="P37" s="127">
        <v>10.0</v>
      </c>
      <c r="Q37" s="127">
        <v>11.0</v>
      </c>
      <c r="R37" s="127">
        <v>12.0</v>
      </c>
      <c r="S37" s="127">
        <v>13.0</v>
      </c>
      <c r="T37" s="127">
        <v>14.0</v>
      </c>
      <c r="U37" s="127">
        <v>15.0</v>
      </c>
      <c r="V37" s="127">
        <v>16.0</v>
      </c>
      <c r="W37" s="127">
        <v>17.0</v>
      </c>
      <c r="X37" s="127">
        <v>18.0</v>
      </c>
      <c r="Y37" s="127">
        <v>19.0</v>
      </c>
      <c r="Z37" s="127">
        <v>20.0</v>
      </c>
      <c r="AA37" s="127">
        <v>21.0</v>
      </c>
      <c r="AB37" s="127">
        <v>22.0</v>
      </c>
      <c r="AC37" s="127">
        <v>23.0</v>
      </c>
      <c r="AD37" s="127">
        <v>24.0</v>
      </c>
      <c r="AE37" s="127">
        <v>25.0</v>
      </c>
      <c r="AF37" s="127">
        <v>26.0</v>
      </c>
      <c r="AG37" s="127">
        <v>27.0</v>
      </c>
      <c r="AH37" s="127">
        <v>28.0</v>
      </c>
      <c r="AI37" s="127">
        <v>29.0</v>
      </c>
      <c r="AJ37" s="127">
        <v>30.0</v>
      </c>
    </row>
    <row r="38" ht="15.75" customHeight="1">
      <c r="A38" s="28" t="s">
        <v>179</v>
      </c>
      <c r="B38" s="32">
        <f>'Raw Values'!E38</f>
        <v>0.08</v>
      </c>
      <c r="C38" s="34">
        <f>'Raw Values'!U38</f>
        <v>3.56</v>
      </c>
      <c r="D38" s="43">
        <f>'Raw Values'!AC38</f>
        <v>0.828931</v>
      </c>
      <c r="E38" s="43" t="s">
        <v>209</v>
      </c>
      <c r="F38" s="130"/>
      <c r="G38" s="39">
        <v>0.0</v>
      </c>
      <c r="H38" s="41">
        <f>('Raw Values'!$U38)*(0.1^('Raw Values'!$E38/'Raw Values'!$AC38))</f>
        <v>2.850625434</v>
      </c>
      <c r="I38" s="41">
        <f>('Raw Values'!$U38+H38)*(0.1^('Raw Values'!$E38/'Raw Values'!$AC38))</f>
        <v>5.133228066</v>
      </c>
      <c r="J38" s="41">
        <f>('Raw Values'!$U38+I38)*(0.1^('Raw Values'!$E38/Analysis!$L38))</f>
        <v>6.960993548</v>
      </c>
      <c r="K38" s="41">
        <f>('Raw Values'!$U38+J38)*(0.1^('Raw Values'!$E38/Analysis!$M38))</f>
        <v>8.424553878</v>
      </c>
      <c r="L38" s="41">
        <f>('Raw Values'!$U38+K38)*(0.1^('Raw Values'!$E38/'Raw Values'!$AD38))</f>
        <v>9.59648149</v>
      </c>
      <c r="M38" s="41">
        <f>('Raw Values'!$U38+L38)*(0.1^('Raw Values'!$E38/'Raw Values'!$AD38))</f>
        <v>10.53488786</v>
      </c>
      <c r="N38" s="41">
        <f>('Raw Values'!$U38+M38)*(0.1^('Raw Values'!$E38/'Raw Values'!$AD38))</f>
        <v>11.286305</v>
      </c>
      <c r="O38" s="41">
        <f>('Raw Values'!$U38+N38)*(0.1^('Raw Values'!$E38/'Raw Values'!$AD38))</f>
        <v>11.88799288</v>
      </c>
      <c r="P38" s="41">
        <f>('Raw Values'!$U38+O38)*(0.1^('Raw Values'!$E38/'Raw Values'!$AD38))</f>
        <v>12.36978691</v>
      </c>
      <c r="Q38" s="41">
        <f>('Raw Values'!$U38+P38)*(0.1^('Raw Values'!$E38/'Raw Values'!$AD38))</f>
        <v>12.75557746</v>
      </c>
      <c r="R38" s="41">
        <f>('Raw Values'!$U38+Q38)*(0.1^('Raw Values'!$E38/'Raw Values'!$AD38))</f>
        <v>13.0644944</v>
      </c>
      <c r="S38" s="41">
        <f>('Raw Values'!$U38+R38)*(0.1^('Raw Values'!$E38/'Raw Values'!$AD38))</f>
        <v>13.31185578</v>
      </c>
      <c r="T38" s="41">
        <f>('Raw Values'!$U38+S38)*(0.1^('Raw Values'!$E38/'Raw Values'!$AD38))</f>
        <v>13.50992731</v>
      </c>
      <c r="U38" s="41">
        <f>('Raw Values'!$U38+T38)*(0.1^('Raw Values'!$E38/'Raw Values'!$AD38))</f>
        <v>13.6685306</v>
      </c>
      <c r="V38" s="41">
        <f>('Raw Values'!$U38+U38)*(0.1^('Raw Values'!$E38/'Raw Values'!$AD38))</f>
        <v>13.79553021</v>
      </c>
      <c r="W38" s="41">
        <f>('Raw Values'!$U38+V38)*(0.1^('Raw Values'!$E38/'Raw Values'!$AD38))</f>
        <v>13.89722355</v>
      </c>
      <c r="X38" s="41">
        <f>('Raw Values'!$U38+W38)*(0.1^('Raw Values'!$E38/'Raw Values'!$AD38))</f>
        <v>13.97865322</v>
      </c>
      <c r="Y38" s="41">
        <f>('Raw Values'!$U38+X38)*(0.1^('Raw Values'!$E38/'Raw Values'!$AD38))</f>
        <v>14.04385701</v>
      </c>
      <c r="Z38" s="41">
        <f>('Raw Values'!$U38+Y38)*(0.1^('Raw Values'!$E38/'Raw Values'!$AD38))</f>
        <v>14.09606813</v>
      </c>
      <c r="AA38" s="41">
        <f>('Raw Values'!$U38+Z38)*(0.1^('Raw Values'!$E38/'Raw Values'!$AD38))</f>
        <v>14.13787553</v>
      </c>
      <c r="AB38" s="41">
        <f>('Raw Values'!$U38+AA38)*(0.1^('Raw Values'!$E38/'Raw Values'!$AD38))</f>
        <v>14.17135228</v>
      </c>
      <c r="AC38" s="41">
        <f>('Raw Values'!$U38+AB38)*(0.1^('Raw Values'!$E38/'Raw Values'!$AD38))</f>
        <v>14.19815837</v>
      </c>
      <c r="AD38" s="41">
        <f>('Raw Values'!$U38+AC38)*(0.1^('Raw Values'!$E38/'Raw Values'!$AD38))</f>
        <v>14.21962301</v>
      </c>
      <c r="AE38" s="41">
        <f>('Raw Values'!$U38+AD38)*(0.1^('Raw Values'!$E38/'Raw Values'!$AD38))</f>
        <v>14.23681055</v>
      </c>
      <c r="AF38" s="41">
        <f>('Raw Values'!$U38+AE38)*(0.1^('Raw Values'!$E38/'Raw Values'!$AD38))</f>
        <v>14.25057326</v>
      </c>
      <c r="AG38" s="41">
        <f>('Raw Values'!$U38+AF38)*(0.1^('Raw Values'!$E38/'Raw Values'!$AD38))</f>
        <v>14.26159358</v>
      </c>
      <c r="AH38" s="41">
        <f>('Raw Values'!$U38+AG38)*(0.1^('Raw Values'!$E38/'Raw Values'!$AD38))</f>
        <v>14.27041796</v>
      </c>
      <c r="AI38" s="41">
        <f>('Raw Values'!$U38+AH38)*(0.1^('Raw Values'!$E38/'Raw Values'!$AD38))</f>
        <v>14.27748397</v>
      </c>
      <c r="AJ38" s="41">
        <f>('Raw Values'!$U38+AI38)*(0.1^('Raw Values'!$E38/'Raw Values'!$AD38))</f>
        <v>14.283142</v>
      </c>
    </row>
    <row r="39" ht="15.75" customHeight="1">
      <c r="A39" s="28" t="s">
        <v>181</v>
      </c>
      <c r="B39" s="32">
        <f>'Raw Values'!E39</f>
        <v>0.075</v>
      </c>
      <c r="C39" s="34">
        <f>'Raw Values'!U39</f>
        <v>30</v>
      </c>
      <c r="D39" s="43">
        <f>'Raw Values'!AC39</f>
        <v>0.3</v>
      </c>
      <c r="E39" s="43">
        <f>'Raw Values'!AD39</f>
        <v>0.1</v>
      </c>
      <c r="F39" s="130"/>
      <c r="G39" s="39">
        <v>0.0</v>
      </c>
      <c r="H39" s="41">
        <f>('Raw Values'!$U39)*(0.1^('Raw Values'!$E39/'Raw Values'!$AC39))</f>
        <v>16.87023976</v>
      </c>
      <c r="I39" s="41">
        <f>('Raw Values'!$U39+H39)*(0.1^('Raw Values'!$E39/'Raw Values'!$AC39))</f>
        <v>26.35707274</v>
      </c>
      <c r="J39" s="41">
        <f>('Raw Values'!$U39+I39)*(0.1^('Raw Values'!$E39/'Raw Values'!$AC39))</f>
        <v>31.69191097</v>
      </c>
      <c r="K39" s="41">
        <f>('Raw Values'!$U39+J39)*(0.1^('Raw Values'!$E39/'Raw Values'!$AC39))</f>
        <v>34.69191097</v>
      </c>
      <c r="L39" s="41">
        <f>('Raw Values'!$U39+K39)*(0.1^('Raw Values'!$E39/'Raw Values'!$AC39))</f>
        <v>36.37893494</v>
      </c>
      <c r="M39" s="41">
        <f>('Raw Values'!$U39+L39)*(0.1^('Raw Values'!$E39/'Raw Values'!$AC39))</f>
        <v>37.32761824</v>
      </c>
      <c r="N39" s="41">
        <f>('Raw Values'!$U39+M39)*(0.1^('Raw Values'!$E39/'Raw Values'!$AC39))</f>
        <v>37.86110206</v>
      </c>
      <c r="O39" s="41">
        <f>('Raw Values'!$U39+N39)*(0.1^('Raw Values'!$E39/'Raw Values'!$AC39))</f>
        <v>38.16110206</v>
      </c>
      <c r="P39" s="41">
        <f>('Raw Values'!$U39+O39)*(0.1^('Raw Values'!$E39/'Raw Values'!$AC39))</f>
        <v>38.32980446</v>
      </c>
      <c r="Q39" s="41">
        <f>('Raw Values'!$U39+P39)*(0.1^('Raw Values'!$E39/Analysis!$S39))</f>
        <v>32.59729828</v>
      </c>
      <c r="R39" s="41">
        <f>('Raw Values'!$U39+Q39)*(0.1^('Raw Values'!$E39/Analysis!$T39))</f>
        <v>22.21035956</v>
      </c>
      <c r="S39" s="41">
        <f>('Raw Values'!$U39+R39)*(0.1^('Raw Values'!$E39/'Raw Values'!$AD39))</f>
        <v>9.284460739</v>
      </c>
      <c r="T39" s="41">
        <f>('Raw Values'!$U39+S39)*(0.1^('Raw Values'!$E39/'Raw Values'!$AD39))</f>
        <v>6.985874767</v>
      </c>
      <c r="U39" s="41">
        <f>('Raw Values'!$U39+T39)*(0.1^('Raw Values'!$E39/'Raw Values'!$AD39))</f>
        <v>6.577121956</v>
      </c>
      <c r="V39" s="41">
        <f>('Raw Values'!$U39+U39)*(0.1^('Raw Values'!$E39/'Raw Values'!$AD39))</f>
        <v>6.504434285</v>
      </c>
      <c r="W39" s="41">
        <f>('Raw Values'!$U39+V39)*(0.1^('Raw Values'!$E39/'Raw Values'!$AD39))</f>
        <v>6.491508386</v>
      </c>
      <c r="X39" s="41">
        <f>('Raw Values'!$U39+W39)*(0.1^('Raw Values'!$E39/'Raw Values'!$AD39))</f>
        <v>6.4892098</v>
      </c>
      <c r="Y39" s="41">
        <f>('Raw Values'!$U39+X39)*(0.1^('Raw Values'!$E39/'Raw Values'!$AD39))</f>
        <v>6.488801048</v>
      </c>
      <c r="Z39" s="41">
        <f>('Raw Values'!$U39+Y39)*(0.1^('Raw Values'!$E39/'Raw Values'!$AD39))</f>
        <v>6.48872836</v>
      </c>
      <c r="AA39" s="41">
        <f>('Raw Values'!$U39+Z39)*(0.1^('Raw Values'!$E39/'Raw Values'!$AD39))</f>
        <v>6.488715434</v>
      </c>
      <c r="AB39" s="41">
        <f>('Raw Values'!$U39+AA39)*(0.1^('Raw Values'!$E39/'Raw Values'!$AD39))</f>
        <v>6.488713136</v>
      </c>
      <c r="AC39" s="41">
        <f>('Raw Values'!$U39+AB39)*(0.1^('Raw Values'!$E39/'Raw Values'!$AD39))</f>
        <v>6.488712727</v>
      </c>
      <c r="AD39" s="41">
        <f>('Raw Values'!$U39+AC39)*(0.1^('Raw Values'!$E39/'Raw Values'!$AD39))</f>
        <v>6.488712654</v>
      </c>
      <c r="AE39" s="41">
        <f>('Raw Values'!$U39+AD39)*(0.1^('Raw Values'!$E39/'Raw Values'!$AD39))</f>
        <v>6.488712641</v>
      </c>
      <c r="AF39" s="41">
        <f>('Raw Values'!$U39+AE39)*(0.1^('Raw Values'!$E39/'Raw Values'!$AD39))</f>
        <v>6.488712639</v>
      </c>
      <c r="AG39" s="41">
        <f>('Raw Values'!$U39+AF39)*(0.1^('Raw Values'!$E39/'Raw Values'!$AD39))</f>
        <v>6.488712638</v>
      </c>
      <c r="AH39" s="41">
        <f>('Raw Values'!$U39+AG39)*(0.1^('Raw Values'!$E39/'Raw Values'!$AD39))</f>
        <v>6.488712638</v>
      </c>
      <c r="AI39" s="41">
        <f>('Raw Values'!$U39+AH39)*(0.1^('Raw Values'!$E39/'Raw Values'!$AD39))</f>
        <v>6.488712638</v>
      </c>
      <c r="AJ39" s="41">
        <f>('Raw Values'!$U39+AI39)*(0.1^('Raw Values'!$E39/'Raw Values'!$AD39))</f>
        <v>6.488712638</v>
      </c>
    </row>
    <row r="40" ht="15.75" customHeight="1">
      <c r="A40" s="75"/>
      <c r="B40" s="77"/>
      <c r="C40" s="131"/>
      <c r="D40" s="132"/>
      <c r="E40" s="132"/>
      <c r="F40" s="133"/>
      <c r="G40" s="79"/>
      <c r="H40" s="79"/>
      <c r="I40" s="79"/>
      <c r="J40" s="79"/>
      <c r="K40" s="79"/>
      <c r="L40" s="79"/>
      <c r="M40" s="79"/>
      <c r="N40" s="79"/>
      <c r="O40" s="79"/>
      <c r="P40" s="79"/>
      <c r="Q40" s="79"/>
      <c r="R40" s="79"/>
      <c r="S40" s="79"/>
      <c r="T40" s="79"/>
      <c r="U40" s="79"/>
      <c r="V40" s="79"/>
      <c r="W40" s="79"/>
      <c r="X40" s="79"/>
      <c r="Y40" s="79"/>
      <c r="Z40" s="79"/>
      <c r="AA40" s="134"/>
      <c r="AB40" s="134"/>
      <c r="AC40" s="134"/>
      <c r="AD40" s="134"/>
      <c r="AE40" s="134"/>
      <c r="AF40" s="134"/>
      <c r="AG40" s="134"/>
      <c r="AH40" s="134"/>
      <c r="AI40" s="134"/>
      <c r="AJ40" s="134"/>
    </row>
    <row r="41" ht="15.75" customHeight="1">
      <c r="A41" s="5" t="s">
        <v>184</v>
      </c>
      <c r="B41" s="11" t="s">
        <v>19</v>
      </c>
      <c r="C41" s="9" t="s">
        <v>204</v>
      </c>
      <c r="D41" s="21" t="s">
        <v>205</v>
      </c>
      <c r="E41" s="21" t="s">
        <v>206</v>
      </c>
      <c r="F41" s="125"/>
      <c r="G41" s="127">
        <v>1.0</v>
      </c>
      <c r="H41" s="127">
        <v>2.0</v>
      </c>
      <c r="I41" s="127">
        <v>3.0</v>
      </c>
      <c r="J41" s="127">
        <v>4.0</v>
      </c>
      <c r="K41" s="127">
        <v>5.0</v>
      </c>
      <c r="L41" s="127">
        <v>6.0</v>
      </c>
      <c r="M41" s="127">
        <v>7.0</v>
      </c>
      <c r="N41" s="127">
        <v>8.0</v>
      </c>
      <c r="O41" s="127">
        <v>9.0</v>
      </c>
      <c r="P41" s="127">
        <v>10.0</v>
      </c>
      <c r="Q41" s="127">
        <v>11.0</v>
      </c>
      <c r="R41" s="127">
        <v>12.0</v>
      </c>
      <c r="S41" s="127">
        <v>13.0</v>
      </c>
      <c r="T41" s="127">
        <v>14.0</v>
      </c>
      <c r="U41" s="127">
        <v>15.0</v>
      </c>
      <c r="V41" s="127">
        <v>16.0</v>
      </c>
      <c r="W41" s="127">
        <v>17.0</v>
      </c>
      <c r="X41" s="127">
        <v>18.0</v>
      </c>
      <c r="Y41" s="127">
        <v>19.0</v>
      </c>
      <c r="Z41" s="127">
        <v>20.0</v>
      </c>
      <c r="AA41" s="135"/>
      <c r="AB41" s="136"/>
      <c r="AC41" s="136"/>
      <c r="AD41" s="136"/>
      <c r="AE41" s="136"/>
      <c r="AF41" s="136"/>
      <c r="AG41" s="136"/>
      <c r="AH41" s="136"/>
      <c r="AI41" s="136"/>
      <c r="AJ41" s="136"/>
    </row>
    <row r="42" ht="15.75" customHeight="1">
      <c r="A42" s="28" t="s">
        <v>186</v>
      </c>
      <c r="B42" s="32">
        <f>'Raw Values'!E42</f>
        <v>1.455</v>
      </c>
      <c r="C42" s="34">
        <f>'Raw Values'!U42</f>
        <v>53.85</v>
      </c>
      <c r="D42" s="43">
        <f>'Raw Values'!AC42</f>
        <v>0.34539</v>
      </c>
      <c r="E42" s="43" t="s">
        <v>209</v>
      </c>
      <c r="F42" s="130"/>
      <c r="G42" s="39">
        <v>0.0</v>
      </c>
      <c r="H42" s="41">
        <f>('Raw Values'!$U42)*(0.1^('Raw Values'!$E42/'Raw Values'!$AC42))</f>
        <v>0.003300323455</v>
      </c>
      <c r="I42" s="41">
        <f>('Raw Values'!$U42+H42)*(0.1^('Raw Values'!$E42/'Raw Values'!$AC42))</f>
        <v>0.003300525723</v>
      </c>
      <c r="J42" s="41">
        <f>('Raw Values'!$U42+I42)*(0.1^('Raw Values'!$E42/Analysis!$L42))</f>
        <v>0.003300525735</v>
      </c>
      <c r="K42" s="41">
        <f>('Raw Values'!$U42+J42)*(0.1^('Raw Values'!$E42/Analysis!$M42))</f>
        <v>0.003300525735</v>
      </c>
      <c r="L42" s="41">
        <f>('Raw Values'!$U42+K42)*(0.1^('Raw Values'!$E42/'Raw Values'!$AD42))</f>
        <v>0.003300525735</v>
      </c>
      <c r="M42" s="41">
        <f>('Raw Values'!$U42+L42)*(0.1^('Raw Values'!$E42/'Raw Values'!$AD42))</f>
        <v>0.003300525735</v>
      </c>
      <c r="N42" s="41">
        <f>('Raw Values'!$U42+M42)*(0.1^('Raw Values'!$E42/'Raw Values'!$AD42))</f>
        <v>0.003300525735</v>
      </c>
      <c r="O42" s="41">
        <f>('Raw Values'!$U42+N42)*(0.1^('Raw Values'!$E42/'Raw Values'!$AD42))</f>
        <v>0.003300525735</v>
      </c>
      <c r="P42" s="41">
        <f>('Raw Values'!$U42+O42)*(0.1^('Raw Values'!$E42/'Raw Values'!$AD42))</f>
        <v>0.003300525735</v>
      </c>
      <c r="Q42" s="41"/>
      <c r="R42" s="41"/>
      <c r="S42" s="41"/>
      <c r="T42" s="41"/>
      <c r="U42" s="41"/>
      <c r="V42" s="41"/>
      <c r="W42" s="41"/>
      <c r="X42" s="41"/>
      <c r="Y42" s="41"/>
      <c r="Z42" s="39"/>
      <c r="AA42" s="146"/>
      <c r="AB42" s="146"/>
      <c r="AC42" s="146"/>
      <c r="AD42" s="146"/>
      <c r="AE42" s="146"/>
      <c r="AF42" s="146"/>
      <c r="AG42" s="146"/>
      <c r="AH42" s="146"/>
      <c r="AI42" s="146"/>
      <c r="AJ42" s="146"/>
    </row>
    <row r="43" ht="15.75" customHeight="1">
      <c r="A43" s="66" t="s">
        <v>188</v>
      </c>
      <c r="B43" s="32">
        <f>'Raw Values'!E43</f>
        <v>0.25</v>
      </c>
      <c r="C43" s="34">
        <f>'Raw Values'!U43</f>
        <v>18.61</v>
      </c>
      <c r="D43" s="43">
        <f>'Raw Values'!AC43</f>
        <v>0.544331</v>
      </c>
      <c r="E43" s="43" t="s">
        <v>209</v>
      </c>
      <c r="F43" s="130"/>
      <c r="G43" s="39">
        <v>0.0</v>
      </c>
      <c r="H43" s="41">
        <f>('Raw Values'!$U43)*(0.1^('Raw Values'!$E43/'Raw Values'!$AC43))</f>
        <v>6.463488804</v>
      </c>
      <c r="I43" s="41">
        <f>('Raw Values'!$U43+H43)*(0.1^('Raw Values'!$E43/'Raw Values'!$AC43))</f>
        <v>8.708340363</v>
      </c>
      <c r="J43" s="41">
        <f>('Raw Values'!$U43+I43)*(0.1^('Raw Values'!$E43/Analysis!$L43))</f>
        <v>9.488005753</v>
      </c>
      <c r="K43" s="41">
        <f>('Raw Values'!$U43+J43)*(0.1^('Raw Values'!$E43/Analysis!$M43))</f>
        <v>9.758793422</v>
      </c>
      <c r="L43" s="41">
        <f>('Raw Values'!$U43+K43)*(0.1^('Raw Values'!$E43/'Raw Values'!$AD43))</f>
        <v>9.852841411</v>
      </c>
      <c r="M43" s="41">
        <f>('Raw Values'!$U43+L43)*(0.1^('Raw Values'!$E43/'Raw Values'!$AD43))</f>
        <v>9.885505469</v>
      </c>
      <c r="N43" s="41">
        <f>('Raw Values'!$U43+M43)*(0.1^('Raw Values'!$E43/'Raw Values'!$AD43))</f>
        <v>9.89685011</v>
      </c>
      <c r="O43" s="41">
        <f>('Raw Values'!$U43+N43)*(0.1^('Raw Values'!$E43/'Raw Values'!$AD43))</f>
        <v>9.900790248</v>
      </c>
      <c r="P43" s="41">
        <f>('Raw Values'!$U43+O43)*(0.1^('Raw Values'!$E43/'Raw Values'!$AD43))</f>
        <v>9.902158708</v>
      </c>
      <c r="Q43" s="41">
        <f>('Raw Values'!$U43+P43)*(0.1^('Raw Values'!$E43/'Raw Values'!$AD43))</f>
        <v>9.902633991</v>
      </c>
      <c r="R43" s="41">
        <f>('Raw Values'!$U43+Q43)*(0.1^('Raw Values'!$E43/'Raw Values'!$AD43))</f>
        <v>9.902799063</v>
      </c>
      <c r="S43" s="41">
        <f>('Raw Values'!$U43+R43)*(0.1^('Raw Values'!$E43/'Raw Values'!$AD43))</f>
        <v>9.902856395</v>
      </c>
      <c r="T43" s="41">
        <f>('Raw Values'!$U43+S43)*(0.1^('Raw Values'!$E43/'Raw Values'!$AD43))</f>
        <v>9.902876307</v>
      </c>
      <c r="U43" s="41">
        <f>('Raw Values'!$U43+T43)*(0.1^('Raw Values'!$E43/'Raw Values'!$AD43))</f>
        <v>9.902883222</v>
      </c>
      <c r="V43" s="41">
        <f>('Raw Values'!$U43+U43)*(0.1^('Raw Values'!$E43/'Raw Values'!$AD43))</f>
        <v>9.902885624</v>
      </c>
      <c r="W43" s="41">
        <f>('Raw Values'!$U43+V43)*(0.1^('Raw Values'!$E43/'Raw Values'!$AD43))</f>
        <v>9.902886458</v>
      </c>
      <c r="X43" s="41">
        <f>('Raw Values'!$U43+W43)*(0.1^('Raw Values'!$E43/'Raw Values'!$AD43))</f>
        <v>9.902886748</v>
      </c>
      <c r="Y43" s="41">
        <f>('Raw Values'!$U43+X43)*(0.1^('Raw Values'!$E43/'Raw Values'!$AD43))</f>
        <v>9.902886849</v>
      </c>
      <c r="Z43" s="39">
        <f>('Raw Values'!$U43+Y43)*(0.1^('Raw Values'!$E43/'Raw Values'!$AD43))</f>
        <v>9.902886884</v>
      </c>
      <c r="AA43" s="146"/>
      <c r="AB43" s="146"/>
      <c r="AC43" s="146"/>
      <c r="AD43" s="146"/>
      <c r="AE43" s="146"/>
      <c r="AF43" s="146"/>
      <c r="AG43" s="146"/>
      <c r="AH43" s="146"/>
      <c r="AI43" s="146"/>
      <c r="AJ43" s="146"/>
    </row>
    <row r="44" ht="15.75" customHeight="1">
      <c r="A44" s="61" t="s">
        <v>190</v>
      </c>
      <c r="B44" s="32">
        <f>'Raw Values'!E44</f>
        <v>0.25</v>
      </c>
      <c r="C44" s="34">
        <f>'Raw Values'!U44</f>
        <v>18.61</v>
      </c>
      <c r="D44" s="43">
        <f>'Raw Values'!AC44</f>
        <v>0.544331</v>
      </c>
      <c r="E44" s="43" t="s">
        <v>209</v>
      </c>
      <c r="F44" s="130"/>
      <c r="G44" s="39">
        <v>0.0</v>
      </c>
      <c r="H44" s="41">
        <f>('Raw Values'!$U44)*(0.1^('Raw Values'!$E44/'Raw Values'!$AC44))</f>
        <v>6.463488804</v>
      </c>
      <c r="I44" s="41">
        <f>('Raw Values'!$U44+H44)*(0.1^('Raw Values'!$E44/'Raw Values'!$AC44))</f>
        <v>8.708340363</v>
      </c>
      <c r="J44" s="41">
        <f>('Raw Values'!$U44+I44)*(0.1^('Raw Values'!$E44/Analysis!$L44))</f>
        <v>9.488005753</v>
      </c>
      <c r="K44" s="41">
        <f>('Raw Values'!$U44+J44)*(0.1^('Raw Values'!$E44/Analysis!$M44))</f>
        <v>9.758793422</v>
      </c>
      <c r="L44" s="41">
        <f>('Raw Values'!$U44+K44)*(0.1^('Raw Values'!$E44/'Raw Values'!$AD44))</f>
        <v>9.852841411</v>
      </c>
      <c r="M44" s="41">
        <f>('Raw Values'!$U44+L44)*(0.1^('Raw Values'!$E44/'Raw Values'!$AD44))</f>
        <v>9.885505469</v>
      </c>
      <c r="N44" s="41">
        <f>('Raw Values'!$U44+M44)*(0.1^('Raw Values'!$E44/'Raw Values'!$AD44))</f>
        <v>9.89685011</v>
      </c>
      <c r="O44" s="41">
        <f>('Raw Values'!$U44+N44)*(0.1^('Raw Values'!$E44/'Raw Values'!$AD44))</f>
        <v>9.900790248</v>
      </c>
      <c r="P44" s="41">
        <f>('Raw Values'!$U44+O44)*(0.1^('Raw Values'!$E44/'Raw Values'!$AD44))</f>
        <v>9.902158708</v>
      </c>
      <c r="Q44" s="41">
        <f>('Raw Values'!$U44+P44)*(0.1^('Raw Values'!$E44/'Raw Values'!$AD44))</f>
        <v>9.902633991</v>
      </c>
      <c r="R44" s="41">
        <f>('Raw Values'!$U44+Q44)*(0.1^('Raw Values'!$E44/'Raw Values'!$AD44))</f>
        <v>9.902799063</v>
      </c>
      <c r="S44" s="41">
        <f>('Raw Values'!$U44+R44)*(0.1^('Raw Values'!$E44/'Raw Values'!$AD44))</f>
        <v>9.902856395</v>
      </c>
      <c r="T44" s="41">
        <f>('Raw Values'!$U44+S44)*(0.1^('Raw Values'!$E44/'Raw Values'!$AD44))</f>
        <v>9.902876307</v>
      </c>
      <c r="U44" s="41">
        <f>('Raw Values'!$U44+T44)*(0.1^('Raw Values'!$E44/'Raw Values'!$AD44))</f>
        <v>9.902883222</v>
      </c>
      <c r="V44" s="41">
        <f>('Raw Values'!$U44+U44)*(0.1^('Raw Values'!$E44/'Raw Values'!$AD44))</f>
        <v>9.902885624</v>
      </c>
      <c r="W44" s="41">
        <f>('Raw Values'!$U44+V44)*(0.1^('Raw Values'!$E44/'Raw Values'!$AD44))</f>
        <v>9.902886458</v>
      </c>
      <c r="X44" s="41">
        <f>('Raw Values'!$U44+W44)*(0.1^('Raw Values'!$E44/'Raw Values'!$AD44))</f>
        <v>9.902886748</v>
      </c>
      <c r="Y44" s="41">
        <f>('Raw Values'!$U44+X44)*(0.1^('Raw Values'!$E44/'Raw Values'!$AD44))</f>
        <v>9.902886849</v>
      </c>
      <c r="Z44" s="39">
        <f>('Raw Values'!$U44+Y44)*(0.1^('Raw Values'!$E44/'Raw Values'!$AD44))</f>
        <v>9.902886884</v>
      </c>
      <c r="AA44" s="146"/>
      <c r="AB44" s="146"/>
      <c r="AC44" s="146"/>
      <c r="AD44" s="146"/>
      <c r="AE44" s="146"/>
      <c r="AF44" s="146"/>
      <c r="AG44" s="146"/>
      <c r="AH44" s="146"/>
      <c r="AI44" s="146"/>
      <c r="AJ44" s="146"/>
    </row>
    <row r="45" ht="15.75" customHeight="1">
      <c r="A45" s="28" t="s">
        <v>192</v>
      </c>
      <c r="B45" s="32">
        <f>'Raw Values'!E45</f>
        <v>1.25</v>
      </c>
      <c r="C45" s="34">
        <f>'Raw Values'!U45</f>
        <v>22.92</v>
      </c>
      <c r="D45" s="43">
        <f>'Raw Values'!AC45</f>
        <v>0.142096</v>
      </c>
      <c r="E45" s="43" t="s">
        <v>209</v>
      </c>
      <c r="F45" s="130"/>
      <c r="G45" s="39">
        <v>0.0</v>
      </c>
      <c r="H45" s="41">
        <f>('Raw Values'!$U45)*(0.1^('Raw Values'!$E45/'Raw Values'!$AC45))</f>
        <v>0.0000000365885241</v>
      </c>
      <c r="I45" s="41">
        <f>('Raw Values'!$U45+H45)*(0.1^('Raw Values'!$E45/'Raw Values'!$AC45))</f>
        <v>0.00000003658852416</v>
      </c>
      <c r="J45" s="41">
        <f>('Raw Values'!$U45+I45)*(0.1^('Raw Values'!$E45/Analysis!$L45))</f>
        <v>0.00000003658852416</v>
      </c>
      <c r="K45" s="41">
        <f>('Raw Values'!$U45+J45)*(0.1^('Raw Values'!$E45/Analysis!$M45))</f>
        <v>0.00000003658852416</v>
      </c>
      <c r="L45" s="41">
        <f>('Raw Values'!$U45+K45)*(0.1^('Raw Values'!$E45/'Raw Values'!$AD45))</f>
        <v>0.00000003658852416</v>
      </c>
      <c r="M45" s="41">
        <f>('Raw Values'!$U45+L45)*(0.1^('Raw Values'!$E45/'Raw Values'!$AD45))</f>
        <v>0.00000003658852416</v>
      </c>
      <c r="N45" s="41">
        <f>('Raw Values'!$U45+M45)*(0.1^('Raw Values'!$E45/'Raw Values'!$AD45))</f>
        <v>0.00000003658852416</v>
      </c>
      <c r="O45" s="41">
        <f>('Raw Values'!$U45+N45)*(0.1^('Raw Values'!$E45/'Raw Values'!$AD45))</f>
        <v>0.00000003658852416</v>
      </c>
      <c r="P45" s="41">
        <f>('Raw Values'!$U45+O45)*(0.1^('Raw Values'!$E45/'Raw Values'!$AD45))</f>
        <v>0.00000003658852416</v>
      </c>
      <c r="Q45" s="41"/>
      <c r="R45" s="41"/>
      <c r="S45" s="41"/>
      <c r="T45" s="41"/>
      <c r="U45" s="41"/>
      <c r="V45" s="41"/>
      <c r="W45" s="41"/>
      <c r="X45" s="41"/>
      <c r="Y45" s="41"/>
      <c r="Z45" s="39"/>
      <c r="AA45" s="146"/>
      <c r="AB45" s="146"/>
      <c r="AC45" s="146"/>
      <c r="AD45" s="146"/>
      <c r="AE45" s="146"/>
      <c r="AF45" s="146"/>
      <c r="AG45" s="146"/>
      <c r="AH45" s="146"/>
      <c r="AI45" s="146"/>
      <c r="AJ45" s="146"/>
    </row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0"/>
  <cols>
    <col customWidth="1" min="1" max="1" width="14.57"/>
    <col customWidth="1" min="2" max="5" width="11.71"/>
    <col customWidth="1" min="6" max="6" width="4.57"/>
    <col customWidth="1" min="7" max="36" width="11.71"/>
  </cols>
  <sheetData>
    <row r="1" ht="15.75" customHeight="1">
      <c r="A1" s="5" t="s">
        <v>1</v>
      </c>
      <c r="B1" s="11" t="str">
        <f>'Firing Inaccuracy(Standing) Raw'!B1</f>
        <v>CycleTime</v>
      </c>
      <c r="C1" s="9" t="str">
        <f>'Firing Inaccuracy(Standing) Raw'!C1</f>
        <v>Inaccuracy
Fire</v>
      </c>
      <c r="D1" s="21" t="str">
        <f>'Firing Inaccuracy(Standing) Raw'!D1</f>
        <v>Recovery
TimeStand</v>
      </c>
      <c r="E1" s="21" t="str">
        <f>'Firing Inaccuracy(Standing) Raw'!E1</f>
        <v>RecoveryTime
StandFinal</v>
      </c>
      <c r="F1" s="125" t="str">
        <f>'Firing Inaccuracy(Standing) Raw'!F1</f>
        <v/>
      </c>
      <c r="G1" s="127">
        <f>'Firing Inaccuracy(Standing) Raw'!G1</f>
        <v>1</v>
      </c>
      <c r="H1" s="127">
        <f>'Firing Inaccuracy(Standing) Raw'!H1</f>
        <v>2</v>
      </c>
      <c r="I1" s="127">
        <f>'Firing Inaccuracy(Standing) Raw'!I1</f>
        <v>3</v>
      </c>
      <c r="J1" s="127">
        <f>'Firing Inaccuracy(Standing) Raw'!J1</f>
        <v>4</v>
      </c>
      <c r="K1" s="127">
        <f>'Firing Inaccuracy(Standing) Raw'!K1</f>
        <v>5</v>
      </c>
      <c r="L1" s="127">
        <f>'Firing Inaccuracy(Standing) Raw'!L1</f>
        <v>6</v>
      </c>
      <c r="M1" s="127">
        <f>'Firing Inaccuracy(Standing) Raw'!M1</f>
        <v>7</v>
      </c>
      <c r="N1" s="127">
        <f>'Firing Inaccuracy(Standing) Raw'!N1</f>
        <v>8</v>
      </c>
      <c r="O1" s="127">
        <f>'Firing Inaccuracy(Standing) Raw'!O1</f>
        <v>9</v>
      </c>
      <c r="P1" s="127">
        <f>'Firing Inaccuracy(Standing) Raw'!P1</f>
        <v>10</v>
      </c>
      <c r="Q1" s="127">
        <f>'Firing Inaccuracy(Standing) Raw'!Q1</f>
        <v>11</v>
      </c>
      <c r="R1" s="127">
        <f>'Firing Inaccuracy(Standing) Raw'!R1</f>
        <v>12</v>
      </c>
      <c r="S1" s="127">
        <f>'Firing Inaccuracy(Standing) Raw'!S1</f>
        <v>13</v>
      </c>
      <c r="T1" s="127">
        <f>'Firing Inaccuracy(Standing) Raw'!T1</f>
        <v>14</v>
      </c>
      <c r="U1" s="127">
        <f>'Firing Inaccuracy(Standing) Raw'!U1</f>
        <v>15</v>
      </c>
      <c r="V1" s="127">
        <f>'Firing Inaccuracy(Standing) Raw'!V1</f>
        <v>16</v>
      </c>
      <c r="W1" s="127">
        <f>'Firing Inaccuracy(Standing) Raw'!W1</f>
        <v>17</v>
      </c>
      <c r="X1" s="127">
        <f>'Firing Inaccuracy(Standing) Raw'!X1</f>
        <v>18</v>
      </c>
      <c r="Y1" s="127">
        <f>'Firing Inaccuracy(Standing) Raw'!Y1</f>
        <v>19</v>
      </c>
      <c r="Z1" s="127">
        <f>'Firing Inaccuracy(Standing) Raw'!Z1</f>
        <v>20</v>
      </c>
      <c r="AA1" s="127">
        <f>'Firing Inaccuracy(Standing) Raw'!AA1</f>
        <v>21</v>
      </c>
      <c r="AB1" s="127">
        <f>'Firing Inaccuracy(Standing) Raw'!AB1</f>
        <v>22</v>
      </c>
      <c r="AC1" s="127">
        <f>'Firing Inaccuracy(Standing) Raw'!AC1</f>
        <v>23</v>
      </c>
      <c r="AD1" s="127">
        <f>'Firing Inaccuracy(Standing) Raw'!AD1</f>
        <v>24</v>
      </c>
      <c r="AE1" s="127">
        <f>'Firing Inaccuracy(Standing) Raw'!AE1</f>
        <v>25</v>
      </c>
      <c r="AF1" s="127">
        <f>'Firing Inaccuracy(Standing) Raw'!AF1</f>
        <v>26</v>
      </c>
      <c r="AG1" s="127">
        <f>'Firing Inaccuracy(Standing) Raw'!AG1</f>
        <v>27</v>
      </c>
      <c r="AH1" s="127">
        <f>'Firing Inaccuracy(Standing) Raw'!AH1</f>
        <v>28</v>
      </c>
      <c r="AI1" s="127">
        <f>'Firing Inaccuracy(Standing) Raw'!AI1</f>
        <v>29</v>
      </c>
      <c r="AJ1" s="127">
        <f>'Firing Inaccuracy(Standing) Raw'!AJ1</f>
        <v>30</v>
      </c>
    </row>
    <row r="2" ht="15.75" customHeight="1">
      <c r="A2" s="28" t="s">
        <v>104</v>
      </c>
      <c r="B2" s="32">
        <f>'Firing Inaccuracy(Standing) Raw'!B2</f>
        <v>0.225</v>
      </c>
      <c r="C2" s="34">
        <f>'Firing Inaccuracy(Standing) Raw'!C2</f>
        <v>72.23</v>
      </c>
      <c r="D2" s="43">
        <f>'Firing Inaccuracy(Standing) Raw'!D2</f>
        <v>0.8112</v>
      </c>
      <c r="E2" s="43" t="str">
        <f>'Firing Inaccuracy(Standing) Raw'!E2</f>
        <v>N/A</v>
      </c>
      <c r="F2" s="130" t="str">
        <f>'Firing Inaccuracy(Standing) Raw'!F2</f>
        <v/>
      </c>
      <c r="G2" s="39">
        <f>'Firing Inaccuracy(Standing) Raw'!G2+Analysis!C2</f>
        <v>6.2</v>
      </c>
      <c r="H2" s="41">
        <f>'Firing Inaccuracy(Standing) Raw'!H2+Analysis!C2</f>
        <v>44.33737094</v>
      </c>
      <c r="I2" s="41">
        <f>'Firing Inaccuracy(Standing) Raw'!I2+Analysis!C2</f>
        <v>64.47386633</v>
      </c>
      <c r="J2" s="41">
        <f>'Firing Inaccuracy(Standing) Raw'!J2+Analysis!C2</f>
        <v>75.10591664</v>
      </c>
      <c r="K2" s="41">
        <f>'Firing Inaccuracy(Standing) Raw'!K2+Analysis!C2</f>
        <v>80.71962904</v>
      </c>
      <c r="L2" s="41">
        <f>'Firing Inaccuracy(Standing) Raw'!L2+Analysis!C2</f>
        <v>83.68366382</v>
      </c>
      <c r="M2" s="41">
        <f>'Firing Inaccuracy(Standing) Raw'!M2+Analysis!C2</f>
        <v>85.24867135</v>
      </c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  <c r="AF2" s="41"/>
      <c r="AG2" s="41"/>
      <c r="AH2" s="41"/>
      <c r="AI2" s="41"/>
      <c r="AJ2" s="41"/>
    </row>
    <row r="3" ht="15.75" customHeight="1">
      <c r="A3" s="28" t="s">
        <v>118</v>
      </c>
      <c r="B3" s="32">
        <f>'Firing Inaccuracy(Standing) Raw'!B3</f>
        <v>0.4</v>
      </c>
      <c r="C3" s="34">
        <f>'Firing Inaccuracy(Standing) Raw'!C3</f>
        <v>55</v>
      </c>
      <c r="D3" s="43">
        <f>'Firing Inaccuracy(Standing) Raw'!D3</f>
        <v>0.9</v>
      </c>
      <c r="E3" s="43" t="str">
        <f>'Firing Inaccuracy(Standing) Raw'!E3</f>
        <v>N/A</v>
      </c>
      <c r="F3" s="130" t="str">
        <f>'Firing Inaccuracy(Standing) Raw'!F3</f>
        <v/>
      </c>
      <c r="G3" s="39" t="str">
        <f>'Firing Inaccuracy(Standing) Raw'!G3+#REF!</f>
        <v>#REF!</v>
      </c>
      <c r="H3" s="41" t="str">
        <f>'Firing Inaccuracy(Standing) Raw'!H3+#REF!</f>
        <v>#REF!</v>
      </c>
      <c r="I3" s="41" t="str">
        <f>'Firing Inaccuracy(Standing) Raw'!I3+#REF!</f>
        <v>#REF!</v>
      </c>
      <c r="J3" s="41" t="str">
        <f>'Firing Inaccuracy(Standing) Raw'!J3+#REF!</f>
        <v>#REF!</v>
      </c>
      <c r="K3" s="41" t="str">
        <f>'Firing Inaccuracy(Standing) Raw'!K3+#REF!</f>
        <v>#REF!</v>
      </c>
      <c r="L3" s="41" t="str">
        <f>'Firing Inaccuracy(Standing) Raw'!L3+#REF!</f>
        <v>#REF!</v>
      </c>
      <c r="M3" s="41" t="str">
        <f>'Firing Inaccuracy(Standing) Raw'!M3+#REF!</f>
        <v>#REF!</v>
      </c>
      <c r="N3" s="41" t="str">
        <f>'Firing Inaccuracy(Standing) Raw'!N3+#REF!</f>
        <v>#REF!</v>
      </c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  <c r="AA3" s="41"/>
      <c r="AB3" s="41"/>
      <c r="AC3" s="41"/>
      <c r="AD3" s="41"/>
      <c r="AE3" s="41"/>
      <c r="AF3" s="41"/>
      <c r="AG3" s="41"/>
      <c r="AH3" s="41"/>
      <c r="AI3" s="41"/>
      <c r="AJ3" s="41"/>
    </row>
    <row r="4" ht="15.75" customHeight="1">
      <c r="A4" s="28" t="s">
        <v>120</v>
      </c>
      <c r="B4" s="32">
        <f>'Firing Inaccuracy(Standing) Raw'!B4</f>
        <v>0.12</v>
      </c>
      <c r="C4" s="34">
        <f>'Firing Inaccuracy(Standing) Raw'!C4</f>
        <v>11.16</v>
      </c>
      <c r="D4" s="43">
        <f>'Firing Inaccuracy(Standing) Raw'!D4</f>
        <v>0.524989</v>
      </c>
      <c r="E4" s="43" t="str">
        <f>'Firing Inaccuracy(Standing) Raw'!E4</f>
        <v>N/A</v>
      </c>
      <c r="F4" s="130" t="str">
        <f>'Firing Inaccuracy(Standing) Raw'!F4</f>
        <v/>
      </c>
      <c r="G4" s="39">
        <f>'Firing Inaccuracy(Standing) Raw'!G4+Analysis!C4</f>
        <v>9</v>
      </c>
      <c r="H4" s="41">
        <f>'Firing Inaccuracy(Standing) Raw'!H4+Analysis!C4</f>
        <v>15.5930744</v>
      </c>
      <c r="I4" s="41">
        <f>'Firing Inaccuracy(Standing) Raw'!I4+Analysis!C4</f>
        <v>19.96073476</v>
      </c>
      <c r="J4" s="41">
        <f>'Firing Inaccuracy(Standing) Raw'!J4+Analysis!C4</f>
        <v>22.06842743</v>
      </c>
      <c r="K4" s="41">
        <f>'Firing Inaccuracy(Standing) Raw'!K4+Analysis!C4</f>
        <v>23.78622619</v>
      </c>
      <c r="L4" s="41">
        <f>'Firing Inaccuracy(Standing) Raw'!L4+Analysis!C4</f>
        <v>24.32844084</v>
      </c>
      <c r="M4" s="41">
        <f>'Firing Inaccuracy(Standing) Raw'!M4+Analysis!C4</f>
        <v>25.12139075</v>
      </c>
      <c r="N4" s="41">
        <f>'Firing Inaccuracy(Standing) Raw'!N4+Analysis!C4</f>
        <v>25.11722572</v>
      </c>
      <c r="O4" s="41">
        <f>'Firing Inaccuracy(Standing) Raw'!O4+Analysis!C4</f>
        <v>25.58738694</v>
      </c>
      <c r="P4" s="41">
        <f>'Firing Inaccuracy(Standing) Raw'!P4+Analysis!C4</f>
        <v>25.39252568</v>
      </c>
      <c r="Q4" s="41">
        <f>'Firing Inaccuracy(Standing) Raw'!Q4+Analysis!C4</f>
        <v>25.7500279</v>
      </c>
      <c r="R4" s="41">
        <f>'Firing Inaccuracy(Standing) Raw'!R4+Analysis!C4</f>
        <v>25.48861026</v>
      </c>
      <c r="S4" s="41">
        <f>'Firing Inaccuracy(Standing) Raw'!S4+Analysis!C4</f>
        <v>25.80679248</v>
      </c>
      <c r="T4" s="41">
        <f>'Firing Inaccuracy(Standing) Raw'!T4+Analysis!C4</f>
        <v>25.52214549</v>
      </c>
      <c r="U4" s="41">
        <f>'Firing Inaccuracy(Standing) Raw'!U4+Analysis!C4</f>
        <v>25.82660434</v>
      </c>
      <c r="V4" s="41">
        <f>'Firing Inaccuracy(Standing) Raw'!V4+Analysis!C4</f>
        <v>25.53384988</v>
      </c>
      <c r="W4" s="41">
        <f>'Firing Inaccuracy(Standing) Raw'!W4+Analysis!C4</f>
        <v>25.83351902</v>
      </c>
      <c r="X4" s="41">
        <f>'Firing Inaccuracy(Standing) Raw'!X4+Analysis!C4</f>
        <v>25.53793492</v>
      </c>
      <c r="Y4" s="41">
        <f>'Firing Inaccuracy(Standing) Raw'!Y4+Analysis!C4</f>
        <v>25.83593237</v>
      </c>
      <c r="Z4" s="41">
        <f>'Firing Inaccuracy(Standing) Raw'!Z4+Analysis!C4</f>
        <v>25.53936067</v>
      </c>
      <c r="AA4" s="41">
        <f>'Firing Inaccuracy(Standing) Raw'!AA4+Analysis!C4</f>
        <v>25.83677467</v>
      </c>
      <c r="AB4" s="41">
        <f>'Firing Inaccuracy(Standing) Raw'!AB4+Analysis!C4</f>
        <v>25.53985829</v>
      </c>
      <c r="AC4" s="41">
        <f>'Firing Inaccuracy(Standing) Raw'!AC4+Analysis!C4</f>
        <v>25.83706865</v>
      </c>
      <c r="AD4" s="41">
        <f>'Firing Inaccuracy(Standing) Raw'!AD4+Analysis!C4</f>
        <v>25.54003196</v>
      </c>
      <c r="AE4" s="41">
        <f>'Firing Inaccuracy(Standing) Raw'!AE4+Analysis!C4</f>
        <v>25.83717126</v>
      </c>
      <c r="AF4" s="41">
        <f>'Firing Inaccuracy(Standing) Raw'!AF4+Analysis!C4</f>
        <v>25.54009258</v>
      </c>
      <c r="AG4" s="41">
        <f>'Firing Inaccuracy(Standing) Raw'!AG4+Analysis!C4</f>
        <v>25.83720707</v>
      </c>
      <c r="AH4" s="41">
        <f>'Firing Inaccuracy(Standing) Raw'!AH4+Analysis!C4</f>
        <v>25.54011373</v>
      </c>
      <c r="AI4" s="41">
        <f>'Firing Inaccuracy(Standing) Raw'!AI4+Analysis!C4</f>
        <v>25.83721957</v>
      </c>
      <c r="AJ4" s="41">
        <f>'Firing Inaccuracy(Standing) Raw'!AJ4+Analysis!C4</f>
        <v>25.54012112</v>
      </c>
    </row>
    <row r="5" ht="15.75" customHeight="1">
      <c r="A5" s="61" t="s">
        <v>122</v>
      </c>
      <c r="B5" s="32">
        <f>'Firing Inaccuracy(Standing) Raw'!B5</f>
        <v>0.15</v>
      </c>
      <c r="C5" s="34">
        <f>'Firing Inaccuracy(Standing) Raw'!C5</f>
        <v>25</v>
      </c>
      <c r="D5" s="43">
        <f>'Firing Inaccuracy(Standing) Raw'!D5</f>
        <v>0.2</v>
      </c>
      <c r="E5" s="43">
        <f>'Firing Inaccuracy(Standing) Raw'!E5</f>
        <v>0.5</v>
      </c>
      <c r="F5" s="130" t="str">
        <f>'Firing Inaccuracy(Standing) Raw'!F5</f>
        <v/>
      </c>
      <c r="G5" s="39">
        <f>'Firing Inaccuracy(Standing) Raw'!G5+Analysis!C5</f>
        <v>11.1</v>
      </c>
      <c r="H5" s="41">
        <f>'Firing Inaccuracy(Standing) Raw'!H5+Analysis!C5</f>
        <v>17.72242322</v>
      </c>
      <c r="I5" s="41">
        <f>'Firing Inaccuracy(Standing) Raw'!I5+Analysis!C5</f>
        <v>21.8459582</v>
      </c>
      <c r="J5" s="41">
        <f>'Firing Inaccuracy(Standing) Raw'!J5+Analysis!C5</f>
        <v>25.50423178</v>
      </c>
      <c r="K5" s="41">
        <f>'Firing Inaccuracy(Standing) Raw'!K5+Analysis!C5</f>
        <v>29.07354627</v>
      </c>
      <c r="L5" s="41">
        <f>'Firing Inaccuracy(Standing) Raw'!L5+Analysis!C5</f>
        <v>32.63779278</v>
      </c>
      <c r="M5" s="41">
        <f>'Firing Inaccuracy(Standing) Raw'!M5+Analysis!C5</f>
        <v>34.42414762</v>
      </c>
      <c r="N5" s="41">
        <f>'Firing Inaccuracy(Standing) Raw'!N5+Analysis!C5</f>
        <v>35.31944586</v>
      </c>
      <c r="O5" s="41">
        <f>'Firing Inaccuracy(Standing) Raw'!O5+Analysis!C5</f>
        <v>35.76815791</v>
      </c>
      <c r="P5" s="41">
        <f>'Firing Inaccuracy(Standing) Raw'!P5+Analysis!C5</f>
        <v>35.99304666</v>
      </c>
      <c r="Q5" s="41">
        <f>'Firing Inaccuracy(Standing) Raw'!Q5+Analysis!C5</f>
        <v>36.10575803</v>
      </c>
      <c r="R5" s="41">
        <f>'Firing Inaccuracy(Standing) Raw'!R5+Analysis!C5</f>
        <v>36.16224753</v>
      </c>
      <c r="S5" s="41">
        <f>'Firing Inaccuracy(Standing) Raw'!S5+Analysis!C5</f>
        <v>36.19055935</v>
      </c>
      <c r="T5" s="41">
        <f>'Firing Inaccuracy(Standing) Raw'!T5+Analysis!C5</f>
        <v>36.20474887</v>
      </c>
      <c r="U5" s="41">
        <f>'Firing Inaccuracy(Standing) Raw'!U5+Analysis!C5</f>
        <v>36.21186048</v>
      </c>
      <c r="V5" s="41">
        <f>'Firing Inaccuracy(Standing) Raw'!V5+Analysis!C5</f>
        <v>36.21542473</v>
      </c>
      <c r="W5" s="41">
        <f>'Firing Inaccuracy(Standing) Raw'!W5+Analysis!C5</f>
        <v>36.21721108</v>
      </c>
      <c r="X5" s="41">
        <f>'Firing Inaccuracy(Standing) Raw'!X5+Analysis!C5</f>
        <v>36.21810638</v>
      </c>
      <c r="Y5" s="41">
        <f>'Firing Inaccuracy(Standing) Raw'!Y5+Analysis!C5</f>
        <v>36.21855509</v>
      </c>
      <c r="Z5" s="41">
        <f>'Firing Inaccuracy(Standing) Raw'!Z5+Analysis!C5</f>
        <v>36.21877998</v>
      </c>
      <c r="AA5" s="41"/>
      <c r="AB5" s="41"/>
      <c r="AC5" s="41"/>
      <c r="AD5" s="41"/>
      <c r="AE5" s="41"/>
      <c r="AF5" s="41"/>
      <c r="AG5" s="41"/>
      <c r="AH5" s="41"/>
      <c r="AI5" s="41"/>
      <c r="AJ5" s="41"/>
    </row>
    <row r="6" ht="15.75" customHeight="1">
      <c r="A6" s="66" t="s">
        <v>124</v>
      </c>
      <c r="B6" s="32">
        <f>'Firing Inaccuracy(Standing) Raw'!B6</f>
        <v>0.15</v>
      </c>
      <c r="C6" s="34">
        <f>'Firing Inaccuracy(Standing) Raw'!C6</f>
        <v>56</v>
      </c>
      <c r="D6" s="43">
        <f>'Firing Inaccuracy(Standing) Raw'!D6</f>
        <v>0.2</v>
      </c>
      <c r="E6" s="43">
        <f>'Firing Inaccuracy(Standing) Raw'!E6</f>
        <v>0.33</v>
      </c>
      <c r="F6" s="130" t="str">
        <f>'Firing Inaccuracy(Standing) Raw'!F6</f>
        <v/>
      </c>
      <c r="G6" s="39">
        <f>'Firing Inaccuracy(Standing) Raw'!G6+Analysis!C6</f>
        <v>7.6</v>
      </c>
      <c r="H6" s="41">
        <f>'Firing Inaccuracy(Standing) Raw'!H6+Analysis!C6</f>
        <v>19.74706101</v>
      </c>
      <c r="I6" s="41">
        <f>'Firing Inaccuracy(Standing) Raw'!I6+Analysis!C6</f>
        <v>24.90649158</v>
      </c>
      <c r="J6" s="41">
        <f>'Firing Inaccuracy(Standing) Raw'!J6+Analysis!C6</f>
        <v>28.76284687</v>
      </c>
      <c r="K6" s="41">
        <f>'Firing Inaccuracy(Standing) Raw'!K6+Analysis!C6</f>
        <v>32.37348982</v>
      </c>
      <c r="L6" s="41">
        <f>'Firing Inaccuracy(Standing) Raw'!L6+Analysis!C6</f>
        <v>35.96112098</v>
      </c>
      <c r="M6" s="41">
        <f>'Firing Inaccuracy(Standing) Raw'!M6+Analysis!C6</f>
        <v>37.22080707</v>
      </c>
      <c r="N6" s="41">
        <f>'Firing Inaccuracy(Standing) Raw'!N6+Analysis!C6</f>
        <v>37.66310701</v>
      </c>
      <c r="O6" s="41">
        <f>'Firing Inaccuracy(Standing) Raw'!O6+Analysis!C6</f>
        <v>37.81840699</v>
      </c>
      <c r="P6" s="41">
        <f>'Firing Inaccuracy(Standing) Raw'!P6+Analysis!C6</f>
        <v>37.8729358</v>
      </c>
      <c r="Q6" s="41">
        <f>'Firing Inaccuracy(Standing) Raw'!Q6+Analysis!C6</f>
        <v>37.89208191</v>
      </c>
      <c r="R6" s="41">
        <f>'Firing Inaccuracy(Standing) Raw'!R6+Analysis!C6</f>
        <v>37.89880447</v>
      </c>
      <c r="S6" s="41">
        <f>'Firing Inaccuracy(Standing) Raw'!S6+Analysis!C6</f>
        <v>37.90116489</v>
      </c>
      <c r="T6" s="41">
        <f>'Firing Inaccuracy(Standing) Raw'!T6+Analysis!C6</f>
        <v>37.90199368</v>
      </c>
      <c r="U6" s="41">
        <f>'Firing Inaccuracy(Standing) Raw'!U6+Analysis!C6</f>
        <v>37.90228469</v>
      </c>
      <c r="V6" s="41">
        <f>'Firing Inaccuracy(Standing) Raw'!V6+Analysis!C6</f>
        <v>37.90238686</v>
      </c>
      <c r="W6" s="41">
        <f>'Firing Inaccuracy(Standing) Raw'!W6+Analysis!C6</f>
        <v>37.90242274</v>
      </c>
      <c r="X6" s="41">
        <f>'Firing Inaccuracy(Standing) Raw'!X6+Analysis!C6</f>
        <v>37.90243534</v>
      </c>
      <c r="Y6" s="41">
        <f>'Firing Inaccuracy(Standing) Raw'!Y6+Analysis!C6</f>
        <v>37.90243976</v>
      </c>
      <c r="Z6" s="41">
        <f>'Firing Inaccuracy(Standing) Raw'!Z6+Analysis!C6</f>
        <v>37.90244131</v>
      </c>
      <c r="AA6" s="41"/>
      <c r="AB6" s="41"/>
      <c r="AC6" s="41"/>
      <c r="AD6" s="41"/>
      <c r="AE6" s="41"/>
      <c r="AF6" s="41"/>
      <c r="AG6" s="41"/>
      <c r="AH6" s="41"/>
      <c r="AI6" s="41"/>
      <c r="AJ6" s="41"/>
    </row>
    <row r="7" ht="15.75" customHeight="1">
      <c r="A7" s="61" t="s">
        <v>125</v>
      </c>
      <c r="B7" s="32">
        <f>'Firing Inaccuracy(Standing) Raw'!B7</f>
        <v>0.17</v>
      </c>
      <c r="C7" s="34">
        <f>'Firing Inaccuracy(Standing) Raw'!C7</f>
        <v>50</v>
      </c>
      <c r="D7" s="43">
        <f>'Firing Inaccuracy(Standing) Raw'!D7</f>
        <v>0.349532</v>
      </c>
      <c r="E7" s="43" t="str">
        <f>'Firing Inaccuracy(Standing) Raw'!E7</f>
        <v>N/A</v>
      </c>
      <c r="F7" s="130" t="str">
        <f>'Firing Inaccuracy(Standing) Raw'!F7</f>
        <v/>
      </c>
      <c r="G7" s="39">
        <f>'Firing Inaccuracy(Standing) Raw'!G7+Analysis!C7</f>
        <v>6.9</v>
      </c>
      <c r="H7" s="41">
        <f>'Firing Inaccuracy(Standing) Raw'!H7+Analysis!C7</f>
        <v>23.21568754</v>
      </c>
      <c r="I7" s="41">
        <f>'Firing Inaccuracy(Standing) Raw'!I7+Analysis!C7</f>
        <v>28.53972074</v>
      </c>
      <c r="J7" s="41">
        <f>'Firing Inaccuracy(Standing) Raw'!J7+Analysis!C7</f>
        <v>30.27702598</v>
      </c>
      <c r="K7" s="41">
        <f>'Firing Inaccuracy(Standing) Raw'!K7+Analysis!C7</f>
        <v>30.84393257</v>
      </c>
      <c r="L7" s="41">
        <f>'Firing Inaccuracy(Standing) Raw'!L7+Analysis!C7</f>
        <v>31.02892199</v>
      </c>
      <c r="M7" s="41">
        <f>'Firing Inaccuracy(Standing) Raw'!M7+Analysis!C7</f>
        <v>31.08928658</v>
      </c>
      <c r="N7" s="41">
        <f>'Firing Inaccuracy(Standing) Raw'!N7+Analysis!C7</f>
        <v>31.10898438</v>
      </c>
      <c r="O7" s="41">
        <f>'Firing Inaccuracy(Standing) Raw'!O7+Analysis!C7</f>
        <v>31.11541204</v>
      </c>
      <c r="P7" s="41">
        <f>'Firing Inaccuracy(Standing) Raw'!P7+Analysis!C7</f>
        <v>31.11750947</v>
      </c>
      <c r="Q7" s="41">
        <f>'Firing Inaccuracy(Standing) Raw'!Q7+Analysis!C7</f>
        <v>31.11819389</v>
      </c>
      <c r="R7" s="41">
        <f>'Firing Inaccuracy(Standing) Raw'!R7+Analysis!C7</f>
        <v>31.11841723</v>
      </c>
      <c r="S7" s="41">
        <f>'Firing Inaccuracy(Standing) Raw'!S7+Analysis!C7</f>
        <v>31.11849011</v>
      </c>
      <c r="T7" s="41"/>
      <c r="U7" s="41"/>
      <c r="V7" s="41"/>
      <c r="W7" s="41"/>
      <c r="X7" s="41"/>
      <c r="Y7" s="41"/>
      <c r="Z7" s="41"/>
      <c r="AA7" s="41"/>
      <c r="AB7" s="41"/>
      <c r="AC7" s="41"/>
      <c r="AD7" s="41"/>
      <c r="AE7" s="41"/>
      <c r="AF7" s="41"/>
      <c r="AG7" s="41"/>
      <c r="AH7" s="41"/>
      <c r="AI7" s="41"/>
      <c r="AJ7" s="41"/>
    </row>
    <row r="8" ht="15.75" customHeight="1">
      <c r="A8" s="61" t="s">
        <v>127</v>
      </c>
      <c r="B8" s="32">
        <f>'Firing Inaccuracy(Standing) Raw'!B8</f>
        <v>0.17</v>
      </c>
      <c r="C8" s="34">
        <f>'Firing Inaccuracy(Standing) Raw'!C8</f>
        <v>52</v>
      </c>
      <c r="D8" s="43">
        <f>'Firing Inaccuracy(Standing) Raw'!D8</f>
        <v>0.349532</v>
      </c>
      <c r="E8" s="43" t="str">
        <f>'Firing Inaccuracy(Standing) Raw'!E8</f>
        <v>N/A</v>
      </c>
      <c r="F8" s="130" t="str">
        <f>'Firing Inaccuracy(Standing) Raw'!F8</f>
        <v/>
      </c>
      <c r="G8" s="39">
        <f>'Firing Inaccuracy(Standing) Raw'!G8+Analysis!C8</f>
        <v>6.4</v>
      </c>
      <c r="H8" s="41">
        <f>'Firing Inaccuracy(Standing) Raw'!H8+Analysis!C8</f>
        <v>23.36831504</v>
      </c>
      <c r="I8" s="41">
        <f>'Firing Inaccuracy(Standing) Raw'!I8+Analysis!C8</f>
        <v>28.90530957</v>
      </c>
      <c r="J8" s="41">
        <f>'Firing Inaccuracy(Standing) Raw'!J8+Analysis!C8</f>
        <v>30.71210702</v>
      </c>
      <c r="K8" s="41">
        <f>'Firing Inaccuracy(Standing) Raw'!K8+Analysis!C8</f>
        <v>31.30168988</v>
      </c>
      <c r="L8" s="41">
        <f>'Firing Inaccuracy(Standing) Raw'!L8+Analysis!C8</f>
        <v>31.49407887</v>
      </c>
      <c r="M8" s="41">
        <f>'Firing Inaccuracy(Standing) Raw'!M8+Analysis!C8</f>
        <v>31.55685804</v>
      </c>
      <c r="N8" s="41">
        <f>'Firing Inaccuracy(Standing) Raw'!N8+Analysis!C8</f>
        <v>31.57734375</v>
      </c>
      <c r="O8" s="41">
        <f>'Firing Inaccuracy(Standing) Raw'!O8+Analysis!C8</f>
        <v>31.58402852</v>
      </c>
      <c r="P8" s="41">
        <f>'Firing Inaccuracy(Standing) Raw'!P8+Analysis!C8</f>
        <v>31.58620985</v>
      </c>
      <c r="Q8" s="41">
        <f>'Firing Inaccuracy(Standing) Raw'!Q8+Analysis!C8</f>
        <v>31.58692165</v>
      </c>
      <c r="R8" s="41">
        <f>'Firing Inaccuracy(Standing) Raw'!R8+Analysis!C8</f>
        <v>31.58715392</v>
      </c>
      <c r="S8" s="41"/>
      <c r="T8" s="41"/>
      <c r="U8" s="41"/>
      <c r="V8" s="41"/>
      <c r="W8" s="41"/>
      <c r="X8" s="41"/>
      <c r="Y8" s="41"/>
      <c r="Z8" s="41"/>
      <c r="AA8" s="41"/>
      <c r="AB8" s="41"/>
      <c r="AC8" s="41"/>
      <c r="AD8" s="41"/>
      <c r="AE8" s="41"/>
      <c r="AF8" s="41"/>
      <c r="AG8" s="41"/>
      <c r="AH8" s="41"/>
      <c r="AI8" s="41"/>
      <c r="AJ8" s="41"/>
    </row>
    <row r="9" ht="15.75" customHeight="1">
      <c r="A9" s="28" t="s">
        <v>129</v>
      </c>
      <c r="B9" s="32">
        <f>'Firing Inaccuracy(Standing) Raw'!B9</f>
        <v>0.15</v>
      </c>
      <c r="C9" s="34">
        <f>'Firing Inaccuracy(Standing) Raw'!C9</f>
        <v>52.45</v>
      </c>
      <c r="D9" s="43">
        <f>'Firing Inaccuracy(Standing) Raw'!D9</f>
        <v>0.345388</v>
      </c>
      <c r="E9" s="43" t="str">
        <f>'Firing Inaccuracy(Standing) Raw'!E9</f>
        <v>N/A</v>
      </c>
      <c r="F9" s="130" t="str">
        <f>'Firing Inaccuracy(Standing) Raw'!F9</f>
        <v/>
      </c>
      <c r="G9" s="39">
        <f>'Firing Inaccuracy(Standing) Raw'!G9+Analysis!C9</f>
        <v>11.1</v>
      </c>
      <c r="H9" s="41">
        <f>'Firing Inaccuracy(Standing) Raw'!H9+Analysis!C9</f>
        <v>30.39528988</v>
      </c>
      <c r="I9" s="41">
        <f>'Firing Inaccuracy(Standing) Raw'!I9+Analysis!C9</f>
        <v>37.49363518</v>
      </c>
      <c r="J9" s="41">
        <f>'Firing Inaccuracy(Standing) Raw'!J9+Analysis!C9</f>
        <v>40.10497227</v>
      </c>
      <c r="K9" s="41">
        <f>'Firing Inaccuracy(Standing) Raw'!K9+Analysis!C9</f>
        <v>41.06563016</v>
      </c>
      <c r="L9" s="41">
        <f>'Firing Inaccuracy(Standing) Raw'!L9+Analysis!C9</f>
        <v>41.41903669</v>
      </c>
      <c r="M9" s="41">
        <f>'Firing Inaccuracy(Standing) Raw'!M9+Analysis!C9</f>
        <v>41.54904777</v>
      </c>
      <c r="N9" s="41">
        <f>'Firing Inaccuracy(Standing) Raw'!N9+Analysis!C9</f>
        <v>41.59687621</v>
      </c>
      <c r="O9" s="41">
        <f>'Firing Inaccuracy(Standing) Raw'!O9+Analysis!C9</f>
        <v>41.61447132</v>
      </c>
      <c r="P9" s="41">
        <f>'Firing Inaccuracy(Standing) Raw'!P9+Analysis!C9</f>
        <v>41.62094421</v>
      </c>
      <c r="Q9" s="41">
        <f>'Firing Inaccuracy(Standing) Raw'!Q9+Analysis!C9</f>
        <v>41.62332545</v>
      </c>
      <c r="R9" s="41">
        <f>'Firing Inaccuracy(Standing) Raw'!R9+Analysis!C9</f>
        <v>41.62420146</v>
      </c>
      <c r="S9" s="41">
        <f>'Firing Inaccuracy(Standing) Raw'!S9+Analysis!C9</f>
        <v>41.62452373</v>
      </c>
      <c r="T9" s="41"/>
      <c r="U9" s="41"/>
      <c r="V9" s="41"/>
      <c r="W9" s="41"/>
      <c r="X9" s="41"/>
      <c r="Y9" s="41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</row>
    <row r="10" ht="15.75" customHeight="1">
      <c r="A10" s="28" t="s">
        <v>131</v>
      </c>
      <c r="B10" s="32">
        <f>'Firing Inaccuracy(Standing) Raw'!B10</f>
        <v>0.1</v>
      </c>
      <c r="C10" s="34">
        <f>'Firing Inaccuracy(Standing) Raw'!C10</f>
        <v>35</v>
      </c>
      <c r="D10" s="43">
        <f>'Firing Inaccuracy(Standing) Raw'!D10</f>
        <v>0.2425</v>
      </c>
      <c r="E10" s="43">
        <f>'Firing Inaccuracy(Standing) Raw'!E10</f>
        <v>0.345388</v>
      </c>
      <c r="F10" s="130" t="str">
        <f>'Firing Inaccuracy(Standing) Raw'!F10</f>
        <v/>
      </c>
      <c r="G10" s="39">
        <f>'Firing Inaccuracy(Standing) Raw'!G10+Analysis!C10</f>
        <v>13.43</v>
      </c>
      <c r="H10" s="41">
        <f>'Firing Inaccuracy(Standing) Raw'!H10+Analysis!C10</f>
        <v>26.97243969</v>
      </c>
      <c r="I10" s="41">
        <f>'Firing Inaccuracy(Standing) Raw'!I10+Analysis!C10</f>
        <v>32.21237321</v>
      </c>
      <c r="J10" s="41">
        <f>'Firing Inaccuracy(Standing) Raw'!J10+Analysis!C10</f>
        <v>34.23984417</v>
      </c>
      <c r="K10" s="41">
        <f>'Firing Inaccuracy(Standing) Raw'!K10+Analysis!C10</f>
        <v>36.22847144</v>
      </c>
      <c r="L10" s="41">
        <f>'Firing Inaccuracy(Standing) Raw'!L10+Analysis!C10</f>
        <v>38.21160569</v>
      </c>
      <c r="M10" s="41">
        <f>'Firing Inaccuracy(Standing) Raw'!M10+Analysis!C10</f>
        <v>40.19966654</v>
      </c>
      <c r="N10" s="41">
        <f>'Firing Inaccuracy(Standing) Raw'!N10+Analysis!C10</f>
        <v>42.19554337</v>
      </c>
      <c r="O10" s="41">
        <f>'Firing Inaccuracy(Standing) Raw'!O10+Analysis!C10</f>
        <v>44.19959533</v>
      </c>
      <c r="P10" s="41">
        <f>'Firing Inaccuracy(Standing) Raw'!P10+Analysis!C10</f>
        <v>46.21135434</v>
      </c>
      <c r="Q10" s="41">
        <f>'Firing Inaccuracy(Standing) Raw'!Q10+Analysis!C10</f>
        <v>48.23012352</v>
      </c>
      <c r="R10" s="41">
        <f>'Firing Inaccuracy(Standing) Raw'!R10+Analysis!C10</f>
        <v>49.26659466</v>
      </c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</row>
    <row r="11" ht="15.75" customHeight="1">
      <c r="A11" s="66" t="s">
        <v>132</v>
      </c>
      <c r="B11" s="32">
        <f>'Firing Inaccuracy(Standing) Raw'!B11</f>
        <v>0.12</v>
      </c>
      <c r="C11" s="34">
        <f>'Firing Inaccuracy(Standing) Raw'!C11</f>
        <v>95</v>
      </c>
      <c r="D11" s="43">
        <f>'Firing Inaccuracy(Standing) Raw'!D11</f>
        <v>0.345</v>
      </c>
      <c r="E11" s="43">
        <f>'Firing Inaccuracy(Standing) Raw'!E11</f>
        <v>0.386834</v>
      </c>
      <c r="F11" s="130" t="str">
        <f>'Firing Inaccuracy(Standing) Raw'!F11</f>
        <v/>
      </c>
      <c r="G11" s="39">
        <f>'Firing Inaccuracy(Standing) Raw'!G11+Analysis!C11</f>
        <v>6.9</v>
      </c>
      <c r="H11" s="41">
        <f>'Firing Inaccuracy(Standing) Raw'!H11+Analysis!C11</f>
        <v>49.54788695</v>
      </c>
      <c r="I11" s="41">
        <f>'Firing Inaccuracy(Standing) Raw'!I11+Analysis!C11</f>
        <v>68.69359497</v>
      </c>
      <c r="J11" s="41">
        <f>'Firing Inaccuracy(Standing) Raw'!J11+Analysis!C11</f>
        <v>77.28858435</v>
      </c>
      <c r="K11" s="41">
        <f>'Firing Inaccuracy(Standing) Raw'!K11+Analysis!C11</f>
        <v>82.16656362</v>
      </c>
      <c r="L11" s="41">
        <f>'Firing Inaccuracy(Standing) Raw'!L11+Analysis!C11</f>
        <v>85.41456969</v>
      </c>
      <c r="M11" s="41">
        <f>'Firing Inaccuracy(Standing) Raw'!M11+Analysis!C11</f>
        <v>87.93873138</v>
      </c>
      <c r="N11" s="41">
        <f>'Firing Inaccuracy(Standing) Raw'!N11+Analysis!C11</f>
        <v>90.13794661</v>
      </c>
      <c r="O11" s="41">
        <f>'Firing Inaccuracy(Standing) Raw'!O11+Analysis!C11</f>
        <v>92.19016553</v>
      </c>
      <c r="P11" s="41">
        <f>'Firing Inaccuracy(Standing) Raw'!P11+Analysis!C11</f>
        <v>94.17578033</v>
      </c>
      <c r="Q11" s="41">
        <f>'Firing Inaccuracy(Standing) Raw'!Q11+Analysis!C11</f>
        <v>96.13153929</v>
      </c>
      <c r="R11" s="41">
        <f>'Firing Inaccuracy(Standing) Raw'!R11+Analysis!C11</f>
        <v>97.08896426</v>
      </c>
      <c r="S11" s="41">
        <f>'Firing Inaccuracy(Standing) Raw'!S11+Analysis!C11</f>
        <v>97.55766341</v>
      </c>
      <c r="T11" s="41">
        <f>'Firing Inaccuracy(Standing) Raw'!T11+Analysis!C11</f>
        <v>97.78711104</v>
      </c>
      <c r="U11" s="41">
        <f>'Firing Inaccuracy(Standing) Raw'!U11+Analysis!C11</f>
        <v>97.89943516</v>
      </c>
      <c r="V11" s="41">
        <f>'Firing Inaccuracy(Standing) Raw'!V11+Analysis!C11</f>
        <v>97.95442246</v>
      </c>
      <c r="W11" s="41">
        <f>'Firing Inaccuracy(Standing) Raw'!W11+Analysis!C11</f>
        <v>97.98134102</v>
      </c>
      <c r="X11" s="41">
        <f>'Firing Inaccuracy(Standing) Raw'!X11+Analysis!C11</f>
        <v>97.99451877</v>
      </c>
      <c r="Y11" s="41"/>
      <c r="Z11" s="41"/>
      <c r="AA11" s="41"/>
      <c r="AB11" s="41"/>
      <c r="AC11" s="41"/>
      <c r="AD11" s="41"/>
      <c r="AE11" s="41"/>
      <c r="AF11" s="41"/>
      <c r="AG11" s="41"/>
      <c r="AH11" s="41"/>
      <c r="AI11" s="41"/>
      <c r="AJ11" s="41"/>
    </row>
    <row r="12" ht="15.75" customHeight="1">
      <c r="A12" s="75"/>
      <c r="B12" s="77" t="str">
        <f>'Firing Inaccuracy(Standing) Raw'!B12</f>
        <v/>
      </c>
      <c r="C12" s="131" t="str">
        <f>'Firing Inaccuracy(Standing) Raw'!C12</f>
        <v/>
      </c>
      <c r="D12" s="132" t="str">
        <f>'Firing Inaccuracy(Standing) Raw'!D12</f>
        <v/>
      </c>
      <c r="E12" s="132" t="str">
        <f>'Firing Inaccuracy(Standing) Raw'!E12</f>
        <v/>
      </c>
      <c r="F12" s="133" t="str">
        <f>'Firing Inaccuracy(Standing) Raw'!F12</f>
        <v/>
      </c>
      <c r="G12" s="79" t="str">
        <f>'Firing Inaccuracy(Standing) Raw'!G12</f>
        <v/>
      </c>
      <c r="H12" s="79" t="str">
        <f>'Firing Inaccuracy(Standing) Raw'!H12</f>
        <v/>
      </c>
      <c r="I12" s="79" t="str">
        <f>'Firing Inaccuracy(Standing) Raw'!I12</f>
        <v/>
      </c>
      <c r="J12" s="79" t="str">
        <f>'Firing Inaccuracy(Standing) Raw'!J12</f>
        <v/>
      </c>
      <c r="K12" s="79" t="str">
        <f>'Firing Inaccuracy(Standing) Raw'!K12</f>
        <v/>
      </c>
      <c r="L12" s="79" t="str">
        <f>'Firing Inaccuracy(Standing) Raw'!L12</f>
        <v/>
      </c>
      <c r="M12" s="79" t="str">
        <f>'Firing Inaccuracy(Standing) Raw'!M12</f>
        <v/>
      </c>
      <c r="N12" s="79" t="str">
        <f>'Firing Inaccuracy(Standing) Raw'!N12</f>
        <v/>
      </c>
      <c r="O12" s="134" t="str">
        <f>'Firing Inaccuracy(Standing) Raw'!O12</f>
        <v/>
      </c>
      <c r="P12" s="134" t="str">
        <f>'Firing Inaccuracy(Standing) Raw'!P12</f>
        <v/>
      </c>
      <c r="Q12" s="134" t="str">
        <f>'Firing Inaccuracy(Standing) Raw'!Q12</f>
        <v/>
      </c>
      <c r="R12" s="134" t="str">
        <f>'Firing Inaccuracy(Standing) Raw'!R12</f>
        <v/>
      </c>
      <c r="S12" s="134" t="str">
        <f>'Firing Inaccuracy(Standing) Raw'!S12</f>
        <v/>
      </c>
      <c r="T12" s="134" t="str">
        <f>'Firing Inaccuracy(Standing) Raw'!T12</f>
        <v/>
      </c>
      <c r="U12" s="134" t="str">
        <f>'Firing Inaccuracy(Standing) Raw'!U12</f>
        <v/>
      </c>
      <c r="V12" s="134" t="str">
        <f>'Firing Inaccuracy(Standing) Raw'!V12</f>
        <v/>
      </c>
      <c r="W12" s="134" t="str">
        <f>'Firing Inaccuracy(Standing) Raw'!W12</f>
        <v/>
      </c>
      <c r="X12" s="134" t="str">
        <f>'Firing Inaccuracy(Standing) Raw'!X12</f>
        <v/>
      </c>
      <c r="Y12" s="134" t="str">
        <f>'Firing Inaccuracy(Standing) Raw'!Y12</f>
        <v/>
      </c>
      <c r="Z12" s="134" t="str">
        <f>'Firing Inaccuracy(Standing) Raw'!Z12</f>
        <v/>
      </c>
      <c r="AA12" s="134" t="str">
        <f>'Firing Inaccuracy(Standing) Raw'!AA12</f>
        <v/>
      </c>
      <c r="AB12" s="134" t="str">
        <f>'Firing Inaccuracy(Standing) Raw'!AB12</f>
        <v/>
      </c>
      <c r="AC12" s="134" t="str">
        <f>'Firing Inaccuracy(Standing) Raw'!AC12</f>
        <v/>
      </c>
      <c r="AD12" s="134" t="str">
        <f>'Firing Inaccuracy(Standing) Raw'!AD12</f>
        <v/>
      </c>
      <c r="AE12" s="134" t="str">
        <f>'Firing Inaccuracy(Standing) Raw'!AE12</f>
        <v/>
      </c>
      <c r="AF12" s="134" t="str">
        <f>'Firing Inaccuracy(Standing) Raw'!AF12</f>
        <v/>
      </c>
      <c r="AG12" s="134" t="str">
        <f>'Firing Inaccuracy(Standing) Raw'!AG12</f>
        <v/>
      </c>
      <c r="AH12" s="134" t="str">
        <f>'Firing Inaccuracy(Standing) Raw'!AH12</f>
        <v/>
      </c>
      <c r="AI12" s="134" t="str">
        <f>'Firing Inaccuracy(Standing) Raw'!AI12</f>
        <v/>
      </c>
      <c r="AJ12" s="134" t="str">
        <f>'Firing Inaccuracy(Standing) Raw'!AJ12</f>
        <v/>
      </c>
    </row>
    <row r="13" ht="15.75" customHeight="1">
      <c r="A13" s="5" t="s">
        <v>135</v>
      </c>
      <c r="B13" s="11" t="str">
        <f>'Firing Inaccuracy(Standing) Raw'!B13</f>
        <v>CycleTime</v>
      </c>
      <c r="C13" s="9" t="str">
        <f>'Firing Inaccuracy(Standing) Raw'!C13</f>
        <v>Inaccuracy
Fire</v>
      </c>
      <c r="D13" s="21" t="str">
        <f>'Firing Inaccuracy(Standing) Raw'!D13</f>
        <v>Recovery
TimeStand</v>
      </c>
      <c r="E13" s="21" t="str">
        <f>'Firing Inaccuracy(Standing) Raw'!E13</f>
        <v>RecoveryTime
StandFinal</v>
      </c>
      <c r="F13" s="125" t="str">
        <f>'Firing Inaccuracy(Standing) Raw'!F13</f>
        <v/>
      </c>
      <c r="G13" s="127">
        <f>'Firing Inaccuracy(Standing) Raw'!G13</f>
        <v>1</v>
      </c>
      <c r="H13" s="127">
        <f>'Firing Inaccuracy(Standing) Raw'!H13</f>
        <v>2</v>
      </c>
      <c r="I13" s="127">
        <f>'Firing Inaccuracy(Standing) Raw'!I13</f>
        <v>3</v>
      </c>
      <c r="J13" s="127">
        <f>'Firing Inaccuracy(Standing) Raw'!J13</f>
        <v>4</v>
      </c>
      <c r="K13" s="127">
        <f>'Firing Inaccuracy(Standing) Raw'!K13</f>
        <v>5</v>
      </c>
      <c r="L13" s="127">
        <f>'Firing Inaccuracy(Standing) Raw'!L13</f>
        <v>6</v>
      </c>
      <c r="M13" s="127">
        <f>'Firing Inaccuracy(Standing) Raw'!M13</f>
        <v>7</v>
      </c>
      <c r="N13" s="127">
        <f>'Firing Inaccuracy(Standing) Raw'!N13</f>
        <v>8</v>
      </c>
      <c r="O13" s="135" t="str">
        <f>'Firing Inaccuracy(Standing) Raw'!O13</f>
        <v/>
      </c>
      <c r="P13" s="136" t="str">
        <f>'Firing Inaccuracy(Standing) Raw'!P13</f>
        <v/>
      </c>
      <c r="Q13" s="136" t="str">
        <f>'Firing Inaccuracy(Standing) Raw'!Q13</f>
        <v/>
      </c>
      <c r="R13" s="136" t="str">
        <f>'Firing Inaccuracy(Standing) Raw'!R13</f>
        <v/>
      </c>
      <c r="S13" s="136" t="str">
        <f>'Firing Inaccuracy(Standing) Raw'!S13</f>
        <v/>
      </c>
      <c r="T13" s="136" t="str">
        <f>'Firing Inaccuracy(Standing) Raw'!T13</f>
        <v/>
      </c>
      <c r="U13" s="136" t="str">
        <f>'Firing Inaccuracy(Standing) Raw'!U13</f>
        <v/>
      </c>
      <c r="V13" s="136" t="str">
        <f>'Firing Inaccuracy(Standing) Raw'!V13</f>
        <v/>
      </c>
      <c r="W13" s="136" t="str">
        <f>'Firing Inaccuracy(Standing) Raw'!W13</f>
        <v/>
      </c>
      <c r="X13" s="136" t="str">
        <f>'Firing Inaccuracy(Standing) Raw'!X13</f>
        <v/>
      </c>
      <c r="Y13" s="136" t="str">
        <f>'Firing Inaccuracy(Standing) Raw'!Y13</f>
        <v/>
      </c>
      <c r="Z13" s="136" t="str">
        <f>'Firing Inaccuracy(Standing) Raw'!Z13</f>
        <v/>
      </c>
      <c r="AA13" s="136" t="str">
        <f>'Firing Inaccuracy(Standing) Raw'!AA13</f>
        <v/>
      </c>
      <c r="AB13" s="136" t="str">
        <f>'Firing Inaccuracy(Standing) Raw'!AB13</f>
        <v/>
      </c>
      <c r="AC13" s="136" t="str">
        <f>'Firing Inaccuracy(Standing) Raw'!AC13</f>
        <v/>
      </c>
      <c r="AD13" s="136" t="str">
        <f>'Firing Inaccuracy(Standing) Raw'!AD13</f>
        <v/>
      </c>
      <c r="AE13" s="136" t="str">
        <f>'Firing Inaccuracy(Standing) Raw'!AE13</f>
        <v/>
      </c>
      <c r="AF13" s="136" t="str">
        <f>'Firing Inaccuracy(Standing) Raw'!AF13</f>
        <v/>
      </c>
      <c r="AG13" s="136" t="str">
        <f>'Firing Inaccuracy(Standing) Raw'!AG13</f>
        <v/>
      </c>
      <c r="AH13" s="136" t="str">
        <f>'Firing Inaccuracy(Standing) Raw'!AH13</f>
        <v/>
      </c>
      <c r="AI13" s="136" t="str">
        <f>'Firing Inaccuracy(Standing) Raw'!AI13</f>
        <v/>
      </c>
      <c r="AJ13" s="136" t="str">
        <f>'Firing Inaccuracy(Standing) Raw'!AJ13</f>
        <v/>
      </c>
    </row>
    <row r="14" ht="15.75" customHeight="1">
      <c r="A14" s="61" t="s">
        <v>137</v>
      </c>
      <c r="B14" s="32">
        <f>'Firing Inaccuracy(Standing) Raw'!B14</f>
        <v>0.85</v>
      </c>
      <c r="C14" s="34">
        <f>'Firing Inaccuracy(Standing) Raw'!C14</f>
        <v>11.19</v>
      </c>
      <c r="D14" s="43">
        <f>'Firing Inaccuracy(Standing) Raw'!D14</f>
        <v>0.399729</v>
      </c>
      <c r="E14" s="43" t="str">
        <f>'Firing Inaccuracy(Standing) Raw'!E14</f>
        <v>N/A</v>
      </c>
      <c r="F14" s="130" t="str">
        <f>'Firing Inaccuracy(Standing) Raw'!F14</f>
        <v/>
      </c>
      <c r="G14" s="39">
        <f>'Firing Inaccuracy(Standing) Raw'!G14+Analysis!C14</f>
        <v>47</v>
      </c>
      <c r="H14" s="41">
        <f>'Firing Inaccuracy(Standing) Raw'!H14+Analysis!C14</f>
        <v>47.08363526</v>
      </c>
      <c r="I14" s="41">
        <f>'Firing Inaccuracy(Standing) Raw'!I14+Analysis!C14</f>
        <v>47.08426036</v>
      </c>
      <c r="J14" s="41">
        <f>'Firing Inaccuracy(Standing) Raw'!J14+Analysis!C14</f>
        <v>47.08426503</v>
      </c>
      <c r="K14" s="41">
        <f>'Firing Inaccuracy(Standing) Raw'!K14+Analysis!C14</f>
        <v>47.08426507</v>
      </c>
      <c r="L14" s="41"/>
      <c r="M14" s="41"/>
      <c r="N14" s="41"/>
      <c r="O14" s="137" t="str">
        <f>'Firing Inaccuracy(Standing) Raw'!O14</f>
        <v/>
      </c>
      <c r="P14" s="131" t="str">
        <f>'Firing Inaccuracy(Standing) Raw'!P14</f>
        <v/>
      </c>
      <c r="Q14" s="131" t="str">
        <f>'Firing Inaccuracy(Standing) Raw'!Q14</f>
        <v/>
      </c>
      <c r="R14" s="138" t="str">
        <f>'Firing Inaccuracy(Standing) Raw'!R14</f>
        <v/>
      </c>
      <c r="S14" s="131" t="str">
        <f>'Firing Inaccuracy(Standing) Raw'!S14</f>
        <v/>
      </c>
      <c r="T14" s="131" t="str">
        <f>'Firing Inaccuracy(Standing) Raw'!T14</f>
        <v/>
      </c>
      <c r="U14" s="131" t="str">
        <f>'Firing Inaccuracy(Standing) Raw'!U14</f>
        <v/>
      </c>
      <c r="V14" s="131" t="str">
        <f>'Firing Inaccuracy(Standing) Raw'!V14</f>
        <v/>
      </c>
      <c r="W14" s="131" t="str">
        <f>'Firing Inaccuracy(Standing) Raw'!W14</f>
        <v/>
      </c>
      <c r="X14" s="131" t="str">
        <f>'Firing Inaccuracy(Standing) Raw'!X14</f>
        <v/>
      </c>
      <c r="Y14" s="131" t="str">
        <f>'Firing Inaccuracy(Standing) Raw'!Y14</f>
        <v/>
      </c>
      <c r="Z14" s="131" t="str">
        <f>'Firing Inaccuracy(Standing) Raw'!Z14</f>
        <v/>
      </c>
      <c r="AA14" s="131" t="str">
        <f>'Firing Inaccuracy(Standing) Raw'!AA14</f>
        <v/>
      </c>
      <c r="AB14" s="131" t="str">
        <f>'Firing Inaccuracy(Standing) Raw'!AB14</f>
        <v/>
      </c>
      <c r="AC14" s="131" t="str">
        <f>'Firing Inaccuracy(Standing) Raw'!AC14</f>
        <v/>
      </c>
      <c r="AD14" s="131" t="str">
        <f>'Firing Inaccuracy(Standing) Raw'!AD14</f>
        <v/>
      </c>
      <c r="AE14" s="131" t="str">
        <f>'Firing Inaccuracy(Standing) Raw'!AE14</f>
        <v/>
      </c>
      <c r="AF14" s="131" t="str">
        <f>'Firing Inaccuracy(Standing) Raw'!AF14</f>
        <v/>
      </c>
      <c r="AG14" s="131" t="str">
        <f>'Firing Inaccuracy(Standing) Raw'!AG14</f>
        <v/>
      </c>
      <c r="AH14" s="131" t="str">
        <f>'Firing Inaccuracy(Standing) Raw'!AH14</f>
        <v/>
      </c>
      <c r="AI14" s="131" t="str">
        <f>'Firing Inaccuracy(Standing) Raw'!AI14</f>
        <v/>
      </c>
      <c r="AJ14" s="131" t="str">
        <f>'Firing Inaccuracy(Standing) Raw'!AJ14</f>
        <v/>
      </c>
    </row>
    <row r="15" ht="15.75" customHeight="1">
      <c r="A15" s="28" t="s">
        <v>140</v>
      </c>
      <c r="B15" s="32">
        <f>'Firing Inaccuracy(Standing) Raw'!B15</f>
        <v>0.88</v>
      </c>
      <c r="C15" s="34">
        <f>'Firing Inaccuracy(Standing) Raw'!C15</f>
        <v>9.72</v>
      </c>
      <c r="D15" s="43">
        <f>'Firing Inaccuracy(Standing) Raw'!D15</f>
        <v>0.460517</v>
      </c>
      <c r="E15" s="43" t="str">
        <f>'Firing Inaccuracy(Standing) Raw'!E15</f>
        <v>N/A</v>
      </c>
      <c r="F15" s="130" t="str">
        <f>'Firing Inaccuracy(Standing) Raw'!F15</f>
        <v/>
      </c>
      <c r="G15" s="39">
        <f>'Firing Inaccuracy(Standing) Raw'!G15+Analysis!C15</f>
        <v>47</v>
      </c>
      <c r="H15" s="41">
        <f>'Firing Inaccuracy(Standing) Raw'!H15+Analysis!C15</f>
        <v>47.11933572</v>
      </c>
      <c r="I15" s="41">
        <f>'Firing Inaccuracy(Standing) Raw'!I15+Analysis!C15</f>
        <v>47.12080085</v>
      </c>
      <c r="J15" s="41">
        <f>'Firing Inaccuracy(Standing) Raw'!J15+Analysis!C15</f>
        <v>47.12081884</v>
      </c>
      <c r="K15" s="41">
        <f>'Firing Inaccuracy(Standing) Raw'!K15+Analysis!C15</f>
        <v>47.12081906</v>
      </c>
      <c r="L15" s="41">
        <f>'Firing Inaccuracy(Standing) Raw'!L15+Analysis!C15</f>
        <v>47.12081906</v>
      </c>
      <c r="M15" s="41">
        <f>'Firing Inaccuracy(Standing) Raw'!M15+Analysis!C15</f>
        <v>47.12081906</v>
      </c>
      <c r="N15" s="41">
        <f>'Firing Inaccuracy(Standing) Raw'!N15+Analysis!C15</f>
        <v>47.12081906</v>
      </c>
      <c r="O15" s="137" t="str">
        <f>'Firing Inaccuracy(Standing) Raw'!O15</f>
        <v/>
      </c>
      <c r="P15" s="131" t="str">
        <f>'Firing Inaccuracy(Standing) Raw'!P15</f>
        <v/>
      </c>
      <c r="Q15" s="139" t="str">
        <f>'Firing Inaccuracy(Standing) Raw'!Q15</f>
        <v/>
      </c>
      <c r="R15" s="138" t="str">
        <f>'Firing Inaccuracy(Standing) Raw'!R15</f>
        <v/>
      </c>
      <c r="S15" s="131" t="str">
        <f>'Firing Inaccuracy(Standing) Raw'!S15</f>
        <v/>
      </c>
      <c r="T15" s="131" t="str">
        <f>'Firing Inaccuracy(Standing) Raw'!T15</f>
        <v/>
      </c>
      <c r="U15" s="131" t="str">
        <f>'Firing Inaccuracy(Standing) Raw'!U15</f>
        <v/>
      </c>
      <c r="V15" s="131" t="str">
        <f>'Firing Inaccuracy(Standing) Raw'!V15</f>
        <v/>
      </c>
      <c r="W15" s="131" t="str">
        <f>'Firing Inaccuracy(Standing) Raw'!W15</f>
        <v/>
      </c>
      <c r="X15" s="131" t="str">
        <f>'Firing Inaccuracy(Standing) Raw'!X15</f>
        <v/>
      </c>
      <c r="Y15" s="131" t="str">
        <f>'Firing Inaccuracy(Standing) Raw'!Y15</f>
        <v/>
      </c>
      <c r="Z15" s="131" t="str">
        <f>'Firing Inaccuracy(Standing) Raw'!Z15</f>
        <v/>
      </c>
      <c r="AA15" s="131" t="str">
        <f>'Firing Inaccuracy(Standing) Raw'!AA15</f>
        <v/>
      </c>
      <c r="AB15" s="131" t="str">
        <f>'Firing Inaccuracy(Standing) Raw'!AB15</f>
        <v/>
      </c>
      <c r="AC15" s="131" t="str">
        <f>'Firing Inaccuracy(Standing) Raw'!AC15</f>
        <v/>
      </c>
      <c r="AD15" s="131" t="str">
        <f>'Firing Inaccuracy(Standing) Raw'!AD15</f>
        <v/>
      </c>
      <c r="AE15" s="131" t="str">
        <f>'Firing Inaccuracy(Standing) Raw'!AE15</f>
        <v/>
      </c>
      <c r="AF15" s="131" t="str">
        <f>'Firing Inaccuracy(Standing) Raw'!AF15</f>
        <v/>
      </c>
      <c r="AG15" s="131" t="str">
        <f>'Firing Inaccuracy(Standing) Raw'!AG15</f>
        <v/>
      </c>
      <c r="AH15" s="131" t="str">
        <f>'Firing Inaccuracy(Standing) Raw'!AH15</f>
        <v/>
      </c>
      <c r="AI15" s="131" t="str">
        <f>'Firing Inaccuracy(Standing) Raw'!AI15</f>
        <v/>
      </c>
      <c r="AJ15" s="131" t="str">
        <f>'Firing Inaccuracy(Standing) Raw'!AJ15</f>
        <v/>
      </c>
    </row>
    <row r="16" ht="15.75" customHeight="1">
      <c r="A16" s="66" t="s">
        <v>142</v>
      </c>
      <c r="B16" s="32">
        <f>'Firing Inaccuracy(Standing) Raw'!B16</f>
        <v>0.85</v>
      </c>
      <c r="C16" s="34">
        <f>'Firing Inaccuracy(Standing) Raw'!C16</f>
        <v>9.72</v>
      </c>
      <c r="D16" s="43">
        <f>'Firing Inaccuracy(Standing) Raw'!D16</f>
        <v>0.460517</v>
      </c>
      <c r="E16" s="43" t="str">
        <f>'Firing Inaccuracy(Standing) Raw'!E16</f>
        <v>N/A</v>
      </c>
      <c r="F16" s="130" t="str">
        <f>'Firing Inaccuracy(Standing) Raw'!F16</f>
        <v/>
      </c>
      <c r="G16" s="39">
        <f>'Firing Inaccuracy(Standing) Raw'!G16+Analysis!C16</f>
        <v>69</v>
      </c>
      <c r="H16" s="41">
        <f>'Firing Inaccuracy(Standing) Raw'!H16+Analysis!C16</f>
        <v>69.13864833</v>
      </c>
      <c r="I16" s="41">
        <f>'Firing Inaccuracy(Standing) Raw'!I16+Analysis!C16</f>
        <v>69.14062604</v>
      </c>
      <c r="J16" s="41">
        <f>'Firing Inaccuracy(Standing) Raw'!J16+Analysis!C16</f>
        <v>69.14065425</v>
      </c>
      <c r="K16" s="41">
        <f>'Firing Inaccuracy(Standing) Raw'!K16+Analysis!C16</f>
        <v>69.14065465</v>
      </c>
      <c r="L16" s="41">
        <f>'Firing Inaccuracy(Standing) Raw'!L16+Analysis!C16</f>
        <v>69.14065466</v>
      </c>
      <c r="M16" s="41">
        <f>'Firing Inaccuracy(Standing) Raw'!M16+Analysis!C16</f>
        <v>69.14065466</v>
      </c>
      <c r="N16" s="41"/>
      <c r="O16" s="137" t="str">
        <f>'Firing Inaccuracy(Standing) Raw'!O16</f>
        <v/>
      </c>
      <c r="P16" s="131" t="str">
        <f>'Firing Inaccuracy(Standing) Raw'!P16</f>
        <v/>
      </c>
      <c r="Q16" s="131" t="str">
        <f>'Firing Inaccuracy(Standing) Raw'!Q16</f>
        <v/>
      </c>
      <c r="R16" s="131" t="str">
        <f>'Firing Inaccuracy(Standing) Raw'!R16</f>
        <v/>
      </c>
      <c r="S16" s="131" t="str">
        <f>'Firing Inaccuracy(Standing) Raw'!S16</f>
        <v/>
      </c>
      <c r="T16" s="131" t="str">
        <f>'Firing Inaccuracy(Standing) Raw'!T16</f>
        <v/>
      </c>
      <c r="U16" s="131" t="str">
        <f>'Firing Inaccuracy(Standing) Raw'!U16</f>
        <v/>
      </c>
      <c r="V16" s="131" t="str">
        <f>'Firing Inaccuracy(Standing) Raw'!V16</f>
        <v/>
      </c>
      <c r="W16" s="131" t="str">
        <f>'Firing Inaccuracy(Standing) Raw'!W16</f>
        <v/>
      </c>
      <c r="X16" s="131" t="str">
        <f>'Firing Inaccuracy(Standing) Raw'!X16</f>
        <v/>
      </c>
      <c r="Y16" s="131" t="str">
        <f>'Firing Inaccuracy(Standing) Raw'!Y16</f>
        <v/>
      </c>
      <c r="Z16" s="131" t="str">
        <f>'Firing Inaccuracy(Standing) Raw'!Z16</f>
        <v/>
      </c>
      <c r="AA16" s="131" t="str">
        <f>'Firing Inaccuracy(Standing) Raw'!AA16</f>
        <v/>
      </c>
      <c r="AB16" s="131" t="str">
        <f>'Firing Inaccuracy(Standing) Raw'!AB16</f>
        <v/>
      </c>
      <c r="AC16" s="131" t="str">
        <f>'Firing Inaccuracy(Standing) Raw'!AC16</f>
        <v/>
      </c>
      <c r="AD16" s="131" t="str">
        <f>'Firing Inaccuracy(Standing) Raw'!AD16</f>
        <v/>
      </c>
      <c r="AE16" s="131" t="str">
        <f>'Firing Inaccuracy(Standing) Raw'!AE16</f>
        <v/>
      </c>
      <c r="AF16" s="131" t="str">
        <f>'Firing Inaccuracy(Standing) Raw'!AF16</f>
        <v/>
      </c>
      <c r="AG16" s="131" t="str">
        <f>'Firing Inaccuracy(Standing) Raw'!AG16</f>
        <v/>
      </c>
      <c r="AH16" s="131" t="str">
        <f>'Firing Inaccuracy(Standing) Raw'!AH16</f>
        <v/>
      </c>
      <c r="AI16" s="131" t="str">
        <f>'Firing Inaccuracy(Standing) Raw'!AI16</f>
        <v/>
      </c>
      <c r="AJ16" s="131" t="str">
        <f>'Firing Inaccuracy(Standing) Raw'!AJ16</f>
        <v/>
      </c>
    </row>
    <row r="17" ht="15.75" customHeight="1">
      <c r="A17" s="28" t="s">
        <v>143</v>
      </c>
      <c r="B17" s="32">
        <f>'Firing Inaccuracy(Standing) Raw'!B17</f>
        <v>0.35</v>
      </c>
      <c r="C17" s="34">
        <f>'Firing Inaccuracy(Standing) Raw'!C17</f>
        <v>8.83</v>
      </c>
      <c r="D17" s="43">
        <f>'Firing Inaccuracy(Standing) Raw'!D17</f>
        <v>0.506569</v>
      </c>
      <c r="E17" s="43" t="str">
        <f>'Firing Inaccuracy(Standing) Raw'!E17</f>
        <v>N/A</v>
      </c>
      <c r="F17" s="130" t="str">
        <f>'Firing Inaccuracy(Standing) Raw'!F17</f>
        <v/>
      </c>
      <c r="G17" s="39">
        <f>'Firing Inaccuracy(Standing) Raw'!G17+Analysis!C17</f>
        <v>45</v>
      </c>
      <c r="H17" s="41">
        <f>'Firing Inaccuracy(Standing) Raw'!H17+Analysis!C17</f>
        <v>46.79902851</v>
      </c>
      <c r="I17" s="41">
        <f>'Firing Inaccuracy(Standing) Raw'!I17+Analysis!C17</f>
        <v>47.16556345</v>
      </c>
      <c r="J17" s="41">
        <f>'Firing Inaccuracy(Standing) Raw'!J17+Analysis!C17</f>
        <v>47.24024146</v>
      </c>
      <c r="K17" s="41">
        <f>'Firing Inaccuracy(Standing) Raw'!K17+Analysis!C17</f>
        <v>47.2554564</v>
      </c>
      <c r="L17" s="41">
        <f>'Firing Inaccuracy(Standing) Raw'!L17+Analysis!C17</f>
        <v>47.2585563</v>
      </c>
      <c r="M17" s="41">
        <f>'Firing Inaccuracy(Standing) Raw'!M17+Analysis!C17</f>
        <v>47.25918787</v>
      </c>
      <c r="N17" s="41"/>
      <c r="O17" s="137" t="str">
        <f>'Firing Inaccuracy(Standing) Raw'!O17</f>
        <v/>
      </c>
      <c r="P17" s="131" t="str">
        <f>'Firing Inaccuracy(Standing) Raw'!P17</f>
        <v/>
      </c>
      <c r="Q17" s="131" t="str">
        <f>'Firing Inaccuracy(Standing) Raw'!Q17</f>
        <v/>
      </c>
      <c r="R17" s="131" t="str">
        <f>'Firing Inaccuracy(Standing) Raw'!R17</f>
        <v/>
      </c>
      <c r="S17" s="131" t="str">
        <f>'Firing Inaccuracy(Standing) Raw'!S17</f>
        <v/>
      </c>
      <c r="T17" s="131" t="str">
        <f>'Firing Inaccuracy(Standing) Raw'!T17</f>
        <v/>
      </c>
      <c r="U17" s="131" t="str">
        <f>'Firing Inaccuracy(Standing) Raw'!U17</f>
        <v/>
      </c>
      <c r="V17" s="131" t="str">
        <f>'Firing Inaccuracy(Standing) Raw'!V17</f>
        <v/>
      </c>
      <c r="W17" s="131" t="str">
        <f>'Firing Inaccuracy(Standing) Raw'!W17</f>
        <v/>
      </c>
      <c r="X17" s="131" t="str">
        <f>'Firing Inaccuracy(Standing) Raw'!X17</f>
        <v/>
      </c>
      <c r="Y17" s="131" t="str">
        <f>'Firing Inaccuracy(Standing) Raw'!Y17</f>
        <v/>
      </c>
      <c r="Z17" s="131" t="str">
        <f>'Firing Inaccuracy(Standing) Raw'!Z17</f>
        <v/>
      </c>
      <c r="AA17" s="131" t="str">
        <f>'Firing Inaccuracy(Standing) Raw'!AA17</f>
        <v/>
      </c>
      <c r="AB17" s="131" t="str">
        <f>'Firing Inaccuracy(Standing) Raw'!AB17</f>
        <v/>
      </c>
      <c r="AC17" s="131" t="str">
        <f>'Firing Inaccuracy(Standing) Raw'!AC17</f>
        <v/>
      </c>
      <c r="AD17" s="131" t="str">
        <f>'Firing Inaccuracy(Standing) Raw'!AD17</f>
        <v/>
      </c>
      <c r="AE17" s="131" t="str">
        <f>'Firing Inaccuracy(Standing) Raw'!AE17</f>
        <v/>
      </c>
      <c r="AF17" s="131" t="str">
        <f>'Firing Inaccuracy(Standing) Raw'!AF17</f>
        <v/>
      </c>
      <c r="AG17" s="131" t="str">
        <f>'Firing Inaccuracy(Standing) Raw'!AG17</f>
        <v/>
      </c>
      <c r="AH17" s="131" t="str">
        <f>'Firing Inaccuracy(Standing) Raw'!AH17</f>
        <v/>
      </c>
      <c r="AI17" s="131" t="str">
        <f>'Firing Inaccuracy(Standing) Raw'!AI17</f>
        <v/>
      </c>
      <c r="AJ17" s="131" t="str">
        <f>'Firing Inaccuracy(Standing) Raw'!AJ17</f>
        <v/>
      </c>
    </row>
    <row r="18" ht="15.75" customHeight="1">
      <c r="A18" s="75"/>
      <c r="B18" s="77" t="str">
        <f>'Firing Inaccuracy(Standing) Raw'!B18</f>
        <v/>
      </c>
      <c r="C18" s="131" t="str">
        <f>'Firing Inaccuracy(Standing) Raw'!C18</f>
        <v/>
      </c>
      <c r="D18" s="132" t="str">
        <f>'Firing Inaccuracy(Standing) Raw'!D18</f>
        <v/>
      </c>
      <c r="E18" s="132" t="str">
        <f>'Firing Inaccuracy(Standing) Raw'!E18</f>
        <v/>
      </c>
      <c r="F18" s="133" t="str">
        <f>'Firing Inaccuracy(Standing) Raw'!F18</f>
        <v/>
      </c>
      <c r="G18" s="79" t="str">
        <f>'Firing Inaccuracy(Standing) Raw'!G18</f>
        <v/>
      </c>
      <c r="H18" s="79" t="str">
        <f>'Firing Inaccuracy(Standing) Raw'!H18</f>
        <v/>
      </c>
      <c r="I18" s="79" t="str">
        <f>'Firing Inaccuracy(Standing) Raw'!I18</f>
        <v/>
      </c>
      <c r="J18" s="79" t="str">
        <f>'Firing Inaccuracy(Standing) Raw'!J18</f>
        <v/>
      </c>
      <c r="K18" s="79" t="str">
        <f>'Firing Inaccuracy(Standing) Raw'!K18</f>
        <v/>
      </c>
      <c r="L18" s="79" t="str">
        <f>'Firing Inaccuracy(Standing) Raw'!L18</f>
        <v/>
      </c>
      <c r="M18" s="79" t="str">
        <f>'Firing Inaccuracy(Standing) Raw'!M18</f>
        <v/>
      </c>
      <c r="N18" s="79" t="str">
        <f>'Firing Inaccuracy(Standing) Raw'!N18</f>
        <v/>
      </c>
      <c r="O18" s="140" t="str">
        <f>'Firing Inaccuracy(Standing) Raw'!O18</f>
        <v/>
      </c>
      <c r="P18" s="140" t="str">
        <f>'Firing Inaccuracy(Standing) Raw'!P18</f>
        <v/>
      </c>
      <c r="Q18" s="140" t="str">
        <f>'Firing Inaccuracy(Standing) Raw'!Q18</f>
        <v/>
      </c>
      <c r="R18" s="140" t="str">
        <f>'Firing Inaccuracy(Standing) Raw'!R18</f>
        <v/>
      </c>
      <c r="S18" s="140" t="str">
        <f>'Firing Inaccuracy(Standing) Raw'!S18</f>
        <v/>
      </c>
      <c r="T18" s="140" t="str">
        <f>'Firing Inaccuracy(Standing) Raw'!T18</f>
        <v/>
      </c>
      <c r="U18" s="140" t="str">
        <f>'Firing Inaccuracy(Standing) Raw'!U18</f>
        <v/>
      </c>
      <c r="V18" s="140" t="str">
        <f>'Firing Inaccuracy(Standing) Raw'!V18</f>
        <v/>
      </c>
      <c r="W18" s="140" t="str">
        <f>'Firing Inaccuracy(Standing) Raw'!W18</f>
        <v/>
      </c>
      <c r="X18" s="140" t="str">
        <f>'Firing Inaccuracy(Standing) Raw'!X18</f>
        <v/>
      </c>
      <c r="Y18" s="140" t="str">
        <f>'Firing Inaccuracy(Standing) Raw'!Y18</f>
        <v/>
      </c>
      <c r="Z18" s="140" t="str">
        <f>'Firing Inaccuracy(Standing) Raw'!Z18</f>
        <v/>
      </c>
      <c r="AA18" s="140" t="str">
        <f>'Firing Inaccuracy(Standing) Raw'!AA18</f>
        <v/>
      </c>
      <c r="AB18" s="140" t="str">
        <f>'Firing Inaccuracy(Standing) Raw'!AB18</f>
        <v/>
      </c>
      <c r="AC18" s="140" t="str">
        <f>'Firing Inaccuracy(Standing) Raw'!AC18</f>
        <v/>
      </c>
      <c r="AD18" s="140" t="str">
        <f>'Firing Inaccuracy(Standing) Raw'!AD18</f>
        <v/>
      </c>
      <c r="AE18" s="140" t="str">
        <f>'Firing Inaccuracy(Standing) Raw'!AE18</f>
        <v/>
      </c>
      <c r="AF18" s="140" t="str">
        <f>'Firing Inaccuracy(Standing) Raw'!AF18</f>
        <v/>
      </c>
      <c r="AG18" s="140" t="str">
        <f>'Firing Inaccuracy(Standing) Raw'!AG18</f>
        <v/>
      </c>
      <c r="AH18" s="140" t="str">
        <f>'Firing Inaccuracy(Standing) Raw'!AH18</f>
        <v/>
      </c>
      <c r="AI18" s="140" t="str">
        <f>'Firing Inaccuracy(Standing) Raw'!AI18</f>
        <v/>
      </c>
      <c r="AJ18" s="140" t="str">
        <f>'Firing Inaccuracy(Standing) Raw'!AJ18</f>
        <v/>
      </c>
    </row>
    <row r="19" ht="15.75" customHeight="1">
      <c r="A19" s="5" t="s">
        <v>145</v>
      </c>
      <c r="B19" s="11" t="str">
        <f>'Firing Inaccuracy(Standing) Raw'!B19</f>
        <v>CycleTime</v>
      </c>
      <c r="C19" s="9" t="str">
        <f>'Firing Inaccuracy(Standing) Raw'!C19</f>
        <v>Inaccuracy
Fire</v>
      </c>
      <c r="D19" s="21" t="str">
        <f>'Firing Inaccuracy(Standing) Raw'!D19</f>
        <v>Recovery
TimeStand</v>
      </c>
      <c r="E19" s="21" t="str">
        <f>'Firing Inaccuracy(Standing) Raw'!E19</f>
        <v>RecoveryTime
StandFinal</v>
      </c>
      <c r="F19" s="125" t="str">
        <f>'Firing Inaccuracy(Standing) Raw'!F19</f>
        <v/>
      </c>
      <c r="G19" s="127">
        <f>'Firing Inaccuracy(Standing) Raw'!G19</f>
        <v>1</v>
      </c>
      <c r="H19" s="127">
        <f>'Firing Inaccuracy(Standing) Raw'!H19</f>
        <v>2</v>
      </c>
      <c r="I19" s="127">
        <f>'Firing Inaccuracy(Standing) Raw'!I19</f>
        <v>3</v>
      </c>
      <c r="J19" s="127">
        <f>'Firing Inaccuracy(Standing) Raw'!J19</f>
        <v>4</v>
      </c>
      <c r="K19" s="127">
        <f>'Firing Inaccuracy(Standing) Raw'!K19</f>
        <v>5</v>
      </c>
      <c r="L19" s="127">
        <f>'Firing Inaccuracy(Standing) Raw'!L19</f>
        <v>6</v>
      </c>
      <c r="M19" s="127">
        <f>'Firing Inaccuracy(Standing) Raw'!M19</f>
        <v>7</v>
      </c>
      <c r="N19" s="127">
        <f>'Firing Inaccuracy(Standing) Raw'!N19</f>
        <v>8</v>
      </c>
      <c r="O19" s="127">
        <f>'Firing Inaccuracy(Standing) Raw'!O19</f>
        <v>9</v>
      </c>
      <c r="P19" s="127">
        <f>'Firing Inaccuracy(Standing) Raw'!P19</f>
        <v>10</v>
      </c>
      <c r="Q19" s="127">
        <f>'Firing Inaccuracy(Standing) Raw'!Q19</f>
        <v>11</v>
      </c>
      <c r="R19" s="127">
        <f>'Firing Inaccuracy(Standing) Raw'!R19</f>
        <v>12</v>
      </c>
      <c r="S19" s="127">
        <f>'Firing Inaccuracy(Standing) Raw'!S19</f>
        <v>13</v>
      </c>
      <c r="T19" s="127">
        <f>'Firing Inaccuracy(Standing) Raw'!T19</f>
        <v>14</v>
      </c>
      <c r="U19" s="127">
        <f>'Firing Inaccuracy(Standing) Raw'!U19</f>
        <v>15</v>
      </c>
      <c r="V19" s="127">
        <f>'Firing Inaccuracy(Standing) Raw'!V19</f>
        <v>16</v>
      </c>
      <c r="W19" s="127">
        <f>'Firing Inaccuracy(Standing) Raw'!W19</f>
        <v>17</v>
      </c>
      <c r="X19" s="127">
        <f>'Firing Inaccuracy(Standing) Raw'!X19</f>
        <v>18</v>
      </c>
      <c r="Y19" s="127">
        <f>'Firing Inaccuracy(Standing) Raw'!Y19</f>
        <v>19</v>
      </c>
      <c r="Z19" s="127">
        <f>'Firing Inaccuracy(Standing) Raw'!Z19</f>
        <v>20</v>
      </c>
      <c r="AA19" s="127">
        <f>'Firing Inaccuracy(Standing) Raw'!AA19</f>
        <v>21</v>
      </c>
      <c r="AB19" s="127">
        <f>'Firing Inaccuracy(Standing) Raw'!AB19</f>
        <v>22</v>
      </c>
      <c r="AC19" s="127">
        <f>'Firing Inaccuracy(Standing) Raw'!AC19</f>
        <v>23</v>
      </c>
      <c r="AD19" s="127">
        <f>'Firing Inaccuracy(Standing) Raw'!AD19</f>
        <v>24</v>
      </c>
      <c r="AE19" s="127">
        <f>'Firing Inaccuracy(Standing) Raw'!AE19</f>
        <v>25</v>
      </c>
      <c r="AF19" s="127">
        <f>'Firing Inaccuracy(Standing) Raw'!AF19</f>
        <v>26</v>
      </c>
      <c r="AG19" s="127">
        <f>'Firing Inaccuracy(Standing) Raw'!AG19</f>
        <v>27</v>
      </c>
      <c r="AH19" s="127">
        <f>'Firing Inaccuracy(Standing) Raw'!AH19</f>
        <v>28</v>
      </c>
      <c r="AI19" s="127">
        <f>'Firing Inaccuracy(Standing) Raw'!AI19</f>
        <v>29</v>
      </c>
      <c r="AJ19" s="127">
        <f>'Firing Inaccuracy(Standing) Raw'!AJ19</f>
        <v>30</v>
      </c>
    </row>
    <row r="20" ht="15.75" customHeight="1">
      <c r="A20" s="28" t="s">
        <v>147</v>
      </c>
      <c r="B20" s="32">
        <f>'Firing Inaccuracy(Standing) Raw'!B20</f>
        <v>0.08</v>
      </c>
      <c r="C20" s="34">
        <f>'Firing Inaccuracy(Standing) Raw'!C20</f>
        <v>2.88</v>
      </c>
      <c r="D20" s="43">
        <f>'Firing Inaccuracy(Standing) Raw'!D20</f>
        <v>0.331572</v>
      </c>
      <c r="E20" s="43" t="str">
        <f>'Firing Inaccuracy(Standing) Raw'!E20</f>
        <v>N/A</v>
      </c>
      <c r="F20" s="130" t="str">
        <f>'Firing Inaccuracy(Standing) Raw'!F20</f>
        <v/>
      </c>
      <c r="G20" s="39">
        <f>'Firing Inaccuracy(Standing) Raw'!G20+Analysis!C20</f>
        <v>15</v>
      </c>
      <c r="H20" s="41">
        <f>'Firing Inaccuracy(Standing) Raw'!H20+Analysis!C20</f>
        <v>16.65240915</v>
      </c>
      <c r="I20" s="41">
        <f>'Firing Inaccuracy(Standing) Raw'!I20+Analysis!C20</f>
        <v>17.60048415</v>
      </c>
      <c r="J20" s="41">
        <f>'Firing Inaccuracy(Standing) Raw'!J20+Analysis!C20</f>
        <v>18.14444519</v>
      </c>
      <c r="K20" s="41">
        <f>'Firing Inaccuracy(Standing) Raw'!K20+Analysis!C20</f>
        <v>18.45654457</v>
      </c>
      <c r="L20" s="41">
        <f>'Firing Inaccuracy(Standing) Raw'!L20+Analysis!C20</f>
        <v>18.63561258</v>
      </c>
      <c r="M20" s="41">
        <f>'Firing Inaccuracy(Standing) Raw'!M20+Analysis!C20</f>
        <v>18.73835342</v>
      </c>
      <c r="N20" s="41">
        <f>'Firing Inaccuracy(Standing) Raw'!N20+Analysis!C20</f>
        <v>18.7973013</v>
      </c>
      <c r="O20" s="41">
        <f>'Firing Inaccuracy(Standing) Raw'!O20+Analysis!C20</f>
        <v>18.83112284</v>
      </c>
      <c r="P20" s="41">
        <f>'Firing Inaccuracy(Standing) Raw'!P20+Analysis!C20</f>
        <v>18.85052805</v>
      </c>
      <c r="Q20" s="41">
        <f>'Firing Inaccuracy(Standing) Raw'!Q20+Analysis!C20</f>
        <v>18.86166185</v>
      </c>
      <c r="R20" s="41">
        <f>'Firing Inaccuracy(Standing) Raw'!R20+Analysis!C20</f>
        <v>18.86804991</v>
      </c>
      <c r="S20" s="41">
        <f>'Firing Inaccuracy(Standing) Raw'!S20+Analysis!C20</f>
        <v>18.87171507</v>
      </c>
      <c r="T20" s="41">
        <f>'Firing Inaccuracy(Standing) Raw'!T20+Analysis!C20</f>
        <v>18.87381797</v>
      </c>
      <c r="U20" s="41">
        <f>'Firing Inaccuracy(Standing) Raw'!U20+Analysis!C20</f>
        <v>18.87502452</v>
      </c>
      <c r="V20" s="41">
        <f>'Firing Inaccuracy(Standing) Raw'!V20+Analysis!C20</f>
        <v>18.87571678</v>
      </c>
      <c r="W20" s="41">
        <f>'Firing Inaccuracy(Standing) Raw'!W20+Analysis!C20</f>
        <v>18.87611397</v>
      </c>
      <c r="X20" s="41">
        <f>'Firing Inaccuracy(Standing) Raw'!X20+Analysis!C20</f>
        <v>18.87634185</v>
      </c>
      <c r="Y20" s="41">
        <f>'Firing Inaccuracy(Standing) Raw'!Y20+Analysis!C20</f>
        <v>18.8764726</v>
      </c>
      <c r="Z20" s="41">
        <f>'Firing Inaccuracy(Standing) Raw'!Z20+Analysis!C20</f>
        <v>18.87654762</v>
      </c>
      <c r="AA20" s="41">
        <f>'Firing Inaccuracy(Standing) Raw'!AA20+Analysis!C20</f>
        <v>18.87659067</v>
      </c>
      <c r="AB20" s="41">
        <f>'Firing Inaccuracy(Standing) Raw'!AB20+Analysis!C20</f>
        <v>18.87661536</v>
      </c>
      <c r="AC20" s="41">
        <f>'Firing Inaccuracy(Standing) Raw'!AC20+Analysis!C20</f>
        <v>18.87662953</v>
      </c>
      <c r="AD20" s="41">
        <f>'Firing Inaccuracy(Standing) Raw'!AD20+Analysis!C20</f>
        <v>18.87663766</v>
      </c>
      <c r="AE20" s="41">
        <f>'Firing Inaccuracy(Standing) Raw'!AE20+Analysis!C20</f>
        <v>18.87664232</v>
      </c>
      <c r="AF20" s="41">
        <f>'Firing Inaccuracy(Standing) Raw'!AF20+Analysis!C20</f>
        <v>18.876645</v>
      </c>
      <c r="AG20" s="41">
        <f>'Firing Inaccuracy(Standing) Raw'!AG20+Analysis!C20</f>
        <v>18.87664654</v>
      </c>
      <c r="AH20" s="41">
        <f>'Firing Inaccuracy(Standing) Raw'!AH20+Analysis!C20</f>
        <v>18.87664742</v>
      </c>
      <c r="AI20" s="41">
        <f>'Firing Inaccuracy(Standing) Raw'!AI20+Analysis!C20</f>
        <v>18.87664792</v>
      </c>
      <c r="AJ20" s="41">
        <f>'Firing Inaccuracy(Standing) Raw'!AJ20+Analysis!C20</f>
        <v>18.87664821</v>
      </c>
    </row>
    <row r="21" ht="15.75" customHeight="1">
      <c r="A21" s="66" t="s">
        <v>150</v>
      </c>
      <c r="B21" s="32">
        <f>'Firing Inaccuracy(Standing) Raw'!B21</f>
        <v>0.075</v>
      </c>
      <c r="C21" s="34">
        <f>'Firing Inaccuracy(Standing) Raw'!C21</f>
        <v>4.76</v>
      </c>
      <c r="D21" s="43">
        <f>'Firing Inaccuracy(Standing) Raw'!D21</f>
        <v>0.399729</v>
      </c>
      <c r="E21" s="43" t="str">
        <f>'Firing Inaccuracy(Standing) Raw'!E21</f>
        <v>N/A</v>
      </c>
      <c r="F21" s="130" t="str">
        <f>'Firing Inaccuracy(Standing) Raw'!F21</f>
        <v/>
      </c>
      <c r="G21" s="39">
        <f>'Firing Inaccuracy(Standing) Raw'!G21+Analysis!C21</f>
        <v>13.9</v>
      </c>
      <c r="H21" s="41">
        <f>'Firing Inaccuracy(Standing) Raw'!H21+Analysis!C21</f>
        <v>16.99015195</v>
      </c>
      <c r="I21" s="41">
        <f>'Firing Inaccuracy(Standing) Raw'!I21+Analysis!C21</f>
        <v>18.9962526</v>
      </c>
      <c r="J21" s="41">
        <f>'Firing Inaccuracy(Standing) Raw'!J21+Analysis!C21</f>
        <v>20.29859626</v>
      </c>
      <c r="K21" s="41">
        <f>'Firing Inaccuracy(Standing) Raw'!K21+Analysis!C21</f>
        <v>21.14406681</v>
      </c>
      <c r="L21" s="41">
        <f>'Firing Inaccuracy(Standing) Raw'!L21+Analysis!C21</f>
        <v>21.69293917</v>
      </c>
      <c r="M21" s="41">
        <f>'Firing Inaccuracy(Standing) Raw'!M21+Analysis!C21</f>
        <v>22.04926249</v>
      </c>
      <c r="N21" s="41">
        <f>'Firing Inaccuracy(Standing) Raw'!N21+Analysis!C21</f>
        <v>22.2805846</v>
      </c>
      <c r="O21" s="41">
        <f>'Firing Inaccuracy(Standing) Raw'!O21+Analysis!C21</f>
        <v>22.43075696</v>
      </c>
      <c r="P21" s="41">
        <f>'Firing Inaccuracy(Standing) Raw'!P21+Analysis!C21</f>
        <v>22.52824759</v>
      </c>
      <c r="Q21" s="41">
        <f>'Firing Inaccuracy(Standing) Raw'!Q21+Analysis!C21</f>
        <v>22.59153769</v>
      </c>
      <c r="R21" s="41">
        <f>'Firing Inaccuracy(Standing) Raw'!R21+Analysis!C21</f>
        <v>22.63262509</v>
      </c>
      <c r="S21" s="41">
        <f>'Firing Inaccuracy(Standing) Raw'!S21+Analysis!C21</f>
        <v>22.65929869</v>
      </c>
      <c r="T21" s="41">
        <f>'Firing Inaccuracy(Standing) Raw'!T21+Analysis!C21</f>
        <v>22.67661496</v>
      </c>
      <c r="U21" s="41">
        <f>'Firing Inaccuracy(Standing) Raw'!U21+Analysis!C21</f>
        <v>22.68785654</v>
      </c>
      <c r="V21" s="41">
        <f>'Firing Inaccuracy(Standing) Raw'!V21+Analysis!C21</f>
        <v>22.69515448</v>
      </c>
      <c r="W21" s="41">
        <f>'Firing Inaccuracy(Standing) Raw'!W21+Analysis!C21</f>
        <v>22.69989224</v>
      </c>
      <c r="X21" s="41">
        <f>'Firing Inaccuracy(Standing) Raw'!X21+Analysis!C21</f>
        <v>22.70296795</v>
      </c>
      <c r="Y21" s="41">
        <f>'Firing Inaccuracy(Standing) Raw'!Y21+Analysis!C21</f>
        <v>22.70496468</v>
      </c>
      <c r="Z21" s="41">
        <f>'Firing Inaccuracy(Standing) Raw'!Z21+Analysis!C21</f>
        <v>22.70626094</v>
      </c>
      <c r="AA21" s="41">
        <f>'Firing Inaccuracy(Standing) Raw'!AA21+Analysis!C21</f>
        <v>22.70710246</v>
      </c>
      <c r="AB21" s="41">
        <f>'Firing Inaccuracy(Standing) Raw'!AB21+Analysis!C21</f>
        <v>22.70764877</v>
      </c>
      <c r="AC21" s="41">
        <f>'Firing Inaccuracy(Standing) Raw'!AC21+Analysis!C21</f>
        <v>22.70800343</v>
      </c>
      <c r="AD21" s="41">
        <f>'Firing Inaccuracy(Standing) Raw'!AD21+Analysis!C21</f>
        <v>22.70823367</v>
      </c>
      <c r="AE21" s="41">
        <f>'Firing Inaccuracy(Standing) Raw'!AE21+Analysis!C21</f>
        <v>22.70838314</v>
      </c>
      <c r="AF21" s="41">
        <f>'Firing Inaccuracy(Standing) Raw'!AF21+Analysis!C21</f>
        <v>22.70848017</v>
      </c>
      <c r="AG21" s="41">
        <f>'Firing Inaccuracy(Standing) Raw'!AG21+Analysis!C21</f>
        <v>22.70854317</v>
      </c>
      <c r="AH21" s="41">
        <f>'Firing Inaccuracy(Standing) Raw'!AH21+Analysis!C21</f>
        <v>22.70858406</v>
      </c>
      <c r="AI21" s="41">
        <f>'Firing Inaccuracy(Standing) Raw'!AI21+Analysis!C21</f>
        <v>22.70861061</v>
      </c>
      <c r="AJ21" s="41">
        <f>'Firing Inaccuracy(Standing) Raw'!AJ21+Analysis!C21</f>
        <v>22.70862785</v>
      </c>
    </row>
    <row r="22" ht="15.75" customHeight="1">
      <c r="A22" s="28" t="s">
        <v>152</v>
      </c>
      <c r="B22" s="32">
        <f>'Firing Inaccuracy(Standing) Raw'!B22</f>
        <v>0.08</v>
      </c>
      <c r="C22" s="34">
        <f>'Firing Inaccuracy(Standing) Raw'!C22</f>
        <v>2.18</v>
      </c>
      <c r="D22" s="43">
        <f>'Firing Inaccuracy(Standing) Raw'!D22</f>
        <v>0.437491</v>
      </c>
      <c r="E22" s="43" t="str">
        <f>'Firing Inaccuracy(Standing) Raw'!E22</f>
        <v>N/A</v>
      </c>
      <c r="F22" s="130" t="str">
        <f>'Firing Inaccuracy(Standing) Raw'!F22</f>
        <v/>
      </c>
      <c r="G22" s="39">
        <f>'Firing Inaccuracy(Standing) Raw'!G22+Analysis!C22</f>
        <v>10.6</v>
      </c>
      <c r="H22" s="41">
        <f>'Firing Inaccuracy(Standing) Raw'!H22+Analysis!C22</f>
        <v>12.03085488</v>
      </c>
      <c r="I22" s="41">
        <f>'Firing Inaccuracy(Standing) Raw'!I22+Analysis!C22</f>
        <v>12.97000428</v>
      </c>
      <c r="J22" s="41">
        <f>'Firing Inaccuracy(Standing) Raw'!J22+Analysis!C22</f>
        <v>13.5864201</v>
      </c>
      <c r="K22" s="41">
        <f>'Firing Inaccuracy(Standing) Raw'!K22+Analysis!C22</f>
        <v>13.99100799</v>
      </c>
      <c r="L22" s="41">
        <f>'Firing Inaccuracy(Standing) Raw'!L22+Analysis!C22</f>
        <v>14.25656145</v>
      </c>
      <c r="M22" s="41">
        <f>'Firing Inaccuracy(Standing) Raw'!M22+Analysis!C22</f>
        <v>14.43085892</v>
      </c>
      <c r="N22" s="41">
        <f>'Firing Inaccuracy(Standing) Raw'!N22+Analysis!C22</f>
        <v>14.54526001</v>
      </c>
      <c r="O22" s="41">
        <f>'Firing Inaccuracy(Standing) Raw'!O22+Analysis!C22</f>
        <v>14.62034779</v>
      </c>
      <c r="P22" s="41">
        <f>'Firing Inaccuracy(Standing) Raw'!P22+Analysis!C22</f>
        <v>14.66963206</v>
      </c>
      <c r="Q22" s="41">
        <f>'Firing Inaccuracy(Standing) Raw'!Q22+Analysis!C22</f>
        <v>14.70198006</v>
      </c>
      <c r="R22" s="41">
        <f>'Firing Inaccuracy(Standing) Raw'!R22+Analysis!C22</f>
        <v>14.72321185</v>
      </c>
      <c r="S22" s="41">
        <f>'Firing Inaccuracy(Standing) Raw'!S22+Analysis!C22</f>
        <v>14.73714744</v>
      </c>
      <c r="T22" s="41">
        <f>'Firing Inaccuracy(Standing) Raw'!T22+Analysis!C22</f>
        <v>14.74629415</v>
      </c>
      <c r="U22" s="41">
        <f>'Firing Inaccuracy(Standing) Raw'!U22+Analysis!C22</f>
        <v>14.75229764</v>
      </c>
      <c r="V22" s="41">
        <f>'Firing Inaccuracy(Standing) Raw'!V22+Analysis!C22</f>
        <v>14.75623807</v>
      </c>
      <c r="W22" s="41">
        <f>'Firing Inaccuracy(Standing) Raw'!W22+Analysis!C22</f>
        <v>14.75882438</v>
      </c>
      <c r="X22" s="41">
        <f>'Firing Inaccuracy(Standing) Raw'!X22+Analysis!C22</f>
        <v>14.76052193</v>
      </c>
      <c r="Y22" s="41">
        <f>'Firing Inaccuracy(Standing) Raw'!Y22+Analysis!C22</f>
        <v>14.76163612</v>
      </c>
      <c r="Z22" s="41">
        <f>'Firing Inaccuracy(Standing) Raw'!Z22+Analysis!C22</f>
        <v>14.76236743</v>
      </c>
      <c r="AA22" s="41">
        <f>'Firing Inaccuracy(Standing) Raw'!AA22+Analysis!C22</f>
        <v>14.76284742</v>
      </c>
      <c r="AB22" s="41">
        <f>'Firing Inaccuracy(Standing) Raw'!AB22+Analysis!C22</f>
        <v>14.76316247</v>
      </c>
      <c r="AC22" s="41">
        <f>'Firing Inaccuracy(Standing) Raw'!AC22+Analysis!C22</f>
        <v>14.76336926</v>
      </c>
      <c r="AD22" s="41">
        <f>'Firing Inaccuracy(Standing) Raw'!AD22+Analysis!C22</f>
        <v>14.76350498</v>
      </c>
      <c r="AE22" s="41">
        <f>'Firing Inaccuracy(Standing) Raw'!AE22+Analysis!C22</f>
        <v>14.76359406</v>
      </c>
      <c r="AF22" s="41">
        <f>'Firing Inaccuracy(Standing) Raw'!AF22+Analysis!C22</f>
        <v>14.76365253</v>
      </c>
      <c r="AG22" s="41">
        <f>'Firing Inaccuracy(Standing) Raw'!AG22+Analysis!C22</f>
        <v>14.76369091</v>
      </c>
      <c r="AH22" s="41">
        <f>'Firing Inaccuracy(Standing) Raw'!AH22+Analysis!C22</f>
        <v>14.7637161</v>
      </c>
      <c r="AI22" s="41">
        <f>'Firing Inaccuracy(Standing) Raw'!AI22+Analysis!C22</f>
        <v>14.76373263</v>
      </c>
      <c r="AJ22" s="41">
        <f>'Firing Inaccuracy(Standing) Raw'!AJ22+Analysis!C22</f>
        <v>14.76374348</v>
      </c>
    </row>
    <row r="23" ht="15.75" customHeight="1">
      <c r="A23" s="28" t="s">
        <v>154</v>
      </c>
      <c r="B23" s="32">
        <f>'Firing Inaccuracy(Standing) Raw'!B23</f>
        <v>0.08</v>
      </c>
      <c r="C23" s="34">
        <f>'Firing Inaccuracy(Standing) Raw'!C23</f>
        <v>2.18</v>
      </c>
      <c r="D23" s="43">
        <f>'Firing Inaccuracy(Standing) Raw'!D23</f>
        <v>0.437491</v>
      </c>
      <c r="E23" s="43" t="str">
        <f>'Firing Inaccuracy(Standing) Raw'!E23</f>
        <v>N/A</v>
      </c>
      <c r="F23" s="130" t="str">
        <f>'Firing Inaccuracy(Standing) Raw'!F23</f>
        <v/>
      </c>
      <c r="G23" s="39">
        <f>'Firing Inaccuracy(Standing) Raw'!G23+Analysis!C23</f>
        <v>10.6</v>
      </c>
      <c r="H23" s="41">
        <f>'Firing Inaccuracy(Standing) Raw'!H23+Analysis!C23</f>
        <v>12.03085488</v>
      </c>
      <c r="I23" s="41">
        <f>'Firing Inaccuracy(Standing) Raw'!I23+Analysis!C23</f>
        <v>12.97000428</v>
      </c>
      <c r="J23" s="41">
        <f>'Firing Inaccuracy(Standing) Raw'!J23+Analysis!C23</f>
        <v>13.5864201</v>
      </c>
      <c r="K23" s="41">
        <f>'Firing Inaccuracy(Standing) Raw'!K23+Analysis!C23</f>
        <v>13.99100799</v>
      </c>
      <c r="L23" s="41">
        <f>'Firing Inaccuracy(Standing) Raw'!L23+Analysis!C23</f>
        <v>14.25656145</v>
      </c>
      <c r="M23" s="41">
        <f>'Firing Inaccuracy(Standing) Raw'!M23+Analysis!C23</f>
        <v>14.43085892</v>
      </c>
      <c r="N23" s="41">
        <f>'Firing Inaccuracy(Standing) Raw'!N23+Analysis!C23</f>
        <v>14.54526001</v>
      </c>
      <c r="O23" s="41">
        <f>'Firing Inaccuracy(Standing) Raw'!O23+Analysis!C23</f>
        <v>14.62034779</v>
      </c>
      <c r="P23" s="41">
        <f>'Firing Inaccuracy(Standing) Raw'!P23+Analysis!C23</f>
        <v>14.66963206</v>
      </c>
      <c r="Q23" s="41">
        <f>'Firing Inaccuracy(Standing) Raw'!Q23+Analysis!C23</f>
        <v>14.70198006</v>
      </c>
      <c r="R23" s="41">
        <f>'Firing Inaccuracy(Standing) Raw'!R23+Analysis!C23</f>
        <v>14.72321185</v>
      </c>
      <c r="S23" s="41">
        <f>'Firing Inaccuracy(Standing) Raw'!S23+Analysis!C23</f>
        <v>14.73714744</v>
      </c>
      <c r="T23" s="41">
        <f>'Firing Inaccuracy(Standing) Raw'!T23+Analysis!C23</f>
        <v>14.74629415</v>
      </c>
      <c r="U23" s="41">
        <f>'Firing Inaccuracy(Standing) Raw'!U23+Analysis!C23</f>
        <v>14.75229764</v>
      </c>
      <c r="V23" s="41">
        <f>'Firing Inaccuracy(Standing) Raw'!V23+Analysis!C23</f>
        <v>14.75623807</v>
      </c>
      <c r="W23" s="41">
        <f>'Firing Inaccuracy(Standing) Raw'!W23+Analysis!C23</f>
        <v>14.75882438</v>
      </c>
      <c r="X23" s="41">
        <f>'Firing Inaccuracy(Standing) Raw'!X23+Analysis!C23</f>
        <v>14.76052193</v>
      </c>
      <c r="Y23" s="41">
        <f>'Firing Inaccuracy(Standing) Raw'!Y23+Analysis!C23</f>
        <v>14.76163612</v>
      </c>
      <c r="Z23" s="41">
        <f>'Firing Inaccuracy(Standing) Raw'!Z23+Analysis!C23</f>
        <v>14.76236743</v>
      </c>
      <c r="AA23" s="41">
        <f>'Firing Inaccuracy(Standing) Raw'!AA23+Analysis!C23</f>
        <v>14.76284742</v>
      </c>
      <c r="AB23" s="41">
        <f>'Firing Inaccuracy(Standing) Raw'!AB23+Analysis!C23</f>
        <v>14.76316247</v>
      </c>
      <c r="AC23" s="41">
        <f>'Firing Inaccuracy(Standing) Raw'!AC23+Analysis!C23</f>
        <v>14.76336926</v>
      </c>
      <c r="AD23" s="41">
        <f>'Firing Inaccuracy(Standing) Raw'!AD23+Analysis!C23</f>
        <v>14.76350498</v>
      </c>
      <c r="AE23" s="41">
        <f>'Firing Inaccuracy(Standing) Raw'!AE23+Analysis!C23</f>
        <v>14.76359406</v>
      </c>
      <c r="AF23" s="41">
        <f>'Firing Inaccuracy(Standing) Raw'!AF23+Analysis!C23</f>
        <v>14.76365253</v>
      </c>
      <c r="AG23" s="41">
        <f>'Firing Inaccuracy(Standing) Raw'!AG23+Analysis!C23</f>
        <v>14.76369091</v>
      </c>
      <c r="AH23" s="41">
        <f>'Firing Inaccuracy(Standing) Raw'!AH23+Analysis!C23</f>
        <v>14.7637161</v>
      </c>
      <c r="AI23" s="41">
        <f>'Firing Inaccuracy(Standing) Raw'!AI23+Analysis!C23</f>
        <v>14.76373263</v>
      </c>
      <c r="AJ23" s="41">
        <f>'Firing Inaccuracy(Standing) Raw'!AJ23+Analysis!C23</f>
        <v>14.76374348</v>
      </c>
    </row>
    <row r="24" ht="15.75" customHeight="1">
      <c r="A24" s="61" t="s">
        <v>156</v>
      </c>
      <c r="B24" s="32">
        <f>'Firing Inaccuracy(Standing) Raw'!B24</f>
        <v>0.07</v>
      </c>
      <c r="C24" s="34">
        <f>'Firing Inaccuracy(Standing) Raw'!C24</f>
        <v>3.7</v>
      </c>
      <c r="D24" s="43">
        <f>'Firing Inaccuracy(Standing) Raw'!D24</f>
        <v>0.25789</v>
      </c>
      <c r="E24" s="43" t="str">
        <f>'Firing Inaccuracy(Standing) Raw'!E24</f>
        <v>N/A</v>
      </c>
      <c r="F24" s="130" t="str">
        <f>'Firing Inaccuracy(Standing) Raw'!F24</f>
        <v/>
      </c>
      <c r="G24" s="39">
        <f>'Firing Inaccuracy(Standing) Raw'!G24+Analysis!C24</f>
        <v>9.6</v>
      </c>
      <c r="H24" s="41">
        <f>'Firing Inaccuracy(Standing) Raw'!H24+Analysis!C24</f>
        <v>11.58046954</v>
      </c>
      <c r="I24" s="41">
        <f>'Firing Inaccuracy(Standing) Raw'!I24+Analysis!C24</f>
        <v>12.6405397</v>
      </c>
      <c r="J24" s="41">
        <f>'Firing Inaccuracy(Standing) Raw'!J24+Analysis!C24</f>
        <v>13.20795502</v>
      </c>
      <c r="K24" s="41">
        <f>'Firing Inaccuracy(Standing) Raw'!K24+Analysis!C24</f>
        <v>13.51167089</v>
      </c>
      <c r="L24" s="41">
        <f>'Firing Inaccuracy(Standing) Raw'!L24+Analysis!C24</f>
        <v>13.67423847</v>
      </c>
      <c r="M24" s="41">
        <f>'Firing Inaccuracy(Standing) Raw'!M24+Analysis!C24</f>
        <v>13.76125473</v>
      </c>
      <c r="N24" s="41">
        <f>'Firing Inaccuracy(Standing) Raw'!N24+Analysis!C24</f>
        <v>13.80783122</v>
      </c>
      <c r="O24" s="41">
        <f>'Firing Inaccuracy(Standing) Raw'!O24+Analysis!C24</f>
        <v>13.83276185</v>
      </c>
      <c r="P24" s="41">
        <f>'Firing Inaccuracy(Standing) Raw'!P24+Analysis!C24</f>
        <v>13.84610627</v>
      </c>
      <c r="Q24" s="41">
        <f>'Firing Inaccuracy(Standing) Raw'!Q24+Analysis!C24</f>
        <v>13.85324904</v>
      </c>
      <c r="R24" s="41">
        <f>'Firing Inaccuracy(Standing) Raw'!R24+Analysis!C24</f>
        <v>13.85707229</v>
      </c>
      <c r="S24" s="41">
        <f>'Firing Inaccuracy(Standing) Raw'!S24+Analysis!C24</f>
        <v>13.85911873</v>
      </c>
      <c r="T24" s="41">
        <f>'Firing Inaccuracy(Standing) Raw'!T24+Analysis!C24</f>
        <v>13.86021411</v>
      </c>
      <c r="U24" s="41">
        <f>'Firing Inaccuracy(Standing) Raw'!U24+Analysis!C24</f>
        <v>13.86080042</v>
      </c>
      <c r="V24" s="41">
        <f>'Firing Inaccuracy(Standing) Raw'!V24+Analysis!C24</f>
        <v>13.86111426</v>
      </c>
      <c r="W24" s="41">
        <f>'Firing Inaccuracy(Standing) Raw'!W24+Analysis!C24</f>
        <v>13.86128224</v>
      </c>
      <c r="X24" s="41">
        <f>'Firing Inaccuracy(Standing) Raw'!X24+Analysis!C24</f>
        <v>13.86137215</v>
      </c>
      <c r="Y24" s="41">
        <f>'Firing Inaccuracy(Standing) Raw'!Y24+Analysis!C24</f>
        <v>13.86142028</v>
      </c>
      <c r="Z24" s="41">
        <f>'Firing Inaccuracy(Standing) Raw'!Z24+Analysis!C24</f>
        <v>13.86144604</v>
      </c>
      <c r="AA24" s="41">
        <f>'Firing Inaccuracy(Standing) Raw'!AA24+Analysis!C24</f>
        <v>13.86145983</v>
      </c>
      <c r="AB24" s="41">
        <f>'Firing Inaccuracy(Standing) Raw'!AB24+Analysis!C24</f>
        <v>13.86146721</v>
      </c>
      <c r="AC24" s="41">
        <f>'Firing Inaccuracy(Standing) Raw'!AC24+Analysis!C24</f>
        <v>13.86147116</v>
      </c>
      <c r="AD24" s="41">
        <f>'Firing Inaccuracy(Standing) Raw'!AD24+Analysis!C24</f>
        <v>13.86147328</v>
      </c>
      <c r="AE24" s="41">
        <f>'Firing Inaccuracy(Standing) Raw'!AE24+Analysis!C24</f>
        <v>13.86147441</v>
      </c>
      <c r="AF24" s="41">
        <f>'Firing Inaccuracy(Standing) Raw'!AF24+Analysis!C24</f>
        <v>13.86147502</v>
      </c>
      <c r="AG24" s="41">
        <f>'Firing Inaccuracy(Standing) Raw'!AG24+Analysis!C24</f>
        <v>13.86147534</v>
      </c>
      <c r="AH24" s="41">
        <f>'Firing Inaccuracy(Standing) Raw'!AH24+Analysis!C24</f>
        <v>13.86147551</v>
      </c>
      <c r="AI24" s="41">
        <f>'Firing Inaccuracy(Standing) Raw'!AI24+Analysis!C24</f>
        <v>13.86147561</v>
      </c>
      <c r="AJ24" s="41">
        <f>'Firing Inaccuracy(Standing) Raw'!AJ24+Analysis!C24</f>
        <v>13.86147566</v>
      </c>
    </row>
    <row r="25" ht="15.75" customHeight="1">
      <c r="A25" s="28" t="s">
        <v>158</v>
      </c>
      <c r="B25" s="32">
        <f>'Firing Inaccuracy(Standing) Raw'!B25</f>
        <v>0.07</v>
      </c>
      <c r="C25" s="34">
        <f>'Firing Inaccuracy(Standing) Raw'!C25</f>
        <v>2.85</v>
      </c>
      <c r="D25" s="43">
        <f>'Firing Inaccuracy(Standing) Raw'!D25</f>
        <v>0.372098</v>
      </c>
      <c r="E25" s="43" t="str">
        <f>'Firing Inaccuracy(Standing) Raw'!E25</f>
        <v>N/A</v>
      </c>
      <c r="F25" s="130" t="str">
        <f>'Firing Inaccuracy(Standing) Raw'!F25</f>
        <v/>
      </c>
      <c r="G25" s="39">
        <f>'Firing Inaccuracy(Standing) Raw'!G25+Analysis!C25</f>
        <v>14.65</v>
      </c>
      <c r="H25" s="41">
        <f>'Firing Inaccuracy(Standing) Raw'!H25+Analysis!C25</f>
        <v>16.49808685</v>
      </c>
      <c r="I25" s="41">
        <f>'Firing Inaccuracy(Standing) Raw'!I25+Analysis!C25</f>
        <v>17.69648158</v>
      </c>
      <c r="J25" s="41">
        <f>'Firing Inaccuracy(Standing) Raw'!J25+Analysis!C25</f>
        <v>18.47358248</v>
      </c>
      <c r="K25" s="41">
        <f>'Firing Inaccuracy(Standing) Raw'!K25+Analysis!C25</f>
        <v>18.97749474</v>
      </c>
      <c r="L25" s="41">
        <f>'Firing Inaccuracy(Standing) Raw'!L25+Analysis!C25</f>
        <v>19.30425741</v>
      </c>
      <c r="M25" s="41">
        <f>'Firing Inaccuracy(Standing) Raw'!M25+Analysis!C25</f>
        <v>19.51614716</v>
      </c>
      <c r="N25" s="41">
        <f>'Firing Inaccuracy(Standing) Raw'!N25+Analysis!C25</f>
        <v>19.6535474</v>
      </c>
      <c r="O25" s="41">
        <f>'Firing Inaccuracy(Standing) Raw'!O25+Analysis!C25</f>
        <v>19.74264479</v>
      </c>
      <c r="P25" s="41">
        <f>'Firing Inaccuracy(Standing) Raw'!P25+Analysis!C25</f>
        <v>19.80042013</v>
      </c>
      <c r="Q25" s="41">
        <f>'Firing Inaccuracy(Standing) Raw'!Q25+Analysis!C25</f>
        <v>19.83788463</v>
      </c>
      <c r="R25" s="41">
        <f>'Firing Inaccuracy(Standing) Raw'!R25+Analysis!C25</f>
        <v>19.86217855</v>
      </c>
      <c r="S25" s="41">
        <f>'Firing Inaccuracy(Standing) Raw'!S25+Analysis!C25</f>
        <v>19.87793198</v>
      </c>
      <c r="T25" s="41">
        <f>'Firing Inaccuracy(Standing) Raw'!T25+Analysis!C25</f>
        <v>19.88814731</v>
      </c>
      <c r="U25" s="41">
        <f>'Firing Inaccuracy(Standing) Raw'!U25+Analysis!C25</f>
        <v>19.89477146</v>
      </c>
      <c r="V25" s="41">
        <f>'Firing Inaccuracy(Standing) Raw'!V25+Analysis!C25</f>
        <v>19.8990669</v>
      </c>
      <c r="W25" s="41">
        <f>'Firing Inaccuracy(Standing) Raw'!W25+Analysis!C25</f>
        <v>19.90185229</v>
      </c>
      <c r="X25" s="41">
        <f>'Firing Inaccuracy(Standing) Raw'!X25+Analysis!C25</f>
        <v>19.90365847</v>
      </c>
      <c r="Y25" s="41">
        <f>'Firing Inaccuracy(Standing) Raw'!Y25+Analysis!C25</f>
        <v>19.9048297</v>
      </c>
      <c r="Z25" s="41">
        <f>'Firing Inaccuracy(Standing) Raw'!Z25+Analysis!C25</f>
        <v>19.90558918</v>
      </c>
      <c r="AA25" s="41">
        <f>'Firing Inaccuracy(Standing) Raw'!AA25+Analysis!C25</f>
        <v>19.90608167</v>
      </c>
      <c r="AB25" s="41">
        <f>'Firing Inaccuracy(Standing) Raw'!AB25+Analysis!C25</f>
        <v>19.90640102</v>
      </c>
      <c r="AC25" s="41">
        <f>'Firing Inaccuracy(Standing) Raw'!AC25+Analysis!C25</f>
        <v>19.90660811</v>
      </c>
      <c r="AD25" s="41">
        <f>'Firing Inaccuracy(Standing) Raw'!AD25+Analysis!C25</f>
        <v>19.90674239</v>
      </c>
      <c r="AE25" s="41">
        <f>'Firing Inaccuracy(Standing) Raw'!AE25+Analysis!C25</f>
        <v>19.90682947</v>
      </c>
      <c r="AF25" s="41">
        <f>'Firing Inaccuracy(Standing) Raw'!AF25+Analysis!C25</f>
        <v>19.90688593</v>
      </c>
      <c r="AG25" s="41">
        <f>'Firing Inaccuracy(Standing) Raw'!AG25+Analysis!C25</f>
        <v>19.90692255</v>
      </c>
      <c r="AH25" s="41">
        <f>'Firing Inaccuracy(Standing) Raw'!AH25+Analysis!C25</f>
        <v>19.90694629</v>
      </c>
      <c r="AI25" s="41">
        <f>'Firing Inaccuracy(Standing) Raw'!AI25+Analysis!C25</f>
        <v>19.90696169</v>
      </c>
      <c r="AJ25" s="41">
        <f>'Firing Inaccuracy(Standing) Raw'!AJ25+Analysis!C25</f>
        <v>19.90697167</v>
      </c>
    </row>
    <row r="26" ht="15.75" customHeight="1">
      <c r="A26" s="28" t="s">
        <v>160</v>
      </c>
      <c r="B26" s="32">
        <f>'Firing Inaccuracy(Standing) Raw'!B26</f>
        <v>0.09</v>
      </c>
      <c r="C26" s="34">
        <f>'Firing Inaccuracy(Standing) Raw'!C26</f>
        <v>3.42</v>
      </c>
      <c r="D26" s="43">
        <f>'Firing Inaccuracy(Standing) Raw'!D26</f>
        <v>0.349993</v>
      </c>
      <c r="E26" s="43" t="str">
        <f>'Firing Inaccuracy(Standing) Raw'!E26</f>
        <v>N/A</v>
      </c>
      <c r="F26" s="130" t="str">
        <f>'Firing Inaccuracy(Standing) Raw'!F26</f>
        <v/>
      </c>
      <c r="G26" s="39">
        <f>'Firing Inaccuracy(Standing) Raw'!G26+Analysis!C26</f>
        <v>14.43</v>
      </c>
      <c r="H26" s="41">
        <f>'Firing Inaccuracy(Standing) Raw'!H26+Analysis!C26</f>
        <v>16.32181257</v>
      </c>
      <c r="I26" s="41">
        <f>'Firing Inaccuracy(Standing) Raw'!I26+Analysis!C26</f>
        <v>17.36829057</v>
      </c>
      <c r="J26" s="41">
        <f>'Firing Inaccuracy(Standing) Raw'!J26+Analysis!C26</f>
        <v>17.94716199</v>
      </c>
      <c r="K26" s="41">
        <f>'Firing Inaccuracy(Standing) Raw'!K26+Analysis!C26</f>
        <v>18.26737141</v>
      </c>
      <c r="L26" s="41">
        <f>'Firing Inaccuracy(Standing) Raw'!L26+Analysis!C26</f>
        <v>18.44449896</v>
      </c>
      <c r="M26" s="41">
        <f>'Firing Inaccuracy(Standing) Raw'!M26+Analysis!C26</f>
        <v>18.54247911</v>
      </c>
      <c r="N26" s="41">
        <f>'Firing Inaccuracy(Standing) Raw'!N26+Analysis!C26</f>
        <v>18.59667796</v>
      </c>
      <c r="O26" s="41">
        <f>'Firing Inaccuracy(Standing) Raw'!O26+Analysis!C26</f>
        <v>18.62665869</v>
      </c>
      <c r="P26" s="41">
        <f>'Firing Inaccuracy(Standing) Raw'!P26+Analysis!C26</f>
        <v>18.64324287</v>
      </c>
      <c r="Q26" s="41">
        <f>'Firing Inaccuracy(Standing) Raw'!Q26+Analysis!C26</f>
        <v>18.6524166</v>
      </c>
      <c r="R26" s="41">
        <f>'Firing Inaccuracy(Standing) Raw'!R26+Analysis!C26</f>
        <v>18.65749116</v>
      </c>
      <c r="S26" s="41">
        <f>'Firing Inaccuracy(Standing) Raw'!S26+Analysis!C26</f>
        <v>18.66029821</v>
      </c>
      <c r="T26" s="41">
        <f>'Firing Inaccuracy(Standing) Raw'!T26+Analysis!C26</f>
        <v>18.66185096</v>
      </c>
      <c r="U26" s="41">
        <f>'Firing Inaccuracy(Standing) Raw'!U26+Analysis!C26</f>
        <v>18.66270989</v>
      </c>
      <c r="V26" s="41">
        <f>'Firing Inaccuracy(Standing) Raw'!V26+Analysis!C26</f>
        <v>18.66318501</v>
      </c>
      <c r="W26" s="41">
        <f>'Firing Inaccuracy(Standing) Raw'!W26+Analysis!C26</f>
        <v>18.66344783</v>
      </c>
      <c r="X26" s="41">
        <f>'Firing Inaccuracy(Standing) Raw'!X26+Analysis!C26</f>
        <v>18.66359321</v>
      </c>
      <c r="Y26" s="41">
        <f>'Firing Inaccuracy(Standing) Raw'!Y26+Analysis!C26</f>
        <v>18.66367363</v>
      </c>
      <c r="Z26" s="41">
        <f>'Firing Inaccuracy(Standing) Raw'!Z26+Analysis!C26</f>
        <v>18.66371811</v>
      </c>
      <c r="AA26" s="41">
        <f>'Firing Inaccuracy(Standing) Raw'!AA26+Analysis!C26</f>
        <v>18.66374272</v>
      </c>
      <c r="AB26" s="41">
        <f>'Firing Inaccuracy(Standing) Raw'!AB26+Analysis!C26</f>
        <v>18.66375633</v>
      </c>
      <c r="AC26" s="41">
        <f>'Firing Inaccuracy(Standing) Raw'!AC26+Analysis!C26</f>
        <v>18.66376386</v>
      </c>
      <c r="AD26" s="41">
        <f>'Firing Inaccuracy(Standing) Raw'!AD26+Analysis!C26</f>
        <v>18.66376803</v>
      </c>
      <c r="AE26" s="41">
        <f>'Firing Inaccuracy(Standing) Raw'!AE26+Analysis!C26</f>
        <v>18.66377033</v>
      </c>
      <c r="AF26" s="41"/>
      <c r="AG26" s="41"/>
      <c r="AH26" s="41"/>
      <c r="AI26" s="41"/>
      <c r="AJ26" s="41"/>
    </row>
    <row r="27" ht="15.75" customHeight="1">
      <c r="A27" s="75"/>
      <c r="B27" s="77" t="str">
        <f>'Firing Inaccuracy(Standing) Raw'!B27</f>
        <v/>
      </c>
      <c r="C27" s="79" t="str">
        <f>'Firing Inaccuracy(Standing) Raw'!C27</f>
        <v/>
      </c>
      <c r="D27" s="132" t="str">
        <f>'Firing Inaccuracy(Standing) Raw'!D27</f>
        <v/>
      </c>
      <c r="E27" s="132" t="str">
        <f>'Firing Inaccuracy(Standing) Raw'!E27</f>
        <v/>
      </c>
      <c r="F27" s="133" t="str">
        <f>'Firing Inaccuracy(Standing) Raw'!F27</f>
        <v/>
      </c>
      <c r="G27" s="79" t="str">
        <f>'Firing Inaccuracy(Standing) Raw'!G27</f>
        <v/>
      </c>
      <c r="H27" s="79" t="str">
        <f>'Firing Inaccuracy(Standing) Raw'!H27</f>
        <v/>
      </c>
      <c r="I27" s="79" t="str">
        <f>'Firing Inaccuracy(Standing) Raw'!I27</f>
        <v/>
      </c>
      <c r="J27" s="34" t="str">
        <f>'Firing Inaccuracy(Standing) Raw'!J27</f>
        <v/>
      </c>
      <c r="K27" s="79" t="str">
        <f>'Firing Inaccuracy(Standing) Raw'!K27</f>
        <v/>
      </c>
      <c r="L27" s="79" t="str">
        <f>'Firing Inaccuracy(Standing) Raw'!L27</f>
        <v/>
      </c>
      <c r="M27" s="79" t="str">
        <f>'Firing Inaccuracy(Standing) Raw'!M27</f>
        <v/>
      </c>
      <c r="N27" s="79" t="str">
        <f>'Firing Inaccuracy(Standing) Raw'!N27</f>
        <v/>
      </c>
      <c r="O27" s="79" t="str">
        <f>'Firing Inaccuracy(Standing) Raw'!O27</f>
        <v/>
      </c>
      <c r="P27" s="79" t="str">
        <f>'Firing Inaccuracy(Standing) Raw'!P27</f>
        <v/>
      </c>
      <c r="Q27" s="79" t="str">
        <f>'Firing Inaccuracy(Standing) Raw'!Q27</f>
        <v/>
      </c>
      <c r="R27" s="79" t="str">
        <f>'Firing Inaccuracy(Standing) Raw'!R27</f>
        <v/>
      </c>
      <c r="S27" s="79" t="str">
        <f>'Firing Inaccuracy(Standing) Raw'!S27</f>
        <v/>
      </c>
      <c r="T27" s="79" t="str">
        <f>'Firing Inaccuracy(Standing) Raw'!T27</f>
        <v/>
      </c>
      <c r="U27" s="79" t="str">
        <f>'Firing Inaccuracy(Standing) Raw'!U27</f>
        <v/>
      </c>
      <c r="V27" s="79" t="str">
        <f>'Firing Inaccuracy(Standing) Raw'!V27</f>
        <v/>
      </c>
      <c r="W27" s="79" t="str">
        <f>'Firing Inaccuracy(Standing) Raw'!W27</f>
        <v/>
      </c>
      <c r="X27" s="79" t="str">
        <f>'Firing Inaccuracy(Standing) Raw'!X27</f>
        <v/>
      </c>
      <c r="Y27" s="79" t="str">
        <f>'Firing Inaccuracy(Standing) Raw'!Y27</f>
        <v/>
      </c>
      <c r="Z27" s="79" t="str">
        <f>'Firing Inaccuracy(Standing) Raw'!Z27</f>
        <v/>
      </c>
      <c r="AA27" s="79" t="str">
        <f>'Firing Inaccuracy(Standing) Raw'!AA27</f>
        <v/>
      </c>
      <c r="AB27" s="79" t="str">
        <f>'Firing Inaccuracy(Standing) Raw'!AB27</f>
        <v/>
      </c>
      <c r="AC27" s="79" t="str">
        <f>'Firing Inaccuracy(Standing) Raw'!AC27</f>
        <v/>
      </c>
      <c r="AD27" s="79" t="str">
        <f>'Firing Inaccuracy(Standing) Raw'!AD27</f>
        <v/>
      </c>
      <c r="AE27" s="79" t="str">
        <f>'Firing Inaccuracy(Standing) Raw'!AE27</f>
        <v/>
      </c>
      <c r="AF27" s="79" t="str">
        <f>'Firing Inaccuracy(Standing) Raw'!AF27</f>
        <v/>
      </c>
      <c r="AG27" s="79" t="str">
        <f>'Firing Inaccuracy(Standing) Raw'!AG27</f>
        <v/>
      </c>
      <c r="AH27" s="79" t="str">
        <f>'Firing Inaccuracy(Standing) Raw'!AH27</f>
        <v/>
      </c>
      <c r="AI27" s="79" t="str">
        <f>'Firing Inaccuracy(Standing) Raw'!AI27</f>
        <v/>
      </c>
      <c r="AJ27" s="79" t="str">
        <f>'Firing Inaccuracy(Standing) Raw'!AJ27</f>
        <v/>
      </c>
    </row>
    <row r="28" ht="15.75" customHeight="1">
      <c r="A28" s="5" t="s">
        <v>161</v>
      </c>
      <c r="B28" s="11" t="str">
        <f>'Firing Inaccuracy(Standing) Raw'!B28</f>
        <v>CycleTime</v>
      </c>
      <c r="C28" s="9" t="str">
        <f>'Firing Inaccuracy(Standing) Raw'!C28</f>
        <v>Inaccuracy
Fire</v>
      </c>
      <c r="D28" s="21" t="str">
        <f>'Firing Inaccuracy(Standing) Raw'!D28</f>
        <v>Recovery
TimeStand</v>
      </c>
      <c r="E28" s="21" t="str">
        <f>'Firing Inaccuracy(Standing) Raw'!E28</f>
        <v>RecoveryTime
StandFinal</v>
      </c>
      <c r="F28" s="125" t="str">
        <f>'Firing Inaccuracy(Standing) Raw'!F28</f>
        <v/>
      </c>
      <c r="G28" s="127">
        <f>'Firing Inaccuracy(Standing) Raw'!G28</f>
        <v>1</v>
      </c>
      <c r="H28" s="127">
        <f>'Firing Inaccuracy(Standing) Raw'!H28</f>
        <v>2</v>
      </c>
      <c r="I28" s="127">
        <f>'Firing Inaccuracy(Standing) Raw'!I28</f>
        <v>3</v>
      </c>
      <c r="J28" s="127">
        <f>'Firing Inaccuracy(Standing) Raw'!J28</f>
        <v>4</v>
      </c>
      <c r="K28" s="127">
        <f>'Firing Inaccuracy(Standing) Raw'!K28</f>
        <v>5</v>
      </c>
      <c r="L28" s="127">
        <f>'Firing Inaccuracy(Standing) Raw'!L28</f>
        <v>6</v>
      </c>
      <c r="M28" s="127">
        <f>'Firing Inaccuracy(Standing) Raw'!M28</f>
        <v>7</v>
      </c>
      <c r="N28" s="127">
        <f>'Firing Inaccuracy(Standing) Raw'!N28</f>
        <v>8</v>
      </c>
      <c r="O28" s="127">
        <f>'Firing Inaccuracy(Standing) Raw'!O28</f>
        <v>9</v>
      </c>
      <c r="P28" s="127">
        <f>'Firing Inaccuracy(Standing) Raw'!P28</f>
        <v>10</v>
      </c>
      <c r="Q28" s="127">
        <f>'Firing Inaccuracy(Standing) Raw'!Q28</f>
        <v>11</v>
      </c>
      <c r="R28" s="127">
        <f>'Firing Inaccuracy(Standing) Raw'!R28</f>
        <v>12</v>
      </c>
      <c r="S28" s="127">
        <f>'Firing Inaccuracy(Standing) Raw'!S28</f>
        <v>13</v>
      </c>
      <c r="T28" s="127">
        <f>'Firing Inaccuracy(Standing) Raw'!T28</f>
        <v>14</v>
      </c>
      <c r="U28" s="127">
        <f>'Firing Inaccuracy(Standing) Raw'!U28</f>
        <v>15</v>
      </c>
      <c r="V28" s="127">
        <f>'Firing Inaccuracy(Standing) Raw'!V28</f>
        <v>16</v>
      </c>
      <c r="W28" s="127">
        <f>'Firing Inaccuracy(Standing) Raw'!W28</f>
        <v>17</v>
      </c>
      <c r="X28" s="127">
        <f>'Firing Inaccuracy(Standing) Raw'!X28</f>
        <v>18</v>
      </c>
      <c r="Y28" s="127">
        <f>'Firing Inaccuracy(Standing) Raw'!Y28</f>
        <v>19</v>
      </c>
      <c r="Z28" s="127">
        <f>'Firing Inaccuracy(Standing) Raw'!Z28</f>
        <v>20</v>
      </c>
      <c r="AA28" s="127">
        <f>'Firing Inaccuracy(Standing) Raw'!AA28</f>
        <v>21</v>
      </c>
      <c r="AB28" s="127">
        <f>'Firing Inaccuracy(Standing) Raw'!AB28</f>
        <v>22</v>
      </c>
      <c r="AC28" s="127">
        <f>'Firing Inaccuracy(Standing) Raw'!AC28</f>
        <v>23</v>
      </c>
      <c r="AD28" s="127">
        <f>'Firing Inaccuracy(Standing) Raw'!AD28</f>
        <v>24</v>
      </c>
      <c r="AE28" s="127">
        <f>'Firing Inaccuracy(Standing) Raw'!AE28</f>
        <v>25</v>
      </c>
      <c r="AF28" s="127">
        <f>'Firing Inaccuracy(Standing) Raw'!AF28</f>
        <v>26</v>
      </c>
      <c r="AG28" s="127">
        <f>'Firing Inaccuracy(Standing) Raw'!AG28</f>
        <v>27</v>
      </c>
      <c r="AH28" s="127">
        <f>'Firing Inaccuracy(Standing) Raw'!AH28</f>
        <v>28</v>
      </c>
      <c r="AI28" s="127">
        <f>'Firing Inaccuracy(Standing) Raw'!AI28</f>
        <v>29</v>
      </c>
      <c r="AJ28" s="127">
        <f>'Firing Inaccuracy(Standing) Raw'!AJ28</f>
        <v>30</v>
      </c>
    </row>
    <row r="29" ht="15.75" customHeight="1">
      <c r="A29" s="66" t="s">
        <v>164</v>
      </c>
      <c r="B29" s="32">
        <f>'Firing Inaccuracy(Standing) Raw'!B29</f>
        <v>0.1</v>
      </c>
      <c r="C29" s="34">
        <f>'Firing Inaccuracy(Standing) Raw'!C29</f>
        <v>7.8</v>
      </c>
      <c r="D29" s="43">
        <f>'Firing Inaccuracy(Standing) Raw'!D29</f>
        <v>0.368</v>
      </c>
      <c r="E29" s="43">
        <f>'Firing Inaccuracy(Standing) Raw'!E29</f>
        <v>0.506</v>
      </c>
      <c r="F29" s="130" t="str">
        <f>'Firing Inaccuracy(Standing) Raw'!F29</f>
        <v/>
      </c>
      <c r="G29" s="39">
        <f>'Firing Inaccuracy(Standing) Raw'!G29+Analysis!C29</f>
        <v>7.01</v>
      </c>
      <c r="H29" s="41">
        <f>'Firing Inaccuracy(Standing) Raw'!H29+Analysis!C29</f>
        <v>11.18210733</v>
      </c>
      <c r="I29" s="41">
        <f>'Firing Inaccuracy(Standing) Raw'!I29+Analysis!C29</f>
        <v>13.41370727</v>
      </c>
      <c r="J29" s="41">
        <f>'Firing Inaccuracy(Standing) Raw'!J29+Analysis!C29</f>
        <v>15.15433857</v>
      </c>
      <c r="K29" s="41">
        <f>'Firing Inaccuracy(Standing) Raw'!K29+Analysis!C29</f>
        <v>16.67529699</v>
      </c>
      <c r="L29" s="41">
        <f>'Firing Inaccuracy(Standing) Raw'!L29+Analysis!C29</f>
        <v>18.09019788</v>
      </c>
      <c r="M29" s="41">
        <f>'Firing Inaccuracy(Standing) Raw'!M29+Analysis!C29</f>
        <v>18.9878283</v>
      </c>
      <c r="N29" s="41">
        <f>'Firing Inaccuracy(Standing) Raw'!N29+Analysis!C29</f>
        <v>19.55729601</v>
      </c>
      <c r="O29" s="41">
        <f>'Firing Inaccuracy(Standing) Raw'!O29+Analysis!C29</f>
        <v>19.91857329</v>
      </c>
      <c r="P29" s="41">
        <f>'Firing Inaccuracy(Standing) Raw'!P29+Analysis!C29</f>
        <v>20.147772</v>
      </c>
      <c r="Q29" s="41">
        <f>'Firing Inaccuracy(Standing) Raw'!Q29+Analysis!C29</f>
        <v>20.29317847</v>
      </c>
      <c r="R29" s="41">
        <f>'Firing Inaccuracy(Standing) Raw'!R29+Analysis!C29</f>
        <v>20.38542611</v>
      </c>
      <c r="S29" s="41">
        <f>'Firing Inaccuracy(Standing) Raw'!S29+Analysis!C29</f>
        <v>20.44394915</v>
      </c>
      <c r="T29" s="41">
        <f>'Firing Inaccuracy(Standing) Raw'!T29+Analysis!C29</f>
        <v>20.48107687</v>
      </c>
      <c r="U29" s="41">
        <f>'Firing Inaccuracy(Standing) Raw'!U29+Analysis!C29</f>
        <v>20.50463115</v>
      </c>
      <c r="V29" s="41">
        <f>'Firing Inaccuracy(Standing) Raw'!V29+Analysis!C29</f>
        <v>20.51957428</v>
      </c>
      <c r="W29" s="41">
        <f>'Firing Inaccuracy(Standing) Raw'!W29+Analysis!C29</f>
        <v>20.52905438</v>
      </c>
      <c r="X29" s="41">
        <f>'Firing Inaccuracy(Standing) Raw'!X29+Analysis!C29</f>
        <v>20.53506867</v>
      </c>
      <c r="Y29" s="41">
        <f>'Firing Inaccuracy(Standing) Raw'!Y29+Analysis!C29</f>
        <v>20.53888421</v>
      </c>
      <c r="Z29" s="41">
        <f>'Firing Inaccuracy(Standing) Raw'!Z29+Analysis!C29</f>
        <v>20.54130484</v>
      </c>
      <c r="AA29" s="41">
        <f>'Firing Inaccuracy(Standing) Raw'!AA29+Analysis!C29</f>
        <v>20.54284051</v>
      </c>
      <c r="AB29" s="41">
        <f>'Firing Inaccuracy(Standing) Raw'!AB29+Analysis!C29</f>
        <v>20.54381476</v>
      </c>
      <c r="AC29" s="41">
        <f>'Firing Inaccuracy(Standing) Raw'!AC29+Analysis!C29</f>
        <v>20.54443284</v>
      </c>
      <c r="AD29" s="41">
        <f>'Firing Inaccuracy(Standing) Raw'!AD29+Analysis!C29</f>
        <v>20.54482496</v>
      </c>
      <c r="AE29" s="41">
        <f>'Firing Inaccuracy(Standing) Raw'!AE29+Analysis!C29</f>
        <v>20.54507372</v>
      </c>
      <c r="AF29" s="41">
        <f>'Firing Inaccuracy(Standing) Raw'!AF29+Analysis!C29</f>
        <v>20.54523154</v>
      </c>
      <c r="AG29" s="41">
        <f>'Firing Inaccuracy(Standing) Raw'!AG29+Analysis!C29</f>
        <v>20.54533166</v>
      </c>
      <c r="AH29" s="41">
        <f>'Firing Inaccuracy(Standing) Raw'!AH29+Analysis!C29</f>
        <v>20.54539518</v>
      </c>
      <c r="AI29" s="41">
        <f>'Firing Inaccuracy(Standing) Raw'!AI29+Analysis!C29</f>
        <v>20.54543547</v>
      </c>
      <c r="AJ29" s="41">
        <f>'Firing Inaccuracy(Standing) Raw'!AJ29+Analysis!C29</f>
        <v>20.54546104</v>
      </c>
    </row>
    <row r="30" ht="15.75" customHeight="1">
      <c r="A30" s="61" t="s">
        <v>166</v>
      </c>
      <c r="B30" s="32">
        <f>'Firing Inaccuracy(Standing) Raw'!B30</f>
        <v>0.1</v>
      </c>
      <c r="C30" s="34">
        <f>'Firing Inaccuracy(Standing) Raw'!C30</f>
        <v>7.29</v>
      </c>
      <c r="D30" s="43">
        <f>'Firing Inaccuracy(Standing) Raw'!D30</f>
        <v>0.429727</v>
      </c>
      <c r="E30" s="43" t="str">
        <f>'Firing Inaccuracy(Standing) Raw'!E30</f>
        <v>N/A</v>
      </c>
      <c r="F30" s="130" t="str">
        <f>'Firing Inaccuracy(Standing) Raw'!F30</f>
        <v/>
      </c>
      <c r="G30" s="39">
        <f>'Firing Inaccuracy(Standing) Raw'!G30+Analysis!C30</f>
        <v>9.81</v>
      </c>
      <c r="H30" s="41">
        <f>'Firing Inaccuracy(Standing) Raw'!H30+Analysis!C30</f>
        <v>14.07600782</v>
      </c>
      <c r="I30" s="41">
        <f>'Firing Inaccuracy(Standing) Raw'!I30+Analysis!C30</f>
        <v>16.57241698</v>
      </c>
      <c r="J30" s="41">
        <f>'Firing Inaccuracy(Standing) Raw'!J30+Analysis!C30</f>
        <v>18.03328131</v>
      </c>
      <c r="K30" s="41">
        <f>'Firing Inaccuracy(Standing) Raw'!K30+Analysis!C30</f>
        <v>18.88815905</v>
      </c>
      <c r="L30" s="41">
        <f>'Firing Inaccuracy(Standing) Raw'!L30+Analysis!C30</f>
        <v>19.38842175</v>
      </c>
      <c r="M30" s="41">
        <f>'Firing Inaccuracy(Standing) Raw'!M30+Analysis!C30</f>
        <v>19.68116861</v>
      </c>
      <c r="N30" s="41">
        <f>'Firing Inaccuracy(Standing) Raw'!N30+Analysis!C30</f>
        <v>19.85248005</v>
      </c>
      <c r="O30" s="41">
        <f>'Firing Inaccuracy(Standing) Raw'!O30+Analysis!C30</f>
        <v>19.95272915</v>
      </c>
      <c r="P30" s="41">
        <f>'Firing Inaccuracy(Standing) Raw'!P30+Analysis!C30</f>
        <v>20.01139354</v>
      </c>
      <c r="Q30" s="41">
        <f>'Firing Inaccuracy(Standing) Raw'!Q30+Analysis!C30</f>
        <v>20.04572314</v>
      </c>
      <c r="R30" s="41">
        <f>'Firing Inaccuracy(Standing) Raw'!R30+Analysis!C30</f>
        <v>20.06581235</v>
      </c>
      <c r="S30" s="41">
        <f>'Firing Inaccuracy(Standing) Raw'!S30+Analysis!C30</f>
        <v>20.07756828</v>
      </c>
      <c r="T30" s="41">
        <f>'Firing Inaccuracy(Standing) Raw'!T30+Analysis!C30</f>
        <v>20.08444769</v>
      </c>
      <c r="U30" s="41">
        <f>'Firing Inaccuracy(Standing) Raw'!U30+Analysis!C30</f>
        <v>20.08847342</v>
      </c>
      <c r="V30" s="41">
        <f>'Firing Inaccuracy(Standing) Raw'!V30+Analysis!C30</f>
        <v>20.09082923</v>
      </c>
      <c r="W30" s="41">
        <f>'Firing Inaccuracy(Standing) Raw'!W30+Analysis!C30</f>
        <v>20.09220781</v>
      </c>
      <c r="X30" s="41">
        <f>'Firing Inaccuracy(Standing) Raw'!X30+Analysis!C30</f>
        <v>20.09301454</v>
      </c>
      <c r="Y30" s="41">
        <f>'Firing Inaccuracy(Standing) Raw'!Y30+Analysis!C30</f>
        <v>20.09348663</v>
      </c>
      <c r="Z30" s="41">
        <f>'Firing Inaccuracy(Standing) Raw'!Z30+Analysis!C30</f>
        <v>20.09376289</v>
      </c>
      <c r="AA30" s="41">
        <f>'Firing Inaccuracy(Standing) Raw'!AA30+Analysis!C30</f>
        <v>20.09392455</v>
      </c>
      <c r="AB30" s="41">
        <f>'Firing Inaccuracy(Standing) Raw'!AB30+Analysis!C30</f>
        <v>20.09401915</v>
      </c>
      <c r="AC30" s="41">
        <f>'Firing Inaccuracy(Standing) Raw'!AC30+Analysis!C30</f>
        <v>20.09407451</v>
      </c>
      <c r="AD30" s="41">
        <f>'Firing Inaccuracy(Standing) Raw'!AD30+Analysis!C30</f>
        <v>20.09410691</v>
      </c>
      <c r="AE30" s="41">
        <f>'Firing Inaccuracy(Standing) Raw'!AE30+Analysis!C30</f>
        <v>20.09412587</v>
      </c>
      <c r="AF30" s="41">
        <f>'Firing Inaccuracy(Standing) Raw'!AF30+Analysis!C30</f>
        <v>20.09413696</v>
      </c>
      <c r="AG30" s="41">
        <f>'Firing Inaccuracy(Standing) Raw'!AG30+Analysis!C30</f>
        <v>20.09414345</v>
      </c>
      <c r="AH30" s="41">
        <f>'Firing Inaccuracy(Standing) Raw'!AH30+Analysis!C30</f>
        <v>20.09414725</v>
      </c>
      <c r="AI30" s="41">
        <f>'Firing Inaccuracy(Standing) Raw'!AI30+Analysis!C30</f>
        <v>20.09414948</v>
      </c>
      <c r="AJ30" s="41">
        <f>'Firing Inaccuracy(Standing) Raw'!AJ30+Analysis!C30</f>
        <v>20.09415078</v>
      </c>
    </row>
    <row r="31" ht="15.75" customHeight="1">
      <c r="A31" s="61" t="s">
        <v>168</v>
      </c>
      <c r="B31" s="32">
        <f>'Firing Inaccuracy(Standing) Raw'!B31</f>
        <v>0.09</v>
      </c>
      <c r="C31" s="34">
        <f>'Firing Inaccuracy(Standing) Raw'!C31</f>
        <v>6.05</v>
      </c>
      <c r="D31" s="43">
        <f>'Firing Inaccuracy(Standing) Raw'!D31</f>
        <v>0.25</v>
      </c>
      <c r="E31" s="43">
        <f>'Firing Inaccuracy(Standing) Raw'!E31</f>
        <v>0.5</v>
      </c>
      <c r="F31" s="130" t="str">
        <f>'Firing Inaccuracy(Standing) Raw'!F31</f>
        <v/>
      </c>
      <c r="G31" s="39">
        <f>'Firing Inaccuracy(Standing) Raw'!G31+Analysis!C31</f>
        <v>10.45</v>
      </c>
      <c r="H31" s="41">
        <f>'Firing Inaccuracy(Standing) Raw'!H31+Analysis!C31</f>
        <v>13.09092079</v>
      </c>
      <c r="I31" s="41">
        <f>'Firing Inaccuracy(Standing) Raw'!I31+Analysis!C31</f>
        <v>14.24372452</v>
      </c>
      <c r="J31" s="41">
        <f>'Firing Inaccuracy(Standing) Raw'!J31+Analysis!C31</f>
        <v>15.73639306</v>
      </c>
      <c r="K31" s="41">
        <f>'Firing Inaccuracy(Standing) Raw'!K31+Analysis!C31</f>
        <v>17.34405741</v>
      </c>
      <c r="L31" s="41">
        <f>'Firing Inaccuracy(Standing) Raw'!L31+Analysis!C31</f>
        <v>19.00205392</v>
      </c>
      <c r="M31" s="41">
        <f>'Firing Inaccuracy(Standing) Raw'!M31+Analysis!C31</f>
        <v>20.09748135</v>
      </c>
      <c r="N31" s="41">
        <f>'Firing Inaccuracy(Standing) Raw'!N31+Analysis!C31</f>
        <v>20.82122308</v>
      </c>
      <c r="O31" s="41">
        <f>'Firing Inaccuracy(Standing) Raw'!O31+Analysis!C31</f>
        <v>21.2993945</v>
      </c>
      <c r="P31" s="41">
        <f>'Firing Inaccuracy(Standing) Raw'!P31+Analysis!C31</f>
        <v>21.61531922</v>
      </c>
      <c r="Q31" s="41">
        <f>'Firing Inaccuracy(Standing) Raw'!Q31+Analysis!C31</f>
        <v>21.82404861</v>
      </c>
      <c r="R31" s="41">
        <f>'Firing Inaccuracy(Standing) Raw'!R31+Analysis!C31</f>
        <v>21.96195476</v>
      </c>
      <c r="S31" s="41">
        <f>'Firing Inaccuracy(Standing) Raw'!S31+Analysis!C31</f>
        <v>22.05306844</v>
      </c>
      <c r="T31" s="41">
        <f>'Firing Inaccuracy(Standing) Raw'!T31+Analysis!C31</f>
        <v>22.11326666</v>
      </c>
      <c r="U31" s="41">
        <f>'Firing Inaccuracy(Standing) Raw'!U31+Analysis!C31</f>
        <v>22.15303922</v>
      </c>
      <c r="V31" s="41">
        <f>'Firing Inaccuracy(Standing) Raw'!V31+Analysis!C31</f>
        <v>22.1793167</v>
      </c>
      <c r="W31" s="41">
        <f>'Firing Inaccuracy(Standing) Raw'!W31+Analysis!C31</f>
        <v>22.19667805</v>
      </c>
      <c r="X31" s="41">
        <f>'Firing Inaccuracy(Standing) Raw'!X31+Analysis!C31</f>
        <v>22.20814859</v>
      </c>
      <c r="Y31" s="41">
        <f>'Firing Inaccuracy(Standing) Raw'!Y31+Analysis!C31</f>
        <v>22.21572709</v>
      </c>
      <c r="Z31" s="41">
        <f>'Firing Inaccuracy(Standing) Raw'!Z31+Analysis!C31</f>
        <v>22.22073416</v>
      </c>
      <c r="AA31" s="41">
        <f>'Firing Inaccuracy(Standing) Raw'!AA31+Analysis!C31</f>
        <v>22.2240423</v>
      </c>
      <c r="AB31" s="41">
        <f>'Firing Inaccuracy(Standing) Raw'!AB31+Analysis!C31</f>
        <v>22.22622796</v>
      </c>
      <c r="AC31" s="41">
        <f>'Firing Inaccuracy(Standing) Raw'!AC31+Analysis!C31</f>
        <v>22.22767202</v>
      </c>
      <c r="AD31" s="41">
        <f>'Firing Inaccuracy(Standing) Raw'!AD31+Analysis!C31</f>
        <v>22.2286261</v>
      </c>
      <c r="AE31" s="41">
        <f>'Firing Inaccuracy(Standing) Raw'!AE31+Analysis!C31</f>
        <v>22.22925645</v>
      </c>
      <c r="AF31" s="41"/>
      <c r="AG31" s="41"/>
      <c r="AH31" s="41"/>
      <c r="AI31" s="41"/>
      <c r="AJ31" s="41"/>
    </row>
    <row r="32" ht="15.75" customHeight="1">
      <c r="A32" s="66" t="s">
        <v>170</v>
      </c>
      <c r="B32" s="32">
        <f>'Firing Inaccuracy(Standing) Raw'!B32</f>
        <v>0.09</v>
      </c>
      <c r="C32" s="34">
        <f>'Firing Inaccuracy(Standing) Raw'!C32</f>
        <v>7</v>
      </c>
      <c r="D32" s="43">
        <f>'Firing Inaccuracy(Standing) Raw'!D32</f>
        <v>0.3</v>
      </c>
      <c r="E32" s="43">
        <f>'Firing Inaccuracy(Standing) Raw'!E32</f>
        <v>0.5</v>
      </c>
      <c r="F32" s="130" t="str">
        <f>'Firing Inaccuracy(Standing) Raw'!F32</f>
        <v/>
      </c>
      <c r="G32" s="39">
        <f>'Firing Inaccuracy(Standing) Raw'!G32+Analysis!C32</f>
        <v>9.37</v>
      </c>
      <c r="H32" s="41">
        <f>'Firing Inaccuracy(Standing) Raw'!H32+Analysis!C32</f>
        <v>12.87831064</v>
      </c>
      <c r="I32" s="41">
        <f>'Firing Inaccuracy(Standing) Raw'!I32+Analysis!C32</f>
        <v>14.63663114</v>
      </c>
      <c r="J32" s="41">
        <f>'Firing Inaccuracy(Standing) Raw'!J32+Analysis!C32</f>
        <v>16.34060961</v>
      </c>
      <c r="K32" s="41">
        <f>'Firing Inaccuracy(Standing) Raw'!K32+Analysis!C32</f>
        <v>18.03010284</v>
      </c>
      <c r="L32" s="41">
        <f>'Firing Inaccuracy(Standing) Raw'!L32+Analysis!C32</f>
        <v>19.71652734</v>
      </c>
      <c r="M32" s="41">
        <f>'Firing Inaccuracy(Standing) Raw'!M32+Analysis!C32</f>
        <v>20.83073696</v>
      </c>
      <c r="N32" s="41">
        <f>'Firing Inaccuracy(Standing) Raw'!N32+Analysis!C32</f>
        <v>21.56688795</v>
      </c>
      <c r="O32" s="41">
        <f>'Firing Inaccuracy(Standing) Raw'!O32+Analysis!C32</f>
        <v>22.05325809</v>
      </c>
      <c r="P32" s="41">
        <f>'Firing Inaccuracy(Standing) Raw'!P32+Analysis!C32</f>
        <v>22.37459966</v>
      </c>
      <c r="Q32" s="41">
        <f>'Firing Inaccuracy(Standing) Raw'!Q32+Analysis!C32</f>
        <v>22.58690792</v>
      </c>
      <c r="R32" s="41">
        <f>'Firing Inaccuracy(Standing) Raw'!R32+Analysis!C32</f>
        <v>22.7271786</v>
      </c>
      <c r="S32" s="41">
        <f>'Firing Inaccuracy(Standing) Raw'!S32+Analysis!C32</f>
        <v>22.81985452</v>
      </c>
      <c r="T32" s="41">
        <f>'Firing Inaccuracy(Standing) Raw'!T32+Analysis!C32</f>
        <v>22.8810849</v>
      </c>
      <c r="U32" s="41">
        <f>'Firing Inaccuracy(Standing) Raw'!U32+Analysis!C32</f>
        <v>22.9215394</v>
      </c>
      <c r="V32" s="41">
        <f>'Firing Inaccuracy(Standing) Raw'!V32+Analysis!C32</f>
        <v>22.94826743</v>
      </c>
      <c r="W32" s="41">
        <f>'Firing Inaccuracy(Standing) Raw'!W32+Analysis!C32</f>
        <v>22.96592646</v>
      </c>
      <c r="X32" s="41">
        <f>'Firing Inaccuracy(Standing) Raw'!X32+Analysis!C32</f>
        <v>22.97759367</v>
      </c>
      <c r="Y32" s="41">
        <f>'Firing Inaccuracy(Standing) Raw'!Y32+Analysis!C32</f>
        <v>22.98530212</v>
      </c>
      <c r="Z32" s="41">
        <f>'Firing Inaccuracy(Standing) Raw'!Z32+Analysis!C32</f>
        <v>22.99039504</v>
      </c>
      <c r="AA32" s="41">
        <f>'Firing Inaccuracy(Standing) Raw'!AA32+Analysis!C32</f>
        <v>22.9937599</v>
      </c>
      <c r="AB32" s="41">
        <f>'Firing Inaccuracy(Standing) Raw'!AB32+Analysis!C32</f>
        <v>22.99598304</v>
      </c>
      <c r="AC32" s="41">
        <f>'Firing Inaccuracy(Standing) Raw'!AC32+Analysis!C32</f>
        <v>22.99745185</v>
      </c>
      <c r="AD32" s="41">
        <f>'Firing Inaccuracy(Standing) Raw'!AD32+Analysis!C32</f>
        <v>22.99842229</v>
      </c>
      <c r="AE32" s="41">
        <f>'Firing Inaccuracy(Standing) Raw'!AE32+Analysis!C32</f>
        <v>22.99906345</v>
      </c>
      <c r="AF32" s="41">
        <f>'Firing Inaccuracy(Standing) Raw'!AF32+Analysis!C32</f>
        <v>22.99948706</v>
      </c>
      <c r="AG32" s="41">
        <f>'Firing Inaccuracy(Standing) Raw'!AG32+Analysis!C32</f>
        <v>22.99976694</v>
      </c>
      <c r="AH32" s="41">
        <f>'Firing Inaccuracy(Standing) Raw'!AH32+Analysis!C32</f>
        <v>22.99995185</v>
      </c>
      <c r="AI32" s="41">
        <f>'Firing Inaccuracy(Standing) Raw'!AI32+Analysis!C32</f>
        <v>23.00007402</v>
      </c>
      <c r="AJ32" s="41">
        <f>'Firing Inaccuracy(Standing) Raw'!AJ32+Analysis!C32</f>
        <v>23.00015474</v>
      </c>
    </row>
    <row r="33" ht="15.75" customHeight="1">
      <c r="A33" s="61" t="s">
        <v>171</v>
      </c>
      <c r="B33" s="32">
        <f>'Firing Inaccuracy(Standing) Raw'!B33</f>
        <v>0.09</v>
      </c>
      <c r="C33" s="34">
        <f>'Firing Inaccuracy(Standing) Raw'!C33</f>
        <v>7</v>
      </c>
      <c r="D33" s="43">
        <f>'Firing Inaccuracy(Standing) Raw'!D33</f>
        <v>0.338941</v>
      </c>
      <c r="E33" s="43">
        <f>'Firing Inaccuracy(Standing) Raw'!E33</f>
        <v>0.466044</v>
      </c>
      <c r="F33" s="130" t="str">
        <f>'Firing Inaccuracy(Standing) Raw'!F33</f>
        <v/>
      </c>
      <c r="G33" s="39">
        <f>'Firing Inaccuracy(Standing) Raw'!G33+Analysis!C33</f>
        <v>5.5</v>
      </c>
      <c r="H33" s="41">
        <f>'Firing Inaccuracy(Standing) Raw'!H33+Analysis!C33</f>
        <v>9.29808868</v>
      </c>
      <c r="I33" s="41">
        <f>'Firing Inaccuracy(Standing) Raw'!I33+Analysis!C33</f>
        <v>11.3588712</v>
      </c>
      <c r="J33" s="41">
        <f>'Firing Inaccuracy(Standing) Raw'!J33+Analysis!C33</f>
        <v>12.96747182</v>
      </c>
      <c r="K33" s="41">
        <f>'Firing Inaccuracy(Standing) Raw'!K33+Analysis!C33</f>
        <v>14.37087246</v>
      </c>
      <c r="L33" s="41">
        <f>'Firing Inaccuracy(Standing) Raw'!L33+Analysis!C33</f>
        <v>15.67386542</v>
      </c>
      <c r="M33" s="41">
        <f>'Firing Inaccuracy(Standing) Raw'!M33+Analysis!C33</f>
        <v>16.50913614</v>
      </c>
      <c r="N33" s="41">
        <f>'Firing Inaccuracy(Standing) Raw'!N33+Analysis!C33</f>
        <v>17.04457815</v>
      </c>
      <c r="O33" s="41">
        <f>'Firing Inaccuracy(Standing) Raw'!O33+Analysis!C33</f>
        <v>17.38781794</v>
      </c>
      <c r="P33" s="41">
        <f>'Firing Inaccuracy(Standing) Raw'!P33+Analysis!C33</f>
        <v>17.6078484</v>
      </c>
      <c r="Q33" s="41">
        <f>'Firing Inaccuracy(Standing) Raw'!Q33+Analysis!C33</f>
        <v>17.74889675</v>
      </c>
      <c r="R33" s="41">
        <f>'Firing Inaccuracy(Standing) Raw'!R33+Analysis!C33</f>
        <v>17.83931439</v>
      </c>
      <c r="S33" s="41">
        <f>'Firing Inaccuracy(Standing) Raw'!S33+Analysis!C33</f>
        <v>17.89727573</v>
      </c>
      <c r="T33" s="41">
        <f>'Firing Inaccuracy(Standing) Raw'!T33+Analysis!C33</f>
        <v>17.93443127</v>
      </c>
      <c r="U33" s="41">
        <f>'Firing Inaccuracy(Standing) Raw'!U33+Analysis!C33</f>
        <v>17.95824946</v>
      </c>
      <c r="V33" s="41">
        <f>'Firing Inaccuracy(Standing) Raw'!V33+Analysis!C33</f>
        <v>17.97351787</v>
      </c>
      <c r="W33" s="41">
        <f>'Firing Inaccuracy(Standing) Raw'!W33+Analysis!C33</f>
        <v>17.98330554</v>
      </c>
      <c r="X33" s="41">
        <f>'Firing Inaccuracy(Standing) Raw'!X33+Analysis!C33</f>
        <v>17.98957982</v>
      </c>
      <c r="Y33" s="41">
        <f>'Firing Inaccuracy(Standing) Raw'!Y33+Analysis!C33</f>
        <v>17.99360189</v>
      </c>
      <c r="Z33" s="41">
        <f>'Firing Inaccuracy(Standing) Raw'!Z33+Analysis!C33</f>
        <v>17.9961802</v>
      </c>
      <c r="AA33" s="41">
        <f>'Firing Inaccuracy(Standing) Raw'!AA33+Analysis!C33</f>
        <v>17.997833</v>
      </c>
      <c r="AB33" s="41">
        <f>'Firing Inaccuracy(Standing) Raw'!AB33+Analysis!C33</f>
        <v>17.99889251</v>
      </c>
      <c r="AC33" s="41">
        <f>'Firing Inaccuracy(Standing) Raw'!AC33+Analysis!C33</f>
        <v>17.9995717</v>
      </c>
      <c r="AD33" s="41">
        <f>'Firing Inaccuracy(Standing) Raw'!AD33+Analysis!C33</f>
        <v>18.00000708</v>
      </c>
      <c r="AE33" s="41">
        <f>'Firing Inaccuracy(Standing) Raw'!AE33+Analysis!C33</f>
        <v>18.00028618</v>
      </c>
      <c r="AF33" s="41">
        <f>'Firing Inaccuracy(Standing) Raw'!AF33+Analysis!C33</f>
        <v>18.0004651</v>
      </c>
      <c r="AG33" s="41">
        <f>'Firing Inaccuracy(Standing) Raw'!AG33+Analysis!C33</f>
        <v>18.00057979</v>
      </c>
      <c r="AH33" s="41">
        <f>'Firing Inaccuracy(Standing) Raw'!AH33+Analysis!C33</f>
        <v>18.00065331</v>
      </c>
      <c r="AI33" s="41">
        <f>'Firing Inaccuracy(Standing) Raw'!AI33+Analysis!C33</f>
        <v>18.00070044</v>
      </c>
      <c r="AJ33" s="41">
        <f>'Firing Inaccuracy(Standing) Raw'!AJ33+Analysis!C33</f>
        <v>18.00073065</v>
      </c>
    </row>
    <row r="34" ht="15.75" customHeight="1">
      <c r="A34" s="61" t="s">
        <v>173</v>
      </c>
      <c r="B34" s="32">
        <f>'Firing Inaccuracy(Standing) Raw'!B34</f>
        <v>0.1</v>
      </c>
      <c r="C34" s="34">
        <f>'Firing Inaccuracy(Standing) Raw'!C34</f>
        <v>7</v>
      </c>
      <c r="D34" s="43">
        <f>'Firing Inaccuracy(Standing) Raw'!D34</f>
        <v>0.338941</v>
      </c>
      <c r="E34" s="43">
        <f>'Firing Inaccuracy(Standing) Raw'!E34</f>
        <v>0.466044</v>
      </c>
      <c r="F34" s="130" t="str">
        <f>'Firing Inaccuracy(Standing) Raw'!F34</f>
        <v/>
      </c>
      <c r="G34" s="39">
        <f>'Firing Inaccuracy(Standing) Raw'!G34+Analysis!C34</f>
        <v>5.4</v>
      </c>
      <c r="H34" s="41">
        <f>'Firing Inaccuracy(Standing) Raw'!H34+Analysis!C34</f>
        <v>8.948635891</v>
      </c>
      <c r="I34" s="41">
        <f>'Firing Inaccuracy(Standing) Raw'!I34+Analysis!C34</f>
        <v>10.7476097</v>
      </c>
      <c r="J34" s="41">
        <f>'Firing Inaccuracy(Standing) Raw'!J34+Analysis!C34</f>
        <v>12.15037916</v>
      </c>
      <c r="K34" s="41">
        <f>'Firing Inaccuracy(Standing) Raw'!K34+Analysis!C34</f>
        <v>13.38519343</v>
      </c>
      <c r="L34" s="41">
        <f>'Firing Inaccuracy(Standing) Raw'!L34+Analysis!C34</f>
        <v>14.54303408</v>
      </c>
      <c r="M34" s="41">
        <f>'Firing Inaccuracy(Standing) Raw'!M34+Analysis!C34</f>
        <v>15.24947651</v>
      </c>
      <c r="N34" s="41">
        <f>'Firing Inaccuracy(Standing) Raw'!N34+Analysis!C34</f>
        <v>15.6805038</v>
      </c>
      <c r="O34" s="41">
        <f>'Firing Inaccuracy(Standing) Raw'!O34+Analysis!C34</f>
        <v>15.94348987</v>
      </c>
      <c r="P34" s="41">
        <f>'Firing Inaccuracy(Standing) Raw'!P34+Analysis!C34</f>
        <v>16.10394763</v>
      </c>
      <c r="Q34" s="41">
        <f>'Firing Inaccuracy(Standing) Raw'!Q34+Analysis!C34</f>
        <v>16.20184899</v>
      </c>
      <c r="R34" s="41">
        <f>'Firing Inaccuracy(Standing) Raw'!R34+Analysis!C34</f>
        <v>16.26158232</v>
      </c>
      <c r="S34" s="41">
        <f>'Firing Inaccuracy(Standing) Raw'!S34+Analysis!C34</f>
        <v>16.29802789</v>
      </c>
      <c r="T34" s="41">
        <f>'Firing Inaccuracy(Standing) Raw'!T34+Analysis!C34</f>
        <v>16.32026471</v>
      </c>
      <c r="U34" s="41">
        <f>'Firing Inaccuracy(Standing) Raw'!U34+Analysis!C34</f>
        <v>16.33383223</v>
      </c>
      <c r="V34" s="41">
        <f>'Firing Inaccuracy(Standing) Raw'!V34+Analysis!C34</f>
        <v>16.34211029</v>
      </c>
      <c r="W34" s="41">
        <f>'Firing Inaccuracy(Standing) Raw'!W34+Analysis!C34</f>
        <v>16.34716105</v>
      </c>
      <c r="X34" s="41">
        <f>'Firing Inaccuracy(Standing) Raw'!X34+Analysis!C34</f>
        <v>16.35024271</v>
      </c>
      <c r="Y34" s="41">
        <f>'Firing Inaccuracy(Standing) Raw'!Y34+Analysis!C34</f>
        <v>16.35212295</v>
      </c>
      <c r="Z34" s="41">
        <f>'Firing Inaccuracy(Standing) Raw'!Z34+Analysis!C34</f>
        <v>16.35327015</v>
      </c>
      <c r="AA34" s="39">
        <f>'Firing Inaccuracy(Standing) Raw'!AA34+Analysis!C34</f>
        <v>16.3539701</v>
      </c>
      <c r="AB34" s="41">
        <f>'Firing Inaccuracy(Standing) Raw'!AB34+Analysis!C34</f>
        <v>16.35439717</v>
      </c>
      <c r="AC34" s="41">
        <f>'Firing Inaccuracy(Standing) Raw'!AC34+Analysis!C34</f>
        <v>16.35465774</v>
      </c>
      <c r="AD34" s="41">
        <f>'Firing Inaccuracy(Standing) Raw'!AD34+Analysis!C34</f>
        <v>16.35481673</v>
      </c>
      <c r="AE34" s="41">
        <f>'Firing Inaccuracy(Standing) Raw'!AE34+Analysis!C34</f>
        <v>16.35491373</v>
      </c>
      <c r="AF34" s="41"/>
      <c r="AG34" s="41"/>
      <c r="AH34" s="41"/>
      <c r="AI34" s="41"/>
      <c r="AJ34" s="41"/>
    </row>
    <row r="35" ht="15.75" customHeight="1">
      <c r="A35" s="66" t="s">
        <v>175</v>
      </c>
      <c r="B35" s="32">
        <f>'Firing Inaccuracy(Standing) Raw'!B35</f>
        <v>0.09</v>
      </c>
      <c r="C35" s="34">
        <f>'Firing Inaccuracy(Standing) Raw'!C35</f>
        <v>6.68</v>
      </c>
      <c r="D35" s="43">
        <f>'Firing Inaccuracy(Standing) Raw'!D35</f>
        <v>0.452886</v>
      </c>
      <c r="E35" s="43" t="str">
        <f>'Firing Inaccuracy(Standing) Raw'!E35</f>
        <v>N/A</v>
      </c>
      <c r="F35" s="130" t="str">
        <f>'Firing Inaccuracy(Standing) Raw'!F35</f>
        <v/>
      </c>
      <c r="G35" s="39">
        <f>'Firing Inaccuracy(Standing) Raw'!G35+Analysis!C35</f>
        <v>4.28</v>
      </c>
      <c r="H35" s="41">
        <f>'Firing Inaccuracy(Standing) Raw'!H35+Analysis!C35</f>
        <v>8.507182085</v>
      </c>
      <c r="I35" s="41">
        <f>'Firing Inaccuracy(Standing) Raw'!I35+Analysis!C35</f>
        <v>11.18219232</v>
      </c>
      <c r="J35" s="41">
        <f>'Firing Inaccuracy(Standing) Raw'!J35+Analysis!C35</f>
        <v>12.87497007</v>
      </c>
      <c r="K35" s="41">
        <f>'Firing Inaccuracy(Standing) Raw'!K35+Analysis!C35</f>
        <v>13.94617961</v>
      </c>
      <c r="L35" s="41">
        <f>'Firing Inaccuracy(Standing) Raw'!L35+Analysis!C35</f>
        <v>14.62405354</v>
      </c>
      <c r="M35" s="41">
        <f>'Firing Inaccuracy(Standing) Raw'!M35+Analysis!C35</f>
        <v>15.05302008</v>
      </c>
      <c r="N35" s="41">
        <f>'Firing Inaccuracy(Standing) Raw'!N35+Analysis!C35</f>
        <v>15.32447512</v>
      </c>
      <c r="O35" s="41">
        <f>'Firing Inaccuracy(Standing) Raw'!O35+Analysis!C35</f>
        <v>15.49625505</v>
      </c>
      <c r="P35" s="41">
        <f>'Firing Inaccuracy(Standing) Raw'!P35+Analysis!C35</f>
        <v>15.60495939</v>
      </c>
      <c r="Q35" s="41">
        <f>'Firing Inaccuracy(Standing) Raw'!Q35+Analysis!C35</f>
        <v>15.67374877</v>
      </c>
      <c r="R35" s="41">
        <f>'Firing Inaccuracy(Standing) Raw'!R35+Analysis!C35</f>
        <v>15.71727949</v>
      </c>
      <c r="S35" s="41">
        <f>'Firing Inaccuracy(Standing) Raw'!S35+Analysis!C35</f>
        <v>15.74482624</v>
      </c>
      <c r="T35" s="41">
        <f>'Firing Inaccuracy(Standing) Raw'!T35+Analysis!C35</f>
        <v>15.76225815</v>
      </c>
      <c r="U35" s="41">
        <f>'Firing Inaccuracy(Standing) Raw'!U35+Analysis!C35</f>
        <v>15.77328926</v>
      </c>
      <c r="V35" s="41">
        <f>'Firing Inaccuracy(Standing) Raw'!V35+Analysis!C35</f>
        <v>15.78026988</v>
      </c>
      <c r="W35" s="41">
        <f>'Firing Inaccuracy(Standing) Raw'!W35+Analysis!C35</f>
        <v>15.7846873</v>
      </c>
      <c r="X35" s="41">
        <f>'Firing Inaccuracy(Standing) Raw'!X35+Analysis!C35</f>
        <v>15.78748269</v>
      </c>
      <c r="Y35" s="41">
        <f>'Firing Inaccuracy(Standing) Raw'!Y35+Analysis!C35</f>
        <v>15.78925165</v>
      </c>
      <c r="Z35" s="41">
        <f>'Firing Inaccuracy(Standing) Raw'!Z35+Analysis!C35</f>
        <v>15.79037106</v>
      </c>
      <c r="AA35" s="41">
        <f>'Firing Inaccuracy(Standing) Raw'!AA35+Analysis!C35</f>
        <v>15.79107944</v>
      </c>
      <c r="AB35" s="41">
        <f>'Firing Inaccuracy(Standing) Raw'!AB35+Analysis!C35</f>
        <v>15.79152771</v>
      </c>
      <c r="AC35" s="41">
        <f>'Firing Inaccuracy(Standing) Raw'!AC35+Analysis!C35</f>
        <v>15.79181139</v>
      </c>
      <c r="AD35" s="41">
        <f>'Firing Inaccuracy(Standing) Raw'!AD35+Analysis!C35</f>
        <v>15.7919909</v>
      </c>
      <c r="AE35" s="41">
        <f>'Firing Inaccuracy(Standing) Raw'!AE35+Analysis!C35</f>
        <v>15.79210449</v>
      </c>
      <c r="AF35" s="41">
        <f>'Firing Inaccuracy(Standing) Raw'!AF35+Analysis!C35</f>
        <v>15.79217638</v>
      </c>
      <c r="AG35" s="41">
        <f>'Firing Inaccuracy(Standing) Raw'!AG35+Analysis!C35</f>
        <v>15.79222187</v>
      </c>
      <c r="AH35" s="41">
        <f>'Firing Inaccuracy(Standing) Raw'!AH35+Analysis!C35</f>
        <v>15.79225065</v>
      </c>
      <c r="AI35" s="41">
        <f>'Firing Inaccuracy(Standing) Raw'!AI35+Analysis!C35</f>
        <v>15.79226887</v>
      </c>
      <c r="AJ35" s="41">
        <f>'Firing Inaccuracy(Standing) Raw'!AJ35+Analysis!C35</f>
        <v>15.7922804</v>
      </c>
    </row>
    <row r="36" ht="15.75" customHeight="1">
      <c r="A36" s="75"/>
      <c r="B36" s="77" t="str">
        <f>'Firing Inaccuracy(Standing) Raw'!B36</f>
        <v/>
      </c>
      <c r="C36" s="79" t="str">
        <f>'Firing Inaccuracy(Standing) Raw'!C36</f>
        <v/>
      </c>
      <c r="D36" s="132" t="str">
        <f>'Firing Inaccuracy(Standing) Raw'!D36</f>
        <v/>
      </c>
      <c r="E36" s="132" t="str">
        <f>'Firing Inaccuracy(Standing) Raw'!E36</f>
        <v/>
      </c>
      <c r="F36" s="133" t="str">
        <f>'Firing Inaccuracy(Standing) Raw'!F36</f>
        <v/>
      </c>
      <c r="G36" s="79" t="str">
        <f>'Firing Inaccuracy(Standing) Raw'!G36</f>
        <v/>
      </c>
      <c r="H36" s="79" t="str">
        <f>'Firing Inaccuracy(Standing) Raw'!H36</f>
        <v/>
      </c>
      <c r="I36" s="79" t="str">
        <f>'Firing Inaccuracy(Standing) Raw'!I36</f>
        <v/>
      </c>
      <c r="J36" s="79" t="str">
        <f>'Firing Inaccuracy(Standing) Raw'!J36</f>
        <v/>
      </c>
      <c r="K36" s="79" t="str">
        <f>'Firing Inaccuracy(Standing) Raw'!K36</f>
        <v/>
      </c>
      <c r="L36" s="79" t="str">
        <f>'Firing Inaccuracy(Standing) Raw'!L36</f>
        <v/>
      </c>
      <c r="M36" s="79" t="str">
        <f>'Firing Inaccuracy(Standing) Raw'!M36</f>
        <v/>
      </c>
      <c r="N36" s="79" t="str">
        <f>'Firing Inaccuracy(Standing) Raw'!N36</f>
        <v/>
      </c>
      <c r="O36" s="79" t="str">
        <f>'Firing Inaccuracy(Standing) Raw'!O36</f>
        <v/>
      </c>
      <c r="P36" s="79" t="str">
        <f>'Firing Inaccuracy(Standing) Raw'!P36</f>
        <v/>
      </c>
      <c r="Q36" s="79" t="str">
        <f>'Firing Inaccuracy(Standing) Raw'!Q36</f>
        <v/>
      </c>
      <c r="R36" s="79" t="str">
        <f>'Firing Inaccuracy(Standing) Raw'!R36</f>
        <v/>
      </c>
      <c r="S36" s="79" t="str">
        <f>'Firing Inaccuracy(Standing) Raw'!S36</f>
        <v/>
      </c>
      <c r="T36" s="79" t="str">
        <f>'Firing Inaccuracy(Standing) Raw'!T36</f>
        <v/>
      </c>
      <c r="U36" s="79" t="str">
        <f>'Firing Inaccuracy(Standing) Raw'!U36</f>
        <v/>
      </c>
      <c r="V36" s="79" t="str">
        <f>'Firing Inaccuracy(Standing) Raw'!V36</f>
        <v/>
      </c>
      <c r="W36" s="79" t="str">
        <f>'Firing Inaccuracy(Standing) Raw'!W36</f>
        <v/>
      </c>
      <c r="X36" s="79" t="str">
        <f>'Firing Inaccuracy(Standing) Raw'!X36</f>
        <v/>
      </c>
      <c r="Y36" s="79" t="str">
        <f>'Firing Inaccuracy(Standing) Raw'!Y36</f>
        <v/>
      </c>
      <c r="Z36" s="79" t="str">
        <f>'Firing Inaccuracy(Standing) Raw'!Z36</f>
        <v/>
      </c>
      <c r="AA36" s="79" t="str">
        <f>'Firing Inaccuracy(Standing) Raw'!AA36</f>
        <v/>
      </c>
      <c r="AB36" s="79" t="str">
        <f>'Firing Inaccuracy(Standing) Raw'!AB36</f>
        <v/>
      </c>
      <c r="AC36" s="79" t="str">
        <f>'Firing Inaccuracy(Standing) Raw'!AC36</f>
        <v/>
      </c>
      <c r="AD36" s="79" t="str">
        <f>'Firing Inaccuracy(Standing) Raw'!AD36</f>
        <v/>
      </c>
      <c r="AE36" s="79" t="str">
        <f>'Firing Inaccuracy(Standing) Raw'!AE36</f>
        <v/>
      </c>
      <c r="AF36" s="79" t="str">
        <f>'Firing Inaccuracy(Standing) Raw'!AF36</f>
        <v/>
      </c>
      <c r="AG36" s="79" t="str">
        <f>'Firing Inaccuracy(Standing) Raw'!AG36</f>
        <v/>
      </c>
      <c r="AH36" s="79" t="str">
        <f>'Firing Inaccuracy(Standing) Raw'!AH36</f>
        <v/>
      </c>
      <c r="AI36" s="79" t="str">
        <f>'Firing Inaccuracy(Standing) Raw'!AI36</f>
        <v/>
      </c>
      <c r="AJ36" s="79" t="str">
        <f>'Firing Inaccuracy(Standing) Raw'!AJ36</f>
        <v/>
      </c>
    </row>
    <row r="37" ht="15.75" customHeight="1">
      <c r="A37" s="5" t="s">
        <v>177</v>
      </c>
      <c r="B37" s="11" t="str">
        <f>'Firing Inaccuracy(Standing) Raw'!B37</f>
        <v>CycleTime</v>
      </c>
      <c r="C37" s="9" t="str">
        <f>'Firing Inaccuracy(Standing) Raw'!C37</f>
        <v>Inaccuracy
Fire</v>
      </c>
      <c r="D37" s="21" t="str">
        <f>'Firing Inaccuracy(Standing) Raw'!D37</f>
        <v>Recovery
TimeStand</v>
      </c>
      <c r="E37" s="21" t="str">
        <f>'Firing Inaccuracy(Standing) Raw'!E37</f>
        <v>RecoveryTime
StandFinal</v>
      </c>
      <c r="F37" s="125" t="str">
        <f>'Firing Inaccuracy(Standing) Raw'!F37</f>
        <v/>
      </c>
      <c r="G37" s="127">
        <f>'Firing Inaccuracy(Standing) Raw'!G37</f>
        <v>1</v>
      </c>
      <c r="H37" s="127">
        <f>'Firing Inaccuracy(Standing) Raw'!H37</f>
        <v>2</v>
      </c>
      <c r="I37" s="127">
        <f>'Firing Inaccuracy(Standing) Raw'!I37</f>
        <v>3</v>
      </c>
      <c r="J37" s="127">
        <f>'Firing Inaccuracy(Standing) Raw'!J37</f>
        <v>4</v>
      </c>
      <c r="K37" s="127">
        <f>'Firing Inaccuracy(Standing) Raw'!K37</f>
        <v>5</v>
      </c>
      <c r="L37" s="127">
        <f>'Firing Inaccuracy(Standing) Raw'!L37</f>
        <v>6</v>
      </c>
      <c r="M37" s="127">
        <f>'Firing Inaccuracy(Standing) Raw'!M37</f>
        <v>7</v>
      </c>
      <c r="N37" s="127">
        <f>'Firing Inaccuracy(Standing) Raw'!N37</f>
        <v>8</v>
      </c>
      <c r="O37" s="127">
        <f>'Firing Inaccuracy(Standing) Raw'!O37</f>
        <v>9</v>
      </c>
      <c r="P37" s="127">
        <f>'Firing Inaccuracy(Standing) Raw'!P37</f>
        <v>10</v>
      </c>
      <c r="Q37" s="127">
        <f>'Firing Inaccuracy(Standing) Raw'!Q37</f>
        <v>11</v>
      </c>
      <c r="R37" s="127">
        <f>'Firing Inaccuracy(Standing) Raw'!R37</f>
        <v>12</v>
      </c>
      <c r="S37" s="127">
        <f>'Firing Inaccuracy(Standing) Raw'!S37</f>
        <v>13</v>
      </c>
      <c r="T37" s="127">
        <f>'Firing Inaccuracy(Standing) Raw'!T37</f>
        <v>14</v>
      </c>
      <c r="U37" s="127">
        <f>'Firing Inaccuracy(Standing) Raw'!U37</f>
        <v>15</v>
      </c>
      <c r="V37" s="127">
        <f>'Firing Inaccuracy(Standing) Raw'!V37</f>
        <v>16</v>
      </c>
      <c r="W37" s="127">
        <f>'Firing Inaccuracy(Standing) Raw'!W37</f>
        <v>17</v>
      </c>
      <c r="X37" s="127">
        <f>'Firing Inaccuracy(Standing) Raw'!X37</f>
        <v>18</v>
      </c>
      <c r="Y37" s="127">
        <f>'Firing Inaccuracy(Standing) Raw'!Y37</f>
        <v>19</v>
      </c>
      <c r="Z37" s="127">
        <f>'Firing Inaccuracy(Standing) Raw'!Z37</f>
        <v>20</v>
      </c>
      <c r="AA37" s="127">
        <f>'Firing Inaccuracy(Standing) Raw'!AA37</f>
        <v>21</v>
      </c>
      <c r="AB37" s="127">
        <f>'Firing Inaccuracy(Standing) Raw'!AB37</f>
        <v>22</v>
      </c>
      <c r="AC37" s="127">
        <f>'Firing Inaccuracy(Standing) Raw'!AC37</f>
        <v>23</v>
      </c>
      <c r="AD37" s="127">
        <f>'Firing Inaccuracy(Standing) Raw'!AD37</f>
        <v>24</v>
      </c>
      <c r="AE37" s="127">
        <f>'Firing Inaccuracy(Standing) Raw'!AE37</f>
        <v>25</v>
      </c>
      <c r="AF37" s="127">
        <f>'Firing Inaccuracy(Standing) Raw'!AF37</f>
        <v>26</v>
      </c>
      <c r="AG37" s="127">
        <f>'Firing Inaccuracy(Standing) Raw'!AG37</f>
        <v>27</v>
      </c>
      <c r="AH37" s="127">
        <f>'Firing Inaccuracy(Standing) Raw'!AH37</f>
        <v>28</v>
      </c>
      <c r="AI37" s="127">
        <f>'Firing Inaccuracy(Standing) Raw'!AI37</f>
        <v>29</v>
      </c>
      <c r="AJ37" s="127">
        <f>'Firing Inaccuracy(Standing) Raw'!AJ37</f>
        <v>30</v>
      </c>
    </row>
    <row r="38" ht="15.75" customHeight="1">
      <c r="A38" s="28" t="s">
        <v>179</v>
      </c>
      <c r="B38" s="32">
        <f>'Firing Inaccuracy(Standing) Raw'!B38</f>
        <v>0.08</v>
      </c>
      <c r="C38" s="34">
        <f>'Firing Inaccuracy(Standing) Raw'!C38</f>
        <v>3.56</v>
      </c>
      <c r="D38" s="43">
        <f>'Firing Inaccuracy(Standing) Raw'!D38</f>
        <v>0.828931</v>
      </c>
      <c r="E38" s="43" t="str">
        <f>'Firing Inaccuracy(Standing) Raw'!E38</f>
        <v>N/A</v>
      </c>
      <c r="F38" s="130" t="str">
        <f>'Firing Inaccuracy(Standing) Raw'!F38</f>
        <v/>
      </c>
      <c r="G38" s="39">
        <f>'Firing Inaccuracy(Standing) Raw'!G38+Analysis!C38</f>
        <v>9.7</v>
      </c>
      <c r="H38" s="41">
        <f>'Firing Inaccuracy(Standing) Raw'!H38+Analysis!C38</f>
        <v>12.55062543</v>
      </c>
      <c r="I38" s="41">
        <f>'Firing Inaccuracy(Standing) Raw'!I38+Analysis!C38</f>
        <v>14.83322807</v>
      </c>
      <c r="J38" s="41">
        <f>'Firing Inaccuracy(Standing) Raw'!J38+Analysis!C38</f>
        <v>16.66099355</v>
      </c>
      <c r="K38" s="41">
        <f>'Firing Inaccuracy(Standing) Raw'!K38+Analysis!C38</f>
        <v>18.12455388</v>
      </c>
      <c r="L38" s="41">
        <f>'Firing Inaccuracy(Standing) Raw'!L38+Analysis!C38</f>
        <v>19.29648149</v>
      </c>
      <c r="M38" s="41">
        <f>'Firing Inaccuracy(Standing) Raw'!M38+Analysis!C38</f>
        <v>20.23488786</v>
      </c>
      <c r="N38" s="41">
        <f>'Firing Inaccuracy(Standing) Raw'!N38+Analysis!C38</f>
        <v>20.986305</v>
      </c>
      <c r="O38" s="41">
        <f>'Firing Inaccuracy(Standing) Raw'!O38+Analysis!C38</f>
        <v>21.58799288</v>
      </c>
      <c r="P38" s="41">
        <f>'Firing Inaccuracy(Standing) Raw'!P38+Analysis!C38</f>
        <v>22.06978691</v>
      </c>
      <c r="Q38" s="41">
        <f>'Firing Inaccuracy(Standing) Raw'!Q38+Analysis!C38</f>
        <v>22.45557746</v>
      </c>
      <c r="R38" s="41">
        <f>'Firing Inaccuracy(Standing) Raw'!R38+Analysis!C38</f>
        <v>22.7644944</v>
      </c>
      <c r="S38" s="41">
        <f>'Firing Inaccuracy(Standing) Raw'!S38+Analysis!C38</f>
        <v>23.01185578</v>
      </c>
      <c r="T38" s="41">
        <f>'Firing Inaccuracy(Standing) Raw'!T38+Analysis!C38</f>
        <v>23.20992731</v>
      </c>
      <c r="U38" s="41">
        <f>'Firing Inaccuracy(Standing) Raw'!U38+Analysis!C38</f>
        <v>23.3685306</v>
      </c>
      <c r="V38" s="41">
        <f>'Firing Inaccuracy(Standing) Raw'!V38+Analysis!C38</f>
        <v>23.49553021</v>
      </c>
      <c r="W38" s="41">
        <f>'Firing Inaccuracy(Standing) Raw'!W38+Analysis!C38</f>
        <v>23.59722355</v>
      </c>
      <c r="X38" s="41">
        <f>'Firing Inaccuracy(Standing) Raw'!X38+Analysis!C38</f>
        <v>23.67865322</v>
      </c>
      <c r="Y38" s="41">
        <f>'Firing Inaccuracy(Standing) Raw'!Y38+Analysis!C38</f>
        <v>23.74385701</v>
      </c>
      <c r="Z38" s="41">
        <f>'Firing Inaccuracy(Standing) Raw'!Z38+Analysis!C38</f>
        <v>23.79606813</v>
      </c>
      <c r="AA38" s="41">
        <f>'Firing Inaccuracy(Standing) Raw'!AA38+Analysis!C38</f>
        <v>23.83787553</v>
      </c>
      <c r="AB38" s="41">
        <f>'Firing Inaccuracy(Standing) Raw'!AB38+Analysis!C38</f>
        <v>23.87135228</v>
      </c>
      <c r="AC38" s="41">
        <f>'Firing Inaccuracy(Standing) Raw'!AC38+Analysis!C38</f>
        <v>23.89815837</v>
      </c>
      <c r="AD38" s="41">
        <f>'Firing Inaccuracy(Standing) Raw'!AD38+Analysis!C38</f>
        <v>23.91962301</v>
      </c>
      <c r="AE38" s="41">
        <f>'Firing Inaccuracy(Standing) Raw'!AE38+Analysis!C38</f>
        <v>23.93681055</v>
      </c>
      <c r="AF38" s="41">
        <f>'Firing Inaccuracy(Standing) Raw'!AF38+Analysis!C38</f>
        <v>23.95057326</v>
      </c>
      <c r="AG38" s="41">
        <f>'Firing Inaccuracy(Standing) Raw'!AG38+Analysis!C38</f>
        <v>23.96159358</v>
      </c>
      <c r="AH38" s="41">
        <f>'Firing Inaccuracy(Standing) Raw'!AH38+Analysis!C38</f>
        <v>23.97041796</v>
      </c>
      <c r="AI38" s="41">
        <f>'Firing Inaccuracy(Standing) Raw'!AI38+Analysis!C38</f>
        <v>23.97748397</v>
      </c>
      <c r="AJ38" s="41">
        <f>'Firing Inaccuracy(Standing) Raw'!AJ38+Analysis!C38</f>
        <v>23.983142</v>
      </c>
    </row>
    <row r="39" ht="15.75" customHeight="1">
      <c r="A39" s="28" t="s">
        <v>181</v>
      </c>
      <c r="B39" s="32">
        <f>'Firing Inaccuracy(Standing) Raw'!B39</f>
        <v>0.075</v>
      </c>
      <c r="C39" s="34">
        <f>'Firing Inaccuracy(Standing) Raw'!C39</f>
        <v>30</v>
      </c>
      <c r="D39" s="43">
        <f>'Firing Inaccuracy(Standing) Raw'!D39</f>
        <v>0.3</v>
      </c>
      <c r="E39" s="43">
        <f>'Firing Inaccuracy(Standing) Raw'!E39</f>
        <v>0.1</v>
      </c>
      <c r="F39" s="130" t="str">
        <f>'Firing Inaccuracy(Standing) Raw'!F39</f>
        <v/>
      </c>
      <c r="G39" s="39">
        <f>'Firing Inaccuracy(Standing) Raw'!G39+Analysis!C39</f>
        <v>12.17</v>
      </c>
      <c r="H39" s="41">
        <f>'Firing Inaccuracy(Standing) Raw'!H39+Analysis!C39</f>
        <v>29.04023976</v>
      </c>
      <c r="I39" s="41">
        <f>'Firing Inaccuracy(Standing) Raw'!I39+Analysis!C39</f>
        <v>38.52707274</v>
      </c>
      <c r="J39" s="41">
        <f>'Firing Inaccuracy(Standing) Raw'!J39+Analysis!C39</f>
        <v>43.86191097</v>
      </c>
      <c r="K39" s="41">
        <f>'Firing Inaccuracy(Standing) Raw'!K39+Analysis!C39</f>
        <v>46.86191097</v>
      </c>
      <c r="L39" s="41">
        <f>'Firing Inaccuracy(Standing) Raw'!L39+Analysis!C39</f>
        <v>48.54893494</v>
      </c>
      <c r="M39" s="41">
        <f>'Firing Inaccuracy(Standing) Raw'!M39+Analysis!C39</f>
        <v>49.49761824</v>
      </c>
      <c r="N39" s="41">
        <f>'Firing Inaccuracy(Standing) Raw'!N39+Analysis!C39</f>
        <v>50.03110206</v>
      </c>
      <c r="O39" s="41">
        <f>'Firing Inaccuracy(Standing) Raw'!O39+Analysis!C39</f>
        <v>50.33110206</v>
      </c>
      <c r="P39" s="41">
        <f>'Firing Inaccuracy(Standing) Raw'!P39+Analysis!C39</f>
        <v>50.49980446</v>
      </c>
      <c r="Q39" s="41">
        <f>'Firing Inaccuracy(Standing) Raw'!Q39+Analysis!C39</f>
        <v>44.76729828</v>
      </c>
      <c r="R39" s="41">
        <f>'Firing Inaccuracy(Standing) Raw'!R39+Analysis!C39</f>
        <v>34.38035956</v>
      </c>
      <c r="S39" s="41">
        <f>'Firing Inaccuracy(Standing) Raw'!S39+Analysis!C39</f>
        <v>21.45446074</v>
      </c>
      <c r="T39" s="41">
        <f>'Firing Inaccuracy(Standing) Raw'!T39+Analysis!C39</f>
        <v>19.15587477</v>
      </c>
      <c r="U39" s="41">
        <f>'Firing Inaccuracy(Standing) Raw'!U39+Analysis!C39</f>
        <v>18.74712196</v>
      </c>
      <c r="V39" s="41">
        <f>'Firing Inaccuracy(Standing) Raw'!V39+Analysis!C39</f>
        <v>18.67443429</v>
      </c>
      <c r="W39" s="41">
        <f>'Firing Inaccuracy(Standing) Raw'!W39+Analysis!C39</f>
        <v>18.66150839</v>
      </c>
      <c r="X39" s="41">
        <f>'Firing Inaccuracy(Standing) Raw'!X39+Analysis!C39</f>
        <v>18.6592098</v>
      </c>
      <c r="Y39" s="41">
        <f>'Firing Inaccuracy(Standing) Raw'!Y39+Analysis!C39</f>
        <v>18.65880105</v>
      </c>
      <c r="Z39" s="41">
        <f>'Firing Inaccuracy(Standing) Raw'!Z39+Analysis!C39</f>
        <v>18.65872836</v>
      </c>
      <c r="AA39" s="41">
        <f>'Firing Inaccuracy(Standing) Raw'!AA39+Analysis!C39</f>
        <v>18.65871543</v>
      </c>
      <c r="AB39" s="41">
        <f>'Firing Inaccuracy(Standing) Raw'!AB39+Analysis!C39</f>
        <v>18.65871314</v>
      </c>
      <c r="AC39" s="41">
        <f>'Firing Inaccuracy(Standing) Raw'!AC39+Analysis!C39</f>
        <v>18.65871273</v>
      </c>
      <c r="AD39" s="41">
        <f>'Firing Inaccuracy(Standing) Raw'!AD39+Analysis!C39</f>
        <v>18.65871265</v>
      </c>
      <c r="AE39" s="41">
        <f>'Firing Inaccuracy(Standing) Raw'!AE39+Analysis!C39</f>
        <v>18.65871264</v>
      </c>
      <c r="AF39" s="41">
        <f>'Firing Inaccuracy(Standing) Raw'!AF39+Analysis!C39</f>
        <v>18.65871264</v>
      </c>
      <c r="AG39" s="41">
        <f>'Firing Inaccuracy(Standing) Raw'!AG39+Analysis!C39</f>
        <v>18.65871264</v>
      </c>
      <c r="AH39" s="41">
        <f>'Firing Inaccuracy(Standing) Raw'!AH39+Analysis!C39</f>
        <v>18.65871264</v>
      </c>
      <c r="AI39" s="41">
        <f>'Firing Inaccuracy(Standing) Raw'!AI39+Analysis!C39</f>
        <v>18.65871264</v>
      </c>
      <c r="AJ39" s="41">
        <f>'Firing Inaccuracy(Standing) Raw'!AJ39+Analysis!C39</f>
        <v>18.65871264</v>
      </c>
    </row>
    <row r="40" ht="15.75" customHeight="1">
      <c r="A40" s="75"/>
      <c r="B40" s="77" t="str">
        <f>'Firing Inaccuracy(Standing) Raw'!B40</f>
        <v/>
      </c>
      <c r="C40" s="131" t="str">
        <f>'Firing Inaccuracy(Standing) Raw'!C40</f>
        <v/>
      </c>
      <c r="D40" s="132" t="str">
        <f>'Firing Inaccuracy(Standing) Raw'!D40</f>
        <v/>
      </c>
      <c r="E40" s="132" t="str">
        <f>'Firing Inaccuracy(Standing) Raw'!E40</f>
        <v/>
      </c>
      <c r="F40" s="133" t="str">
        <f>'Firing Inaccuracy(Standing) Raw'!F40</f>
        <v/>
      </c>
      <c r="G40" s="79" t="str">
        <f>'Firing Inaccuracy(Standing) Raw'!G40</f>
        <v/>
      </c>
      <c r="H40" s="79" t="str">
        <f>'Firing Inaccuracy(Standing) Raw'!H40</f>
        <v/>
      </c>
      <c r="I40" s="79" t="str">
        <f>'Firing Inaccuracy(Standing) Raw'!I40</f>
        <v/>
      </c>
      <c r="J40" s="79" t="str">
        <f>'Firing Inaccuracy(Standing) Raw'!J40</f>
        <v/>
      </c>
      <c r="K40" s="79" t="str">
        <f>'Firing Inaccuracy(Standing) Raw'!K40</f>
        <v/>
      </c>
      <c r="L40" s="79" t="str">
        <f>'Firing Inaccuracy(Standing) Raw'!L40</f>
        <v/>
      </c>
      <c r="M40" s="79" t="str">
        <f>'Firing Inaccuracy(Standing) Raw'!M40</f>
        <v/>
      </c>
      <c r="N40" s="79" t="str">
        <f>'Firing Inaccuracy(Standing) Raw'!N40</f>
        <v/>
      </c>
      <c r="O40" s="79" t="str">
        <f>'Firing Inaccuracy(Standing) Raw'!O40</f>
        <v/>
      </c>
      <c r="P40" s="79" t="str">
        <f>'Firing Inaccuracy(Standing) Raw'!P40</f>
        <v/>
      </c>
      <c r="Q40" s="79" t="str">
        <f>'Firing Inaccuracy(Standing) Raw'!Q40</f>
        <v/>
      </c>
      <c r="R40" s="79" t="str">
        <f>'Firing Inaccuracy(Standing) Raw'!R40</f>
        <v/>
      </c>
      <c r="S40" s="79" t="str">
        <f>'Firing Inaccuracy(Standing) Raw'!S40</f>
        <v/>
      </c>
      <c r="T40" s="79" t="str">
        <f>'Firing Inaccuracy(Standing) Raw'!T40</f>
        <v/>
      </c>
      <c r="U40" s="79" t="str">
        <f>'Firing Inaccuracy(Standing) Raw'!U40</f>
        <v/>
      </c>
      <c r="V40" s="79" t="str">
        <f>'Firing Inaccuracy(Standing) Raw'!V40</f>
        <v/>
      </c>
      <c r="W40" s="79" t="str">
        <f>'Firing Inaccuracy(Standing) Raw'!W40</f>
        <v/>
      </c>
      <c r="X40" s="79" t="str">
        <f>'Firing Inaccuracy(Standing) Raw'!X40</f>
        <v/>
      </c>
      <c r="Y40" s="79" t="str">
        <f>'Firing Inaccuracy(Standing) Raw'!Y40</f>
        <v/>
      </c>
      <c r="Z40" s="79" t="str">
        <f>'Firing Inaccuracy(Standing) Raw'!Z40</f>
        <v/>
      </c>
      <c r="AA40" s="134" t="str">
        <f>'Firing Inaccuracy(Standing) Raw'!AA40</f>
        <v/>
      </c>
      <c r="AB40" s="134" t="str">
        <f>'Firing Inaccuracy(Standing) Raw'!AB40</f>
        <v/>
      </c>
      <c r="AC40" s="134" t="str">
        <f>'Firing Inaccuracy(Standing) Raw'!AC40</f>
        <v/>
      </c>
      <c r="AD40" s="134" t="str">
        <f>'Firing Inaccuracy(Standing) Raw'!AD40</f>
        <v/>
      </c>
      <c r="AE40" s="134" t="str">
        <f>'Firing Inaccuracy(Standing) Raw'!AE40</f>
        <v/>
      </c>
      <c r="AF40" s="134" t="str">
        <f>'Firing Inaccuracy(Standing) Raw'!AF40</f>
        <v/>
      </c>
      <c r="AG40" s="134" t="str">
        <f>'Firing Inaccuracy(Standing) Raw'!AG40</f>
        <v/>
      </c>
      <c r="AH40" s="134" t="str">
        <f>'Firing Inaccuracy(Standing) Raw'!AH40</f>
        <v/>
      </c>
      <c r="AI40" s="134" t="str">
        <f>'Firing Inaccuracy(Standing) Raw'!AI40</f>
        <v/>
      </c>
      <c r="AJ40" s="134" t="str">
        <f>'Firing Inaccuracy(Standing) Raw'!AJ40</f>
        <v/>
      </c>
    </row>
    <row r="41" ht="15.75" customHeight="1">
      <c r="A41" s="5" t="s">
        <v>184</v>
      </c>
      <c r="B41" s="11" t="str">
        <f>'Firing Inaccuracy(Standing) Raw'!B41</f>
        <v>CycleTime</v>
      </c>
      <c r="C41" s="9" t="str">
        <f>'Firing Inaccuracy(Standing) Raw'!C41</f>
        <v>Inaccuracy
Fire</v>
      </c>
      <c r="D41" s="21" t="str">
        <f>'Firing Inaccuracy(Standing) Raw'!D41</f>
        <v>Recovery
TimeStand</v>
      </c>
      <c r="E41" s="21" t="str">
        <f>'Firing Inaccuracy(Standing) Raw'!E41</f>
        <v>RecoveryTime
StandFinal</v>
      </c>
      <c r="F41" s="125" t="str">
        <f>'Firing Inaccuracy(Standing) Raw'!F41</f>
        <v/>
      </c>
      <c r="G41" s="127">
        <f>'Firing Inaccuracy(Standing) Raw'!G41</f>
        <v>1</v>
      </c>
      <c r="H41" s="127">
        <f>'Firing Inaccuracy(Standing) Raw'!H41</f>
        <v>2</v>
      </c>
      <c r="I41" s="127">
        <f>'Firing Inaccuracy(Standing) Raw'!I41</f>
        <v>3</v>
      </c>
      <c r="J41" s="127">
        <f>'Firing Inaccuracy(Standing) Raw'!J41</f>
        <v>4</v>
      </c>
      <c r="K41" s="127">
        <f>'Firing Inaccuracy(Standing) Raw'!K41</f>
        <v>5</v>
      </c>
      <c r="L41" s="127">
        <f>'Firing Inaccuracy(Standing) Raw'!L41</f>
        <v>6</v>
      </c>
      <c r="M41" s="127">
        <f>'Firing Inaccuracy(Standing) Raw'!M41</f>
        <v>7</v>
      </c>
      <c r="N41" s="127">
        <f>'Firing Inaccuracy(Standing) Raw'!N41</f>
        <v>8</v>
      </c>
      <c r="O41" s="127">
        <f>'Firing Inaccuracy(Standing) Raw'!O41</f>
        <v>9</v>
      </c>
      <c r="P41" s="127">
        <f>'Firing Inaccuracy(Standing) Raw'!P41</f>
        <v>10</v>
      </c>
      <c r="Q41" s="127">
        <f>'Firing Inaccuracy(Standing) Raw'!Q41</f>
        <v>11</v>
      </c>
      <c r="R41" s="127">
        <f>'Firing Inaccuracy(Standing) Raw'!R41</f>
        <v>12</v>
      </c>
      <c r="S41" s="127">
        <f>'Firing Inaccuracy(Standing) Raw'!S41</f>
        <v>13</v>
      </c>
      <c r="T41" s="127">
        <f>'Firing Inaccuracy(Standing) Raw'!T41</f>
        <v>14</v>
      </c>
      <c r="U41" s="127">
        <f>'Firing Inaccuracy(Standing) Raw'!U41</f>
        <v>15</v>
      </c>
      <c r="V41" s="127">
        <f>'Firing Inaccuracy(Standing) Raw'!V41</f>
        <v>16</v>
      </c>
      <c r="W41" s="127">
        <f>'Firing Inaccuracy(Standing) Raw'!W41</f>
        <v>17</v>
      </c>
      <c r="X41" s="127">
        <f>'Firing Inaccuracy(Standing) Raw'!X41</f>
        <v>18</v>
      </c>
      <c r="Y41" s="127">
        <f>'Firing Inaccuracy(Standing) Raw'!Y41</f>
        <v>19</v>
      </c>
      <c r="Z41" s="127">
        <f>'Firing Inaccuracy(Standing) Raw'!Z41</f>
        <v>20</v>
      </c>
      <c r="AA41" s="135" t="str">
        <f>'Firing Inaccuracy(Standing) Raw'!AA41</f>
        <v/>
      </c>
      <c r="AB41" s="136" t="str">
        <f>'Firing Inaccuracy(Standing) Raw'!AB41</f>
        <v/>
      </c>
      <c r="AC41" s="136" t="str">
        <f>'Firing Inaccuracy(Standing) Raw'!AC41</f>
        <v/>
      </c>
      <c r="AD41" s="136" t="str">
        <f>'Firing Inaccuracy(Standing) Raw'!AD41</f>
        <v/>
      </c>
      <c r="AE41" s="136" t="str">
        <f>'Firing Inaccuracy(Standing) Raw'!AE41</f>
        <v/>
      </c>
      <c r="AF41" s="136" t="str">
        <f>'Firing Inaccuracy(Standing) Raw'!AF41</f>
        <v/>
      </c>
      <c r="AG41" s="136" t="str">
        <f>'Firing Inaccuracy(Standing) Raw'!AG41</f>
        <v/>
      </c>
      <c r="AH41" s="136" t="str">
        <f>'Firing Inaccuracy(Standing) Raw'!AH41</f>
        <v/>
      </c>
      <c r="AI41" s="136" t="str">
        <f>'Firing Inaccuracy(Standing) Raw'!AI41</f>
        <v/>
      </c>
      <c r="AJ41" s="136" t="str">
        <f>'Firing Inaccuracy(Standing) Raw'!AJ41</f>
        <v/>
      </c>
    </row>
    <row r="42" ht="15.75" customHeight="1">
      <c r="A42" s="28" t="s">
        <v>186</v>
      </c>
      <c r="B42" s="32">
        <f>'Firing Inaccuracy(Standing) Raw'!B42</f>
        <v>1.455</v>
      </c>
      <c r="C42" s="34">
        <f>'Firing Inaccuracy(Standing) Raw'!C42</f>
        <v>53.85</v>
      </c>
      <c r="D42" s="43">
        <f>'Firing Inaccuracy(Standing) Raw'!D42</f>
        <v>0.34539</v>
      </c>
      <c r="E42" s="43" t="str">
        <f>'Firing Inaccuracy(Standing) Raw'!E42</f>
        <v>N/A</v>
      </c>
      <c r="F42" s="130" t="str">
        <f>'Firing Inaccuracy(Standing) Raw'!F42</f>
        <v/>
      </c>
      <c r="G42" s="39">
        <f>'Firing Inaccuracy(Standing) Raw'!G42+Analysis!C42</f>
        <v>2.2</v>
      </c>
      <c r="H42" s="41">
        <f>'Firing Inaccuracy(Standing) Raw'!H42+Analysis!C42</f>
        <v>2.203300323</v>
      </c>
      <c r="I42" s="41">
        <f>'Firing Inaccuracy(Standing) Raw'!I42+Analysis!C42</f>
        <v>2.203300526</v>
      </c>
      <c r="J42" s="41">
        <f>'Firing Inaccuracy(Standing) Raw'!J42+Analysis!C42</f>
        <v>2.203300526</v>
      </c>
      <c r="K42" s="41">
        <f>'Firing Inaccuracy(Standing) Raw'!K42+Analysis!C42</f>
        <v>2.203300526</v>
      </c>
      <c r="L42" s="41">
        <f>'Firing Inaccuracy(Standing) Raw'!L42+Analysis!C42</f>
        <v>2.203300526</v>
      </c>
      <c r="M42" s="41">
        <f>'Firing Inaccuracy(Standing) Raw'!M42+Analysis!C42</f>
        <v>2.203300526</v>
      </c>
      <c r="N42" s="41">
        <f>'Firing Inaccuracy(Standing) Raw'!N42+Analysis!C42</f>
        <v>2.203300526</v>
      </c>
      <c r="O42" s="41">
        <f>'Firing Inaccuracy(Standing) Raw'!O42+Analysis!C42</f>
        <v>2.203300526</v>
      </c>
      <c r="P42" s="41">
        <f>'Firing Inaccuracy(Standing) Raw'!P42+Analysis!C42</f>
        <v>2.203300526</v>
      </c>
      <c r="Q42" s="41"/>
      <c r="R42" s="41"/>
      <c r="S42" s="41"/>
      <c r="T42" s="41"/>
      <c r="U42" s="41"/>
      <c r="V42" s="41"/>
      <c r="W42" s="41"/>
      <c r="X42" s="41"/>
      <c r="Y42" s="41"/>
      <c r="Z42" s="39"/>
      <c r="AA42" s="146"/>
      <c r="AB42" s="146"/>
      <c r="AC42" s="146"/>
      <c r="AD42" s="146"/>
      <c r="AE42" s="146"/>
      <c r="AF42" s="146"/>
      <c r="AG42" s="146"/>
      <c r="AH42" s="146"/>
      <c r="AI42" s="146"/>
      <c r="AJ42" s="146"/>
    </row>
    <row r="43" ht="15.75" customHeight="1">
      <c r="A43" s="66" t="s">
        <v>188</v>
      </c>
      <c r="B43" s="32">
        <f>'Firing Inaccuracy(Standing) Raw'!B43</f>
        <v>0.25</v>
      </c>
      <c r="C43" s="34">
        <f>'Firing Inaccuracy(Standing) Raw'!C43</f>
        <v>18.61</v>
      </c>
      <c r="D43" s="43">
        <f>'Firing Inaccuracy(Standing) Raw'!D43</f>
        <v>0.544331</v>
      </c>
      <c r="E43" s="43" t="str">
        <f>'Firing Inaccuracy(Standing) Raw'!E43</f>
        <v>N/A</v>
      </c>
      <c r="F43" s="130" t="str">
        <f>'Firing Inaccuracy(Standing) Raw'!F43</f>
        <v/>
      </c>
      <c r="G43" s="39">
        <f>'Firing Inaccuracy(Standing) Raw'!G43+Analysis!C43</f>
        <v>2.3</v>
      </c>
      <c r="H43" s="41">
        <f>'Firing Inaccuracy(Standing) Raw'!H43+Analysis!C43</f>
        <v>8.763488804</v>
      </c>
      <c r="I43" s="41">
        <f>'Firing Inaccuracy(Standing) Raw'!I43+Analysis!C43</f>
        <v>11.00834036</v>
      </c>
      <c r="J43" s="41">
        <f>'Firing Inaccuracy(Standing) Raw'!J43+Analysis!C43</f>
        <v>11.78800575</v>
      </c>
      <c r="K43" s="41">
        <f>'Firing Inaccuracy(Standing) Raw'!K43+Analysis!C43</f>
        <v>12.05879342</v>
      </c>
      <c r="L43" s="41">
        <f>'Firing Inaccuracy(Standing) Raw'!L43+Analysis!C43</f>
        <v>12.15284141</v>
      </c>
      <c r="M43" s="41">
        <f>'Firing Inaccuracy(Standing) Raw'!M43+Analysis!C43</f>
        <v>12.18550547</v>
      </c>
      <c r="N43" s="41">
        <f>'Firing Inaccuracy(Standing) Raw'!N43+Analysis!C43</f>
        <v>12.19685011</v>
      </c>
      <c r="O43" s="41">
        <f>'Firing Inaccuracy(Standing) Raw'!O43+Analysis!C43</f>
        <v>12.20079025</v>
      </c>
      <c r="P43" s="41">
        <f>'Firing Inaccuracy(Standing) Raw'!P43+Analysis!C43</f>
        <v>12.20215871</v>
      </c>
      <c r="Q43" s="41">
        <f>'Firing Inaccuracy(Standing) Raw'!Q43+Analysis!C43</f>
        <v>12.20263399</v>
      </c>
      <c r="R43" s="41">
        <f>'Firing Inaccuracy(Standing) Raw'!R43+Analysis!C43</f>
        <v>12.20279906</v>
      </c>
      <c r="S43" s="41">
        <f>'Firing Inaccuracy(Standing) Raw'!S43+Analysis!C43</f>
        <v>12.20285639</v>
      </c>
      <c r="T43" s="41">
        <f>'Firing Inaccuracy(Standing) Raw'!T43+Analysis!C43</f>
        <v>12.20287631</v>
      </c>
      <c r="U43" s="41">
        <f>'Firing Inaccuracy(Standing) Raw'!U43+Analysis!C43</f>
        <v>12.20288322</v>
      </c>
      <c r="V43" s="41">
        <f>'Firing Inaccuracy(Standing) Raw'!V43+Analysis!C43</f>
        <v>12.20288562</v>
      </c>
      <c r="W43" s="41">
        <f>'Firing Inaccuracy(Standing) Raw'!W43+Analysis!C43</f>
        <v>12.20288646</v>
      </c>
      <c r="X43" s="41">
        <f>'Firing Inaccuracy(Standing) Raw'!X43+Analysis!C43</f>
        <v>12.20288675</v>
      </c>
      <c r="Y43" s="41">
        <f>'Firing Inaccuracy(Standing) Raw'!Y43+Analysis!C43</f>
        <v>12.20288685</v>
      </c>
      <c r="Z43" s="39">
        <f>'Firing Inaccuracy(Standing) Raw'!Z43+Analysis!C43</f>
        <v>12.20288688</v>
      </c>
      <c r="AA43" s="146"/>
      <c r="AB43" s="146"/>
      <c r="AC43" s="146"/>
      <c r="AD43" s="146"/>
      <c r="AE43" s="146"/>
      <c r="AF43" s="146"/>
      <c r="AG43" s="146"/>
      <c r="AH43" s="146"/>
      <c r="AI43" s="146"/>
      <c r="AJ43" s="146"/>
    </row>
    <row r="44" ht="15.75" customHeight="1">
      <c r="A44" s="61" t="s">
        <v>190</v>
      </c>
      <c r="B44" s="32">
        <f>'Firing Inaccuracy(Standing) Raw'!B44</f>
        <v>0.25</v>
      </c>
      <c r="C44" s="34">
        <f>'Firing Inaccuracy(Standing) Raw'!C44</f>
        <v>18.61</v>
      </c>
      <c r="D44" s="43">
        <f>'Firing Inaccuracy(Standing) Raw'!D44</f>
        <v>0.544331</v>
      </c>
      <c r="E44" s="43" t="str">
        <f>'Firing Inaccuracy(Standing) Raw'!E44</f>
        <v>N/A</v>
      </c>
      <c r="F44" s="130" t="str">
        <f>'Firing Inaccuracy(Standing) Raw'!F44</f>
        <v/>
      </c>
      <c r="G44" s="39">
        <f>'Firing Inaccuracy(Standing) Raw'!G44+Analysis!C44</f>
        <v>2.3</v>
      </c>
      <c r="H44" s="41">
        <f>'Firing Inaccuracy(Standing) Raw'!H44+Analysis!C44</f>
        <v>8.763488804</v>
      </c>
      <c r="I44" s="41">
        <f>'Firing Inaccuracy(Standing) Raw'!I44+Analysis!C44</f>
        <v>11.00834036</v>
      </c>
      <c r="J44" s="41">
        <f>'Firing Inaccuracy(Standing) Raw'!J44+Analysis!C44</f>
        <v>11.78800575</v>
      </c>
      <c r="K44" s="41">
        <f>'Firing Inaccuracy(Standing) Raw'!K44+Analysis!C44</f>
        <v>12.05879342</v>
      </c>
      <c r="L44" s="41">
        <f>'Firing Inaccuracy(Standing) Raw'!L44+Analysis!C44</f>
        <v>12.15284141</v>
      </c>
      <c r="M44" s="41">
        <f>'Firing Inaccuracy(Standing) Raw'!M44+Analysis!C44</f>
        <v>12.18550547</v>
      </c>
      <c r="N44" s="41">
        <f>'Firing Inaccuracy(Standing) Raw'!N44+Analysis!C44</f>
        <v>12.19685011</v>
      </c>
      <c r="O44" s="41">
        <f>'Firing Inaccuracy(Standing) Raw'!O44+Analysis!C44</f>
        <v>12.20079025</v>
      </c>
      <c r="P44" s="41">
        <f>'Firing Inaccuracy(Standing) Raw'!P44+Analysis!C44</f>
        <v>12.20215871</v>
      </c>
      <c r="Q44" s="41">
        <f>'Firing Inaccuracy(Standing) Raw'!Q44+Analysis!C44</f>
        <v>12.20263399</v>
      </c>
      <c r="R44" s="41">
        <f>'Firing Inaccuracy(Standing) Raw'!R44+Analysis!C44</f>
        <v>12.20279906</v>
      </c>
      <c r="S44" s="41">
        <f>'Firing Inaccuracy(Standing) Raw'!S44+Analysis!C44</f>
        <v>12.20285639</v>
      </c>
      <c r="T44" s="41">
        <f>'Firing Inaccuracy(Standing) Raw'!T44+Analysis!C44</f>
        <v>12.20287631</v>
      </c>
      <c r="U44" s="41">
        <f>'Firing Inaccuracy(Standing) Raw'!U44+Analysis!C44</f>
        <v>12.20288322</v>
      </c>
      <c r="V44" s="41">
        <f>'Firing Inaccuracy(Standing) Raw'!V44+Analysis!C44</f>
        <v>12.20288562</v>
      </c>
      <c r="W44" s="41">
        <f>'Firing Inaccuracy(Standing) Raw'!W44+Analysis!C44</f>
        <v>12.20288646</v>
      </c>
      <c r="X44" s="41">
        <f>'Firing Inaccuracy(Standing) Raw'!X44+Analysis!C44</f>
        <v>12.20288675</v>
      </c>
      <c r="Y44" s="41">
        <f>'Firing Inaccuracy(Standing) Raw'!Y44+Analysis!C44</f>
        <v>12.20288685</v>
      </c>
      <c r="Z44" s="39">
        <f>'Firing Inaccuracy(Standing) Raw'!Z44+Analysis!C44</f>
        <v>12.20288688</v>
      </c>
      <c r="AA44" s="146"/>
      <c r="AB44" s="146"/>
      <c r="AC44" s="146"/>
      <c r="AD44" s="146"/>
      <c r="AE44" s="146"/>
      <c r="AF44" s="146"/>
      <c r="AG44" s="146"/>
      <c r="AH44" s="146"/>
      <c r="AI44" s="146"/>
      <c r="AJ44" s="146"/>
    </row>
    <row r="45" ht="15.75" customHeight="1">
      <c r="A45" s="28" t="s">
        <v>192</v>
      </c>
      <c r="B45" s="32">
        <f>'Firing Inaccuracy(Standing) Raw'!B45</f>
        <v>1.25</v>
      </c>
      <c r="C45" s="34">
        <f>'Firing Inaccuracy(Standing) Raw'!C45</f>
        <v>22.92</v>
      </c>
      <c r="D45" s="43">
        <f>'Firing Inaccuracy(Standing) Raw'!D45</f>
        <v>0.142096</v>
      </c>
      <c r="E45" s="43" t="str">
        <f>'Firing Inaccuracy(Standing) Raw'!E45</f>
        <v>N/A</v>
      </c>
      <c r="F45" s="130" t="str">
        <f>'Firing Inaccuracy(Standing) Raw'!F45</f>
        <v/>
      </c>
      <c r="G45" s="39">
        <f>'Firing Inaccuracy(Standing) Raw'!G45+Analysis!C45</f>
        <v>3.23</v>
      </c>
      <c r="H45" s="41">
        <f>'Firing Inaccuracy(Standing) Raw'!H45+Analysis!C45</f>
        <v>3.230000037</v>
      </c>
      <c r="I45" s="41">
        <f>'Firing Inaccuracy(Standing) Raw'!I45+Analysis!C45</f>
        <v>3.230000037</v>
      </c>
      <c r="J45" s="41">
        <f>'Firing Inaccuracy(Standing) Raw'!J45+Analysis!C45</f>
        <v>3.230000037</v>
      </c>
      <c r="K45" s="41">
        <f>'Firing Inaccuracy(Standing) Raw'!K45+Analysis!C45</f>
        <v>3.230000037</v>
      </c>
      <c r="L45" s="41">
        <f>'Firing Inaccuracy(Standing) Raw'!L45+Analysis!C45</f>
        <v>3.230000037</v>
      </c>
      <c r="M45" s="41">
        <f>'Firing Inaccuracy(Standing) Raw'!M45+Analysis!C45</f>
        <v>3.230000037</v>
      </c>
      <c r="N45" s="41">
        <f>'Firing Inaccuracy(Standing) Raw'!N45+Analysis!C45</f>
        <v>3.230000037</v>
      </c>
      <c r="O45" s="41">
        <f>'Firing Inaccuracy(Standing) Raw'!O45+Analysis!C45</f>
        <v>3.230000037</v>
      </c>
      <c r="P45" s="41">
        <f>'Firing Inaccuracy(Standing) Raw'!P45+Analysis!C45</f>
        <v>3.230000037</v>
      </c>
      <c r="Q45" s="41"/>
      <c r="R45" s="41"/>
      <c r="S45" s="41"/>
      <c r="T45" s="41"/>
      <c r="U45" s="41"/>
      <c r="V45" s="41"/>
      <c r="W45" s="41"/>
      <c r="X45" s="41"/>
      <c r="Y45" s="41"/>
      <c r="Z45" s="39"/>
      <c r="AA45" s="146"/>
      <c r="AB45" s="146"/>
      <c r="AC45" s="146"/>
      <c r="AD45" s="146"/>
      <c r="AE45" s="146"/>
      <c r="AF45" s="146"/>
      <c r="AG45" s="146"/>
      <c r="AH45" s="146"/>
      <c r="AI45" s="146"/>
      <c r="AJ45" s="146"/>
    </row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0"/>
  <cols>
    <col customWidth="1" min="1" max="1" width="14.57"/>
    <col customWidth="1" min="2" max="5" width="11.71"/>
    <col customWidth="1" min="6" max="6" width="4.57"/>
    <col customWidth="1" min="7" max="36" width="11.71"/>
  </cols>
  <sheetData>
    <row r="1" ht="15.75" customHeight="1">
      <c r="A1" s="5" t="s">
        <v>1</v>
      </c>
      <c r="B1" s="11" t="s">
        <v>19</v>
      </c>
      <c r="C1" s="9" t="s">
        <v>204</v>
      </c>
      <c r="D1" s="21" t="s">
        <v>220</v>
      </c>
      <c r="E1" s="21" t="s">
        <v>221</v>
      </c>
      <c r="F1" s="125"/>
      <c r="G1" s="127">
        <v>1.0</v>
      </c>
      <c r="H1" s="127">
        <v>2.0</v>
      </c>
      <c r="I1" s="127">
        <v>3.0</v>
      </c>
      <c r="J1" s="127">
        <v>4.0</v>
      </c>
      <c r="K1" s="127">
        <v>5.0</v>
      </c>
      <c r="L1" s="127">
        <v>6.0</v>
      </c>
      <c r="M1" s="127">
        <v>7.0</v>
      </c>
      <c r="N1" s="127">
        <v>8.0</v>
      </c>
      <c r="O1" s="127">
        <v>9.0</v>
      </c>
      <c r="P1" s="127">
        <v>10.0</v>
      </c>
      <c r="Q1" s="127">
        <v>11.0</v>
      </c>
      <c r="R1" s="127">
        <v>12.0</v>
      </c>
      <c r="S1" s="127">
        <v>13.0</v>
      </c>
      <c r="T1" s="127">
        <v>14.0</v>
      </c>
      <c r="U1" s="127">
        <v>15.0</v>
      </c>
      <c r="V1" s="127">
        <v>16.0</v>
      </c>
      <c r="W1" s="127">
        <v>17.0</v>
      </c>
      <c r="X1" s="127">
        <v>18.0</v>
      </c>
      <c r="Y1" s="127">
        <v>19.0</v>
      </c>
      <c r="Z1" s="127">
        <v>20.0</v>
      </c>
      <c r="AA1" s="127">
        <v>21.0</v>
      </c>
      <c r="AB1" s="127">
        <v>22.0</v>
      </c>
      <c r="AC1" s="127">
        <v>23.0</v>
      </c>
      <c r="AD1" s="127">
        <v>24.0</v>
      </c>
      <c r="AE1" s="127">
        <v>25.0</v>
      </c>
      <c r="AF1" s="127">
        <v>26.0</v>
      </c>
      <c r="AG1" s="127">
        <v>27.0</v>
      </c>
      <c r="AH1" s="127">
        <v>28.0</v>
      </c>
      <c r="AI1" s="127">
        <v>29.0</v>
      </c>
      <c r="AJ1" s="127">
        <v>30.0</v>
      </c>
    </row>
    <row r="2" ht="15.75" customHeight="1">
      <c r="A2" s="28" t="s">
        <v>104</v>
      </c>
      <c r="B2" s="32">
        <f>'Raw Values'!E2</f>
        <v>0.225</v>
      </c>
      <c r="C2" s="34">
        <f>'Raw Values'!U2</f>
        <v>72.23</v>
      </c>
      <c r="D2" s="43">
        <f>'Raw Values'!AA2</f>
        <v>0.449927</v>
      </c>
      <c r="E2" s="43" t="s">
        <v>209</v>
      </c>
      <c r="F2" s="130"/>
      <c r="G2" s="39">
        <v>0.0</v>
      </c>
      <c r="H2" s="41">
        <f>('Raw Values'!$U2)*(0.1^('Raw Values'!$E2/'Raw Values'!$AA2))</f>
        <v>22.83686532</v>
      </c>
      <c r="I2" s="41">
        <f>('Raw Values'!$U2+H2)*(0.1^('Raw Values'!$E2/'Raw Values'!$AA2))</f>
        <v>30.05716737</v>
      </c>
      <c r="J2" s="41">
        <f>('Raw Values'!$U2+I2)*(0.1^('Raw Values'!$E2/'Raw Values'!$AA2))</f>
        <v>32.3400009</v>
      </c>
      <c r="K2" s="41">
        <f>('Raw Values'!$U2+J2)*(0.1^('Raw Values'!$E2/Analysis!$AB2))</f>
        <v>33.06176141</v>
      </c>
      <c r="L2" s="41">
        <f>('Raw Values'!$U2+K2)*(0.1^('Raw Values'!$E2/Analysis!$AC2))</f>
        <v>33.28995949</v>
      </c>
      <c r="M2" s="41">
        <f>('Raw Values'!$U2+L2)*(0.1^('Raw Values'!$E2/Analysis!$AD2))</f>
        <v>33.36210859</v>
      </c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  <c r="AF2" s="41"/>
      <c r="AG2" s="41"/>
      <c r="AH2" s="41"/>
      <c r="AI2" s="41"/>
      <c r="AJ2" s="41"/>
    </row>
    <row r="3" ht="15.75" customHeight="1">
      <c r="A3" s="28" t="s">
        <v>118</v>
      </c>
      <c r="B3" s="32">
        <f>'Raw Values'!AW3</f>
        <v>0.4</v>
      </c>
      <c r="C3" s="34">
        <f>'Raw Values'!AK3</f>
        <v>55</v>
      </c>
      <c r="D3" s="43">
        <f>'Raw Values'!AA3</f>
        <v>0.7</v>
      </c>
      <c r="E3" s="43" t="s">
        <v>209</v>
      </c>
      <c r="F3" s="130"/>
      <c r="G3" s="39">
        <v>0.0</v>
      </c>
      <c r="H3" s="41">
        <f>('Raw Values'!$AK3)*(0.1^('Raw Values'!$AW3/'Raw Values'!$AA3))</f>
        <v>14.75482687</v>
      </c>
      <c r="I3" s="41">
        <f>('Raw Values'!$AK3+H3)*(0.1^('Raw Values'!$AW3/'Raw Values'!$AA3))</f>
        <v>18.71309808</v>
      </c>
      <c r="J3" s="41">
        <f>('Raw Values'!$AK3+I3)*(0.1^('Raw Values'!$AW3/'Raw Values'!$AA3))</f>
        <v>19.77498183</v>
      </c>
      <c r="K3" s="41">
        <f>('Raw Values'!$AK3+J3)*(0.1^('Raw Values'!$AW3/'Raw Values'!$AA3))</f>
        <v>20.05985293</v>
      </c>
      <c r="L3" s="41">
        <f>('Raw Values'!$AK3+K3)*(0.1^('Raw Values'!$AW3/'Raw Values'!$AA3))</f>
        <v>20.13627519</v>
      </c>
      <c r="M3" s="41">
        <f>('Raw Values'!$AK3+L3)*(0.1^('Raw Values'!$AW3/'Raw Values'!$AA3))</f>
        <v>20.15677695</v>
      </c>
      <c r="N3" s="41">
        <f>('Raw Values'!$AK3+M3)*(0.1^('Raw Values'!$AW3/'Raw Values'!$AA3))</f>
        <v>20.16227695</v>
      </c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  <c r="AA3" s="41"/>
      <c r="AB3" s="41"/>
      <c r="AC3" s="41"/>
      <c r="AD3" s="41"/>
      <c r="AE3" s="41"/>
      <c r="AF3" s="41"/>
      <c r="AG3" s="41"/>
      <c r="AH3" s="41"/>
      <c r="AI3" s="41"/>
      <c r="AJ3" s="41"/>
    </row>
    <row r="4" ht="15.75" customHeight="1">
      <c r="A4" s="28" t="s">
        <v>120</v>
      </c>
      <c r="B4" s="32">
        <f>'Raw Values'!E4</f>
        <v>0.12</v>
      </c>
      <c r="C4" s="34">
        <f>'Raw Values'!U4</f>
        <v>11.16</v>
      </c>
      <c r="D4" s="43">
        <f>'Raw Values'!AA4</f>
        <v>0.437491</v>
      </c>
      <c r="E4" s="43" t="s">
        <v>209</v>
      </c>
      <c r="F4" s="130"/>
      <c r="G4" s="39">
        <v>0.0</v>
      </c>
      <c r="H4" s="41">
        <f>('Raw Values'!$U4)*(0.1^('Raw Values'!$E4/'Raw Values'!$AA4))</f>
        <v>5.93434564</v>
      </c>
      <c r="I4" s="41">
        <f>('Raw Values'!$AK4+H4)*(0.1^('Raw Values'!$E4/'Raw Values'!$AA4))</f>
        <v>9.515343371</v>
      </c>
      <c r="J4" s="41">
        <f>('Raw Values'!$U4+I4)*(0.1^('Raw Values'!$E4/'Raw Values'!$AA4))</f>
        <v>10.99414281</v>
      </c>
      <c r="K4" s="41">
        <f>('Raw Values'!$AK4+J4)*(0.1^('Raw Values'!$E4/Analysis!$AB4))</f>
        <v>12.20589761</v>
      </c>
      <c r="L4" s="41">
        <f>('Raw Values'!$U4+K4)*(0.1^('Raw Values'!$E4/Analysis!$AC4))</f>
        <v>12.4248488</v>
      </c>
      <c r="M4" s="41">
        <f>('Raw Values'!$AK4+L4)*(0.1^('Raw Values'!$E4/Analysis!$AD4))</f>
        <v>12.96667752</v>
      </c>
      <c r="N4" s="41">
        <f>('Raw Values'!$U4+M4)*(0.1^('Raw Values'!$E4/Analysis!$AE4))</f>
        <v>12.82939458</v>
      </c>
      <c r="O4" s="41">
        <f>('Raw Values'!$AK4+N4)*(0.1^('Raw Values'!$E4/Analysis!$AF4))</f>
        <v>13.18179531</v>
      </c>
      <c r="P4" s="41">
        <f>('Raw Values'!$U4+O4)*(0.1^('Raw Values'!$E4/Analysis!$AG4))</f>
        <v>12.94378377</v>
      </c>
      <c r="Q4" s="41">
        <f>('Raw Values'!$AK4+P4)*(0.1^('Raw Values'!$E4/'Raw Values'!$AB4))</f>
        <v>13.24262192</v>
      </c>
      <c r="R4" s="41">
        <f>('Raw Values'!$U4+Q4)*(0.1^('Raw Values'!$E4/'Raw Values'!$AB4))</f>
        <v>12.9761284</v>
      </c>
      <c r="S4" s="41">
        <f>('Raw Values'!$AK4+R4)*(0.1^('Raw Values'!$E4/'Raw Values'!$AB4))</f>
        <v>13.25982122</v>
      </c>
      <c r="T4" s="41">
        <f>('Raw Values'!$U4+S4)*(0.1^('Raw Values'!$E4/'Raw Values'!$AB4))</f>
        <v>12.98527416</v>
      </c>
      <c r="U4" s="41">
        <f>('Raw Values'!$AK4+T4)*(0.1^('Raw Values'!$E4/'Raw Values'!$AB4))</f>
        <v>13.26468449</v>
      </c>
      <c r="V4" s="41">
        <f>('Raw Values'!$U4+U4)*(0.1^('Raw Values'!$E4/'Raw Values'!$AB4))</f>
        <v>12.98786021</v>
      </c>
      <c r="W4" s="41">
        <f>('Raw Values'!$AK4+V4)*(0.1^('Raw Values'!$E4/'Raw Values'!$AB4))</f>
        <v>13.26605963</v>
      </c>
      <c r="X4" s="41">
        <f>('Raw Values'!$U4+W4)*(0.1^('Raw Values'!$E4/'Raw Values'!$AB4))</f>
        <v>12.98859144</v>
      </c>
      <c r="Y4" s="41">
        <f>('Raw Values'!$AK4+X4)*(0.1^('Raw Values'!$E4/'Raw Values'!$AB4))</f>
        <v>13.26644846</v>
      </c>
      <c r="Z4" s="41">
        <f>('Raw Values'!$U4+Y4)*(0.1^('Raw Values'!$E4/'Raw Values'!$AB4))</f>
        <v>12.9887982</v>
      </c>
      <c r="AA4" s="41">
        <f>('Raw Values'!$AK4+Z4)*(0.1^('Raw Values'!$E4/'Raw Values'!$AB4))</f>
        <v>13.26655841</v>
      </c>
      <c r="AB4" s="41">
        <f>('Raw Values'!$U4+AA4)*(0.1^('Raw Values'!$E4/'Raw Values'!$AB4))</f>
        <v>12.98885666</v>
      </c>
      <c r="AC4" s="41">
        <f>('Raw Values'!$AK4+AB4)*(0.1^('Raw Values'!$E4/'Raw Values'!$AB4))</f>
        <v>13.2665895</v>
      </c>
      <c r="AD4" s="41">
        <f>('Raw Values'!$U4+AC4)*(0.1^('Raw Values'!$E4/'Raw Values'!$AB4))</f>
        <v>12.9888732</v>
      </c>
      <c r="AE4" s="41">
        <f>('Raw Values'!$AK4+AD4)*(0.1^('Raw Values'!$E4/'Raw Values'!$AB4))</f>
        <v>13.26659829</v>
      </c>
      <c r="AF4" s="41">
        <f>('Raw Values'!$U4+AE4)*(0.1^('Raw Values'!$E4/'Raw Values'!$AB4))</f>
        <v>12.98887787</v>
      </c>
      <c r="AG4" s="41">
        <f>('Raw Values'!$AK4+AF4)*(0.1^('Raw Values'!$E4/'Raw Values'!$AB4))</f>
        <v>13.26660077</v>
      </c>
      <c r="AH4" s="41">
        <f>('Raw Values'!$U4+AG4)*(0.1^('Raw Values'!$E4/'Raw Values'!$AB4))</f>
        <v>12.98887919</v>
      </c>
      <c r="AI4" s="41">
        <f>('Raw Values'!$AK4+AH4)*(0.1^('Raw Values'!$E4/'Raw Values'!$AB4))</f>
        <v>13.26660147</v>
      </c>
      <c r="AJ4" s="41">
        <f>('Raw Values'!$U4+AI4)*(0.1^('Raw Values'!$E4/'Raw Values'!$AB4))</f>
        <v>12.98887957</v>
      </c>
    </row>
    <row r="5" ht="15.75" customHeight="1">
      <c r="A5" s="61" t="s">
        <v>122</v>
      </c>
      <c r="B5" s="32">
        <f>'Raw Values'!E5</f>
        <v>0.15</v>
      </c>
      <c r="C5" s="34">
        <f>'Raw Values'!U5</f>
        <v>25</v>
      </c>
      <c r="D5" s="43">
        <f>'Raw Values'!AA5</f>
        <v>0.2</v>
      </c>
      <c r="E5" s="43">
        <f>'Raw Values'!AB5</f>
        <v>0.5</v>
      </c>
      <c r="F5" s="130"/>
      <c r="G5" s="39">
        <v>0.0</v>
      </c>
      <c r="H5" s="41">
        <f>('Raw Values'!$U5)*(0.1^('Raw Values'!$E5/Analysis!$Y5))</f>
        <v>6.622423219</v>
      </c>
      <c r="I5" s="41">
        <f>('Raw Values'!$U5+H5)*(0.1^('Raw Values'!$E5/Analysis!$Z5))</f>
        <v>10.7459582</v>
      </c>
      <c r="J5" s="41">
        <f>('Raw Values'!$U5+I5)*(0.1^('Raw Values'!$E5/Analysis!$AA5))</f>
        <v>14.40423178</v>
      </c>
      <c r="K5" s="41">
        <f>('Raw Values'!$U5+J5)*(0.1^('Raw Values'!$E5/Analysis!$AB5))</f>
        <v>17.97354627</v>
      </c>
      <c r="L5" s="41">
        <f>('Raw Values'!$U5+K5)*(0.1^('Raw Values'!$E5/'Raw Values'!$AB5))</f>
        <v>21.53779278</v>
      </c>
      <c r="M5" s="41">
        <f>('Raw Values'!$U5+L5)*(0.1^('Raw Values'!$E5/'Raw Values'!$AB5))</f>
        <v>23.32414762</v>
      </c>
      <c r="N5" s="41">
        <f>('Raw Values'!$U5+M5)*(0.1^('Raw Values'!$E5/'Raw Values'!$AB5))</f>
        <v>24.21944586</v>
      </c>
      <c r="O5" s="41">
        <f>('Raw Values'!$U5+N5)*(0.1^('Raw Values'!$E5/'Raw Values'!$AB5))</f>
        <v>24.66815791</v>
      </c>
      <c r="P5" s="41">
        <f>('Raw Values'!$U5+O5)*(0.1^('Raw Values'!$E5/'Raw Values'!$AB5))</f>
        <v>24.89304666</v>
      </c>
      <c r="Q5" s="41">
        <f>('Raw Values'!$U5+P5)*(0.1^('Raw Values'!$E5/'Raw Values'!$AB5))</f>
        <v>25.00575803</v>
      </c>
      <c r="R5" s="41">
        <f>('Raw Values'!$U5+Q5)*(0.1^('Raw Values'!$E5/'Raw Values'!$AB5))</f>
        <v>25.06224753</v>
      </c>
      <c r="S5" s="41">
        <f>('Raw Values'!$U5+R5)*(0.1^('Raw Values'!$E5/'Raw Values'!$AB5))</f>
        <v>25.09055935</v>
      </c>
      <c r="T5" s="41">
        <f>('Raw Values'!$U5+S5)*(0.1^('Raw Values'!$E5/'Raw Values'!$AB5))</f>
        <v>25.10474887</v>
      </c>
      <c r="U5" s="41">
        <f>('Raw Values'!$U5+T5)*(0.1^('Raw Values'!$E5/'Raw Values'!$AB5))</f>
        <v>25.11186048</v>
      </c>
      <c r="V5" s="41">
        <f>('Raw Values'!$U5+U5)*(0.1^('Raw Values'!$E5/'Raw Values'!$AB5))</f>
        <v>25.11542473</v>
      </c>
      <c r="W5" s="41">
        <f>('Raw Values'!$U5+V5)*(0.1^('Raw Values'!$E5/'Raw Values'!$AB5))</f>
        <v>25.11721108</v>
      </c>
      <c r="X5" s="41">
        <f>('Raw Values'!$U5+W5)*(0.1^('Raw Values'!$E5/'Raw Values'!$AB5))</f>
        <v>25.11810638</v>
      </c>
      <c r="Y5" s="41">
        <f>('Raw Values'!$U5+X5)*(0.1^('Raw Values'!$E5/'Raw Values'!$AB5))</f>
        <v>25.11855509</v>
      </c>
      <c r="Z5" s="41">
        <f>('Raw Values'!$U5+Y5)*(0.1^('Raw Values'!$E5/'Raw Values'!$AB5))</f>
        <v>25.11877998</v>
      </c>
      <c r="AA5" s="41"/>
      <c r="AB5" s="41"/>
      <c r="AC5" s="41"/>
      <c r="AD5" s="41"/>
      <c r="AE5" s="41"/>
      <c r="AF5" s="41"/>
      <c r="AG5" s="41"/>
      <c r="AH5" s="41"/>
      <c r="AI5" s="41"/>
      <c r="AJ5" s="41"/>
    </row>
    <row r="6" ht="15.75" customHeight="1">
      <c r="A6" s="66" t="s">
        <v>124</v>
      </c>
      <c r="B6" s="32">
        <f>'Raw Values'!E6</f>
        <v>0.15</v>
      </c>
      <c r="C6" s="34">
        <f>'Raw Values'!U6</f>
        <v>56</v>
      </c>
      <c r="D6" s="43">
        <f>'Raw Values'!AA6</f>
        <v>0.2</v>
      </c>
      <c r="E6" s="43">
        <f>'Raw Values'!AB6</f>
        <v>0.33</v>
      </c>
      <c r="F6" s="130"/>
      <c r="G6" s="39">
        <v>0.0</v>
      </c>
      <c r="H6" s="41">
        <f>('Raw Values'!$U6)*(0.1^('Raw Values'!$E6/Analysis!$Y6))</f>
        <v>12.14706101</v>
      </c>
      <c r="I6" s="41">
        <f>('Raw Values'!$U6+H6)*(0.1^('Raw Values'!$E6/Analysis!$Z6))</f>
        <v>17.30649158</v>
      </c>
      <c r="J6" s="41">
        <f>('Raw Values'!$U6+I6)*(0.1^('Raw Values'!$E6/Analysis!$AA6))</f>
        <v>21.16284687</v>
      </c>
      <c r="K6" s="41">
        <f>('Raw Values'!$U6+J6)*(0.1^('Raw Values'!$E6/Analysis!$AB6))</f>
        <v>24.77348982</v>
      </c>
      <c r="L6" s="41">
        <f>('Raw Values'!$U6+K6)*(0.1^('Raw Values'!$E6/'Raw Values'!$AB6))</f>
        <v>28.36112098</v>
      </c>
      <c r="M6" s="41">
        <f>('Raw Values'!$U6+L6)*(0.1^('Raw Values'!$E6/'Raw Values'!$AB6))</f>
        <v>29.62080707</v>
      </c>
      <c r="N6" s="41">
        <f>('Raw Values'!$U6+M6)*(0.1^('Raw Values'!$E6/'Raw Values'!$AB6))</f>
        <v>30.06310701</v>
      </c>
      <c r="O6" s="41">
        <f>('Raw Values'!$U6+N6)*(0.1^('Raw Values'!$E6/'Raw Values'!$AB6))</f>
        <v>30.21840699</v>
      </c>
      <c r="P6" s="41">
        <f>('Raw Values'!$U6+O6)*(0.1^('Raw Values'!$E6/'Raw Values'!$AB6))</f>
        <v>30.2729358</v>
      </c>
      <c r="Q6" s="41">
        <f>('Raw Values'!$U6+P6)*(0.1^('Raw Values'!$E6/'Raw Values'!$AB6))</f>
        <v>30.29208191</v>
      </c>
      <c r="R6" s="41">
        <f>('Raw Values'!$U6+Q6)*(0.1^('Raw Values'!$E6/'Raw Values'!$AB6))</f>
        <v>30.29880447</v>
      </c>
      <c r="S6" s="41">
        <f>('Raw Values'!$U6+R6)*(0.1^('Raw Values'!$E6/'Raw Values'!$AB6))</f>
        <v>30.30116489</v>
      </c>
      <c r="T6" s="41">
        <f>('Raw Values'!$U6+S6)*(0.1^('Raw Values'!$E6/'Raw Values'!$AB6))</f>
        <v>30.30199368</v>
      </c>
      <c r="U6" s="41">
        <f>('Raw Values'!$U6+T6)*(0.1^('Raw Values'!$E6/'Raw Values'!$AB6))</f>
        <v>30.30228469</v>
      </c>
      <c r="V6" s="41">
        <f>('Raw Values'!$U6+U6)*(0.1^('Raw Values'!$E6/'Raw Values'!$AB6))</f>
        <v>30.30238686</v>
      </c>
      <c r="W6" s="41">
        <f>('Raw Values'!$U6+V6)*(0.1^('Raw Values'!$E6/'Raw Values'!$AB6))</f>
        <v>30.30242274</v>
      </c>
      <c r="X6" s="41">
        <f>('Raw Values'!$U6+W6)*(0.1^('Raw Values'!$E6/'Raw Values'!$AB6))</f>
        <v>30.30243534</v>
      </c>
      <c r="Y6" s="41">
        <f>('Raw Values'!$U6+X6)*(0.1^('Raw Values'!$E6/'Raw Values'!$AB6))</f>
        <v>30.30243976</v>
      </c>
      <c r="Z6" s="41">
        <f>('Raw Values'!$U6+Y6)*(0.1^('Raw Values'!$E6/'Raw Values'!$AB6))</f>
        <v>30.30244131</v>
      </c>
      <c r="AA6" s="41"/>
      <c r="AB6" s="41"/>
      <c r="AC6" s="41"/>
      <c r="AD6" s="41"/>
      <c r="AE6" s="41"/>
      <c r="AF6" s="41"/>
      <c r="AG6" s="41"/>
      <c r="AH6" s="41"/>
      <c r="AI6" s="41"/>
      <c r="AJ6" s="41"/>
    </row>
    <row r="7" ht="15.75" customHeight="1">
      <c r="A7" s="61" t="s">
        <v>125</v>
      </c>
      <c r="B7" s="32">
        <f>'Raw Values'!E7</f>
        <v>0.17</v>
      </c>
      <c r="C7" s="34">
        <f>'Raw Values'!U7</f>
        <v>50</v>
      </c>
      <c r="D7" s="43">
        <f>'Raw Values'!AA7</f>
        <v>0.291277</v>
      </c>
      <c r="E7" s="43" t="s">
        <v>209</v>
      </c>
      <c r="F7" s="130"/>
      <c r="G7" s="39">
        <v>0.0</v>
      </c>
      <c r="H7" s="41">
        <f>('Raw Values'!$U7)*(0.1^('Raw Values'!$E7/'Raw Values'!$AA7))</f>
        <v>13.04166747</v>
      </c>
      <c r="I7" s="41">
        <f>('Raw Values'!$U7+H7)*(0.1^('Raw Values'!$E7/'Raw Values'!$AA7))</f>
        <v>16.44336928</v>
      </c>
      <c r="J7" s="41">
        <f>('Raw Values'!$U7+I7)*(0.1^('Raw Values'!$E7/'Raw Values'!$AA7))</f>
        <v>17.33064656</v>
      </c>
      <c r="K7" s="41">
        <f>('Raw Values'!$U7+J7)*(0.1^('Raw Values'!$E7/Analysis!$AB7))</f>
        <v>17.56207806</v>
      </c>
      <c r="L7" s="41">
        <f>('Raw Values'!$U7+K7)*(0.1^('Raw Values'!$E7/Analysis!$AC7))</f>
        <v>17.62244311</v>
      </c>
      <c r="M7" s="41">
        <f>('Raw Values'!$U7+L7)*(0.1^('Raw Values'!$E7/Analysis!$AD7))</f>
        <v>17.63818833</v>
      </c>
      <c r="N7" s="41">
        <f>('Raw Values'!$U7+M7)*(0.1^('Raw Values'!$E7/Analysis!$AE7))</f>
        <v>17.64229521</v>
      </c>
      <c r="O7" s="41">
        <f>('Raw Values'!$U7+N7)*(0.1^('Raw Values'!$E7/Analysis!$AF7))</f>
        <v>17.64336642</v>
      </c>
      <c r="P7" s="41">
        <f>('Raw Values'!$U7+O7)*(0.1^('Raw Values'!$E7/Analysis!$AG7))</f>
        <v>17.64364583</v>
      </c>
      <c r="Q7" s="41">
        <f>('Raw Values'!$U7+P7)*(0.1^('Raw Values'!$E7/'Raw Values'!$AB7))</f>
        <v>17.64371871</v>
      </c>
      <c r="R7" s="41">
        <f>('Raw Values'!$U7+Q7)*(0.1^('Raw Values'!$E7/'Raw Values'!$AB7))</f>
        <v>17.64373772</v>
      </c>
      <c r="S7" s="41">
        <f>('Raw Values'!$U7+R7)*(0.1^('Raw Values'!$E7/'Raw Values'!$AB7))</f>
        <v>17.64374268</v>
      </c>
      <c r="T7" s="41"/>
      <c r="U7" s="41"/>
      <c r="V7" s="41"/>
      <c r="W7" s="41"/>
      <c r="X7" s="41"/>
      <c r="Y7" s="41"/>
      <c r="Z7" s="41"/>
      <c r="AA7" s="41"/>
      <c r="AB7" s="41"/>
      <c r="AC7" s="41"/>
      <c r="AD7" s="41"/>
      <c r="AE7" s="41"/>
      <c r="AF7" s="41"/>
      <c r="AG7" s="41"/>
      <c r="AH7" s="41"/>
      <c r="AI7" s="41"/>
      <c r="AJ7" s="41"/>
    </row>
    <row r="8" ht="15.75" customHeight="1">
      <c r="A8" s="61" t="s">
        <v>127</v>
      </c>
      <c r="B8" s="32">
        <f>'Raw Values'!E8</f>
        <v>0.17</v>
      </c>
      <c r="C8" s="34">
        <f>'Raw Values'!AK8</f>
        <v>52</v>
      </c>
      <c r="D8" s="43">
        <f>'Raw Values'!AA8</f>
        <v>0.291277</v>
      </c>
      <c r="E8" s="43" t="s">
        <v>209</v>
      </c>
      <c r="F8" s="130"/>
      <c r="G8" s="39">
        <v>0.0</v>
      </c>
      <c r="H8" s="41">
        <f>('Raw Values'!$AK8)*(0.1^('Raw Values'!$E8/'Raw Values'!$AA8))</f>
        <v>13.56333417</v>
      </c>
      <c r="I8" s="41">
        <f>('Raw Values'!$AK8+H8)*(0.1^('Raw Values'!$E8/'Raw Values'!$AA8))</f>
        <v>17.10110405</v>
      </c>
      <c r="J8" s="41">
        <f>('Raw Values'!$AK8+I8)*(0.1^('Raw Values'!$E8/'Raw Values'!$AA8))</f>
        <v>18.02387242</v>
      </c>
      <c r="K8" s="41">
        <f>('Raw Values'!$AK8+J8)*(0.1^('Raw Values'!$E8/Analysis!$AB8))</f>
        <v>18.26456118</v>
      </c>
      <c r="L8" s="41">
        <f>('Raw Values'!$AK8+K8)*(0.1^('Raw Values'!$E8/Analysis!$AC8))</f>
        <v>18.32734084</v>
      </c>
      <c r="M8" s="41">
        <f>('Raw Values'!$AK8+L8)*(0.1^('Raw Values'!$E8/Analysis!$AD8))</f>
        <v>18.34371587</v>
      </c>
      <c r="N8" s="41">
        <f>('Raw Values'!$AK8+M8)*(0.1^('Raw Values'!$E8/Analysis!$AE8))</f>
        <v>18.34798702</v>
      </c>
      <c r="O8" s="41">
        <f>('Raw Values'!$AK8+N8)*(0.1^('Raw Values'!$E8/Analysis!$AF8))</f>
        <v>18.34910108</v>
      </c>
      <c r="P8" s="41">
        <f>('Raw Values'!$AK8+O8)*(0.1^('Raw Values'!$E8/Analysis!$AG8))</f>
        <v>18.34939166</v>
      </c>
      <c r="Q8" s="41">
        <f>('Raw Values'!$AK8+P8)*(0.1^('Raw Values'!$E8/'Raw Values'!$AB8))</f>
        <v>18.34946746</v>
      </c>
      <c r="R8" s="41">
        <f>('Raw Values'!$AK8+Q8)*(0.1^('Raw Values'!$E8/'Raw Values'!$AB8))</f>
        <v>18.34948723</v>
      </c>
      <c r="S8" s="41"/>
      <c r="T8" s="41"/>
      <c r="U8" s="41"/>
      <c r="V8" s="41"/>
      <c r="W8" s="41"/>
      <c r="X8" s="41"/>
      <c r="Y8" s="41"/>
      <c r="Z8" s="41"/>
      <c r="AA8" s="41"/>
      <c r="AB8" s="41"/>
      <c r="AC8" s="41"/>
      <c r="AD8" s="41"/>
      <c r="AE8" s="41"/>
      <c r="AF8" s="41"/>
      <c r="AG8" s="41"/>
      <c r="AH8" s="41"/>
      <c r="AI8" s="41"/>
      <c r="AJ8" s="41"/>
    </row>
    <row r="9" ht="15.75" customHeight="1">
      <c r="A9" s="28" t="s">
        <v>129</v>
      </c>
      <c r="B9" s="32">
        <f>'Raw Values'!E9</f>
        <v>0.15</v>
      </c>
      <c r="C9" s="34">
        <f>'Raw Values'!U9</f>
        <v>52.45</v>
      </c>
      <c r="D9" s="43">
        <f>'Raw Values'!AA9</f>
        <v>0.287823</v>
      </c>
      <c r="E9" s="43" t="s">
        <v>209</v>
      </c>
      <c r="F9" s="130"/>
      <c r="G9" s="39">
        <v>0.0</v>
      </c>
      <c r="H9" s="41">
        <f>('Raw Values'!$U9)*(0.1^('Raw Values'!$E9/'Raw Values'!$AA9))</f>
        <v>15.79762742</v>
      </c>
      <c r="I9" s="41">
        <f>('Raw Values'!$U9+H9)*(0.1^('Raw Values'!$E9/'Raw Values'!$AA9))</f>
        <v>20.55577865</v>
      </c>
      <c r="J9" s="41">
        <f>('Raw Values'!$U9+I9)*(0.1^('Raw Values'!$E9/'Raw Values'!$AA9))</f>
        <v>21.98890544</v>
      </c>
      <c r="K9" s="41">
        <f>('Raw Values'!$U9+J9)*(0.1^('Raw Values'!$E9/Analysis!$AB9))</f>
        <v>22.42055469</v>
      </c>
      <c r="L9" s="41">
        <f>('Raw Values'!$U9+K9)*(0.1^('Raw Values'!$E9/Analysis!$AC9))</f>
        <v>22.55056487</v>
      </c>
      <c r="M9" s="41">
        <f>('Raw Values'!$U9+L9)*(0.1^('Raw Values'!$E9/Analysis!$AD9))</f>
        <v>22.58972316</v>
      </c>
      <c r="N9" s="41">
        <f>('Raw Values'!$U9+M9)*(0.1^('Raw Values'!$E9/Analysis!$AE9))</f>
        <v>22.60151741</v>
      </c>
      <c r="O9" s="41">
        <f>('Raw Values'!$U9+N9)*(0.1^('Raw Values'!$E9/Analysis!$AF9))</f>
        <v>22.60506976</v>
      </c>
      <c r="P9" s="41">
        <f>('Raw Values'!$U9+O9)*(0.1^('Raw Values'!$E9/Analysis!$AG9))</f>
        <v>22.60613971</v>
      </c>
      <c r="Q9" s="41">
        <f>('Raw Values'!$U9+P9)*(0.1^('Raw Values'!$E9/'Raw Values'!$AB9))</f>
        <v>22.60646197</v>
      </c>
      <c r="R9" s="41">
        <f>('Raw Values'!$U9+Q9)*(0.1^('Raw Values'!$E9/'Raw Values'!$AB9))</f>
        <v>22.60655904</v>
      </c>
      <c r="S9" s="41">
        <f>('Raw Values'!$U9+R9)*(0.1^('Raw Values'!$E9/'Raw Values'!$AB9))</f>
        <v>22.60658827</v>
      </c>
      <c r="T9" s="41"/>
      <c r="U9" s="41"/>
      <c r="V9" s="41"/>
      <c r="W9" s="41"/>
      <c r="X9" s="41"/>
      <c r="Y9" s="41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</row>
    <row r="10" ht="15.75" customHeight="1">
      <c r="A10" s="28" t="s">
        <v>131</v>
      </c>
      <c r="B10" s="32">
        <f>'Raw Values'!E10</f>
        <v>0.1</v>
      </c>
      <c r="C10" s="34">
        <f>'Raw Values'!U10</f>
        <v>35</v>
      </c>
      <c r="D10" s="43">
        <f>'Raw Values'!AA10</f>
        <v>0.2275</v>
      </c>
      <c r="E10" s="43">
        <f>'Raw Values'!AB10</f>
        <v>0.287823</v>
      </c>
      <c r="F10" s="130"/>
      <c r="G10" s="39">
        <v>0.0</v>
      </c>
      <c r="H10" s="41">
        <f>('Raw Values'!$U10)*(0.1^('Raw Values'!$E10/'Raw Values'!$AA10))</f>
        <v>12.72060025</v>
      </c>
      <c r="I10" s="41">
        <f>('Raw Values'!$U10+H10)*(0.1^('Raw Values'!$E10/'Raw Values'!$AA10))</f>
        <v>17.34384798</v>
      </c>
      <c r="J10" s="41">
        <f>('Raw Values'!$U10+I10)*(0.1^('Raw Values'!$E10/'Raw Values'!$AA10))</f>
        <v>19.02414758</v>
      </c>
      <c r="K10" s="41">
        <f>('Raw Values'!$U10+J10)*(0.1^('Raw Values'!$E10/Analysis!$AB10))</f>
        <v>20.37370903</v>
      </c>
      <c r="L10" s="41">
        <f>('Raw Values'!$U10+K10)*(0.1^('Raw Values'!$E10/Analysis!$AC10))</f>
        <v>21.61218253</v>
      </c>
      <c r="M10" s="41">
        <f>('Raw Values'!$U10+L10)*(0.1^('Raw Values'!$E10/Analysis!$AD10))</f>
        <v>22.81409537</v>
      </c>
      <c r="N10" s="41">
        <f>('Raw Values'!$U10+M10)*(0.1^('Raw Values'!$E10/Analysis!$AE10))</f>
        <v>24.0055164</v>
      </c>
      <c r="O10" s="41">
        <f>('Raw Values'!$U10+N10)*(0.1^('Raw Values'!$E10/Analysis!$AF10))</f>
        <v>25.19572628</v>
      </c>
      <c r="P10" s="41">
        <f>('Raw Values'!$U10+O10)*(0.1^('Raw Values'!$E10/Analysis!$AG10))</f>
        <v>26.38799745</v>
      </c>
      <c r="Q10" s="41">
        <f>('Raw Values'!$U10+P10)*(0.1^('Raw Values'!$E10/'Raw Values'!$AB10))</f>
        <v>27.58339483</v>
      </c>
      <c r="R10" s="41">
        <f>('Raw Values'!$U10+Q10)*(0.1^('Raw Values'!$E10/'Raw Values'!$AB10))</f>
        <v>28.12052129</v>
      </c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</row>
    <row r="11" ht="15.75" customHeight="1">
      <c r="A11" s="66" t="s">
        <v>132</v>
      </c>
      <c r="B11" s="32">
        <f>'Raw Values'!E11</f>
        <v>0.12</v>
      </c>
      <c r="C11" s="34">
        <f>'Raw Values'!U11</f>
        <v>95</v>
      </c>
      <c r="D11" s="43">
        <f>'Raw Values'!AA11</f>
        <v>0.295</v>
      </c>
      <c r="E11" s="43">
        <f>'Raw Values'!AB11</f>
        <v>0.322362</v>
      </c>
      <c r="F11" s="130"/>
      <c r="G11" s="39">
        <v>0.0</v>
      </c>
      <c r="H11" s="41">
        <f>('Raw Values'!$U11)*(0.1^('Raw Values'!$E11/'Raw Values'!$AA11))</f>
        <v>37.23436436</v>
      </c>
      <c r="I11" s="41">
        <f>('Raw Values'!$U11+H11)*(0.1^('Raw Values'!$E11/'Raw Values'!$AA11))</f>
        <v>51.82802635</v>
      </c>
      <c r="J11" s="41">
        <f>('Raw Values'!$U11+I11)*(0.1^('Raw Values'!$E11/'Raw Values'!$AA11))</f>
        <v>57.54787612</v>
      </c>
      <c r="K11" s="41">
        <f>('Raw Values'!$U11+J11)*(0.1^('Raw Values'!$E11/Analysis!$AB11))</f>
        <v>60.52656081</v>
      </c>
      <c r="L11" s="41">
        <f>('Raw Values'!$U11+K11)*(0.1^('Raw Values'!$E11/Analysis!$AC11))</f>
        <v>62.44915445</v>
      </c>
      <c r="M11" s="41">
        <f>('Raw Values'!$U11+L11)*(0.1^('Raw Values'!$E11/Analysis!$AD11))</f>
        <v>63.96058215</v>
      </c>
      <c r="N11" s="41">
        <f>('Raw Values'!$U11+M11)*(0.1^('Raw Values'!$E11/Analysis!$AE11))</f>
        <v>65.31072526</v>
      </c>
      <c r="O11" s="41">
        <f>('Raw Values'!$U11+N11)*(0.1^('Raw Values'!$E11/Analysis!$AF11))</f>
        <v>66.59755284</v>
      </c>
      <c r="P11" s="41">
        <f>('Raw Values'!$U11+O11)*(0.1^('Raw Values'!$E11/Analysis!$AG11))</f>
        <v>67.85990563</v>
      </c>
      <c r="Q11" s="41">
        <f>('Raw Values'!$U11+P11)*(0.1^('Raw Values'!$E11/'Raw Values'!$AB11))</f>
        <v>69.11333758</v>
      </c>
      <c r="R11" s="41">
        <f>('Raw Values'!$U11+Q11)*(0.1^('Raw Values'!$E11/'Raw Values'!$AB11))</f>
        <v>69.64526019</v>
      </c>
      <c r="S11" s="41">
        <f>('Raw Values'!$U11+R11)*(0.1^('Raw Values'!$E11/'Raw Values'!$AB11))</f>
        <v>69.87099375</v>
      </c>
      <c r="T11" s="41">
        <f>('Raw Values'!$U11+S11)*(0.1^('Raw Values'!$E11/'Raw Values'!$AB11))</f>
        <v>69.96678897</v>
      </c>
      <c r="U11" s="41">
        <f>('Raw Values'!$U11+T11)*(0.1^('Raw Values'!$E11/'Raw Values'!$AB11))</f>
        <v>70.00744187</v>
      </c>
      <c r="V11" s="41">
        <f>('Raw Values'!$U11+U11)*(0.1^('Raw Values'!$E11/'Raw Values'!$AB11))</f>
        <v>70.02469386</v>
      </c>
      <c r="W11" s="41">
        <f>('Raw Values'!$U11+V11)*(0.1^('Raw Values'!$E11/'Raw Values'!$AB11))</f>
        <v>70.03201514</v>
      </c>
      <c r="X11" s="41">
        <f>('Raw Values'!$U11+W11)*(0.1^('Raw Values'!$E11/'Raw Values'!$AB11))</f>
        <v>70.03512209</v>
      </c>
      <c r="Y11" s="41"/>
      <c r="Z11" s="41"/>
      <c r="AA11" s="41"/>
      <c r="AB11" s="41"/>
      <c r="AC11" s="41"/>
      <c r="AD11" s="41"/>
      <c r="AE11" s="41"/>
      <c r="AF11" s="41"/>
      <c r="AG11" s="41"/>
      <c r="AH11" s="41"/>
      <c r="AI11" s="41"/>
      <c r="AJ11" s="41"/>
    </row>
    <row r="12" ht="15.75" customHeight="1">
      <c r="A12" s="75"/>
      <c r="B12" s="77"/>
      <c r="C12" s="131"/>
      <c r="D12" s="132"/>
      <c r="E12" s="132"/>
      <c r="F12" s="133"/>
      <c r="G12" s="79"/>
      <c r="H12" s="79"/>
      <c r="I12" s="79"/>
      <c r="J12" s="79"/>
      <c r="K12" s="79"/>
      <c r="L12" s="79"/>
      <c r="M12" s="79"/>
      <c r="N12" s="79"/>
      <c r="O12" s="134"/>
      <c r="P12" s="134"/>
      <c r="Q12" s="134"/>
      <c r="R12" s="134"/>
      <c r="S12" s="134"/>
      <c r="T12" s="134"/>
      <c r="U12" s="134"/>
      <c r="V12" s="134"/>
      <c r="W12" s="134"/>
      <c r="X12" s="134"/>
      <c r="Y12" s="134"/>
      <c r="Z12" s="134"/>
      <c r="AA12" s="134"/>
      <c r="AB12" s="134"/>
      <c r="AC12" s="134"/>
      <c r="AD12" s="134"/>
      <c r="AE12" s="134"/>
      <c r="AF12" s="134"/>
      <c r="AG12" s="134"/>
      <c r="AH12" s="134"/>
      <c r="AI12" s="134"/>
      <c r="AJ12" s="134"/>
    </row>
    <row r="13" ht="15.75" customHeight="1">
      <c r="A13" s="5" t="s">
        <v>135</v>
      </c>
      <c r="B13" s="11" t="s">
        <v>19</v>
      </c>
      <c r="C13" s="9" t="s">
        <v>204</v>
      </c>
      <c r="D13" s="21" t="s">
        <v>220</v>
      </c>
      <c r="E13" s="21" t="s">
        <v>221</v>
      </c>
      <c r="F13" s="125"/>
      <c r="G13" s="127">
        <v>1.0</v>
      </c>
      <c r="H13" s="127">
        <v>2.0</v>
      </c>
      <c r="I13" s="127">
        <v>3.0</v>
      </c>
      <c r="J13" s="127">
        <v>4.0</v>
      </c>
      <c r="K13" s="127">
        <v>5.0</v>
      </c>
      <c r="L13" s="127">
        <v>6.0</v>
      </c>
      <c r="M13" s="127">
        <v>7.0</v>
      </c>
      <c r="N13" s="127">
        <v>8.0</v>
      </c>
      <c r="O13" s="136"/>
      <c r="P13" s="136"/>
      <c r="Q13" s="136"/>
      <c r="R13" s="136"/>
      <c r="S13" s="136"/>
      <c r="T13" s="136"/>
      <c r="U13" s="136"/>
      <c r="V13" s="136"/>
      <c r="W13" s="136"/>
      <c r="X13" s="136"/>
      <c r="Y13" s="136"/>
      <c r="Z13" s="136"/>
      <c r="AA13" s="136"/>
      <c r="AB13" s="136"/>
      <c r="AC13" s="136"/>
      <c r="AD13" s="136"/>
      <c r="AE13" s="136"/>
      <c r="AF13" s="136"/>
      <c r="AG13" s="136"/>
      <c r="AH13" s="136"/>
      <c r="AI13" s="136"/>
      <c r="AJ13" s="136"/>
    </row>
    <row r="14" ht="15.75" customHeight="1">
      <c r="A14" s="61" t="s">
        <v>137</v>
      </c>
      <c r="B14" s="32">
        <f>'Raw Values'!E14</f>
        <v>0.85</v>
      </c>
      <c r="C14" s="34">
        <f>'Raw Values'!U14</f>
        <v>11.19</v>
      </c>
      <c r="D14" s="43">
        <f>'Raw Values'!AA14</f>
        <v>0.285521</v>
      </c>
      <c r="E14" s="43" t="s">
        <v>209</v>
      </c>
      <c r="F14" s="130"/>
      <c r="G14" s="39">
        <v>0.0</v>
      </c>
      <c r="H14" s="39">
        <f>('Raw Values'!$U14)*(0.1^('Raw Values'!$E14/'Raw Values'!$AA14))</f>
        <v>0.0117982104</v>
      </c>
      <c r="I14" s="39">
        <f>('Raw Values'!$U14+H14)*(0.1^('Raw Values'!$E14/'Raw Values'!$AA14))</f>
        <v>0.01181064987</v>
      </c>
      <c r="J14" s="41">
        <f>('Raw Values'!$U14+I14)*(0.1^('Raw Values'!$E14/Analysis!$AA14))</f>
        <v>0.01181066299</v>
      </c>
      <c r="K14" s="41">
        <f>('Raw Values'!$U14+J14)*(0.1^('Raw Values'!$E14/Analysis!$AB14))</f>
        <v>0.011810663</v>
      </c>
      <c r="L14" s="39"/>
      <c r="M14" s="39"/>
      <c r="N14" s="39"/>
      <c r="O14" s="146"/>
      <c r="P14" s="146"/>
      <c r="Q14" s="146"/>
      <c r="R14" s="146"/>
      <c r="S14" s="146"/>
      <c r="T14" s="146"/>
      <c r="U14" s="146"/>
      <c r="V14" s="146"/>
      <c r="W14" s="146"/>
      <c r="X14" s="146"/>
      <c r="Y14" s="146"/>
      <c r="Z14" s="146"/>
      <c r="AA14" s="146"/>
      <c r="AB14" s="146"/>
      <c r="AC14" s="146"/>
      <c r="AD14" s="146"/>
      <c r="AE14" s="146"/>
      <c r="AF14" s="146"/>
      <c r="AG14" s="146"/>
      <c r="AH14" s="146"/>
      <c r="AI14" s="146"/>
      <c r="AJ14" s="146"/>
    </row>
    <row r="15" ht="15.75" customHeight="1">
      <c r="A15" s="28" t="s">
        <v>140</v>
      </c>
      <c r="B15" s="32">
        <f>'Raw Values'!E15</f>
        <v>0.88</v>
      </c>
      <c r="C15" s="34">
        <f>'Raw Values'!U15</f>
        <v>9.72</v>
      </c>
      <c r="D15" s="43">
        <f>'Raw Values'!AA15</f>
        <v>0.328941</v>
      </c>
      <c r="E15" s="43" t="s">
        <v>209</v>
      </c>
      <c r="F15" s="130"/>
      <c r="G15" s="39">
        <v>0.0</v>
      </c>
      <c r="H15" s="39">
        <f>('Raw Values'!$U15)*(0.1^('Raw Values'!$E15/'Raw Values'!$AA15))</f>
        <v>0.02053120655</v>
      </c>
      <c r="I15" s="39">
        <f>('Raw Values'!$U15+H15)*(0.1^('Raw Values'!$E15/'Raw Values'!$AA15))</f>
        <v>0.02057457387</v>
      </c>
      <c r="J15" s="41">
        <f>('Raw Values'!$U15+I15)*(0.1^('Raw Values'!$E15/Analysis!$AA15))</f>
        <v>0.02057466548</v>
      </c>
      <c r="K15" s="41">
        <f>('Raw Values'!$U15+J15)*(0.1^('Raw Values'!$E15/Analysis!$AB15))</f>
        <v>0.02057466567</v>
      </c>
      <c r="L15" s="41">
        <f>('Raw Values'!$U15+K15)*(0.1^('Raw Values'!$E15/'Raw Values'!$AB15))</f>
        <v>0.02057466567</v>
      </c>
      <c r="M15" s="39">
        <f>('Raw Values'!$U15+L15)*(0.1^('Raw Values'!$E15/'Raw Values'!$AB15))</f>
        <v>0.02057466567</v>
      </c>
      <c r="N15" s="39">
        <f>('Raw Values'!$U15+M15)*(0.1^('Raw Values'!$E15/'Raw Values'!$AB15))</f>
        <v>0.02057466567</v>
      </c>
      <c r="O15" s="146"/>
      <c r="P15" s="146"/>
      <c r="Q15" s="146"/>
      <c r="R15" s="146"/>
      <c r="S15" s="146"/>
      <c r="T15" s="146"/>
      <c r="U15" s="146"/>
      <c r="V15" s="146"/>
      <c r="W15" s="146"/>
      <c r="X15" s="146"/>
      <c r="Y15" s="146"/>
      <c r="Z15" s="146"/>
      <c r="AA15" s="146"/>
      <c r="AB15" s="146"/>
      <c r="AC15" s="146"/>
      <c r="AD15" s="146"/>
      <c r="AE15" s="146"/>
      <c r="AF15" s="146"/>
      <c r="AG15" s="146"/>
      <c r="AH15" s="146"/>
      <c r="AI15" s="146"/>
      <c r="AJ15" s="146"/>
    </row>
    <row r="16" ht="15.75" customHeight="1">
      <c r="A16" s="66" t="s">
        <v>142</v>
      </c>
      <c r="B16" s="32">
        <f>'Raw Values'!E16</f>
        <v>0.85</v>
      </c>
      <c r="C16" s="34">
        <f>'Raw Values'!U16</f>
        <v>9.72</v>
      </c>
      <c r="D16" s="43">
        <f>'Raw Values'!AA16</f>
        <v>0.328941</v>
      </c>
      <c r="E16" s="43" t="s">
        <v>209</v>
      </c>
      <c r="F16" s="130"/>
      <c r="G16" s="39">
        <v>0.0</v>
      </c>
      <c r="H16" s="39">
        <f>('Raw Values'!$U16)*(0.1^('Raw Values'!$E16/'Raw Values'!$AA16))</f>
        <v>0.02532889465</v>
      </c>
      <c r="I16" s="39">
        <f>('Raw Values'!$U16+H16)*(0.1^('Raw Values'!$E16/'Raw Values'!$AA16))</f>
        <v>0.02539489804</v>
      </c>
      <c r="J16" s="41">
        <f>('Raw Values'!$U16+I16)*(0.1^('Raw Values'!$E16/Analysis!$AA16))</f>
        <v>0.02539507003</v>
      </c>
      <c r="K16" s="41">
        <f>('Raw Values'!$U16+J16)*(0.1^('Raw Values'!$E16/Analysis!$AB16))</f>
        <v>0.02539507048</v>
      </c>
      <c r="L16" s="41">
        <f>('Raw Values'!$U16+K16)*(0.1^('Raw Values'!$E16/'Raw Values'!$AB16))</f>
        <v>0.02539507048</v>
      </c>
      <c r="M16" s="39">
        <f>('Raw Values'!$U16+L16)*(0.1^('Raw Values'!$E16/'Raw Values'!$AB16))</f>
        <v>0.02539507048</v>
      </c>
      <c r="N16" s="39"/>
      <c r="O16" s="146"/>
      <c r="P16" s="146"/>
      <c r="Q16" s="146"/>
      <c r="R16" s="146"/>
      <c r="S16" s="146"/>
      <c r="T16" s="146"/>
      <c r="U16" s="146"/>
      <c r="V16" s="146"/>
      <c r="W16" s="146"/>
      <c r="X16" s="146"/>
      <c r="Y16" s="146"/>
      <c r="Z16" s="146"/>
      <c r="AA16" s="146"/>
      <c r="AB16" s="146"/>
      <c r="AC16" s="146"/>
      <c r="AD16" s="146"/>
      <c r="AE16" s="146"/>
      <c r="AF16" s="146"/>
      <c r="AG16" s="146"/>
      <c r="AH16" s="146"/>
      <c r="AI16" s="146"/>
      <c r="AJ16" s="146"/>
    </row>
    <row r="17" ht="15.75" customHeight="1">
      <c r="A17" s="28" t="s">
        <v>143</v>
      </c>
      <c r="B17" s="32">
        <f>'Raw Values'!E17</f>
        <v>0.35</v>
      </c>
      <c r="C17" s="34">
        <f>'Raw Values'!U17</f>
        <v>8.83</v>
      </c>
      <c r="D17" s="43">
        <f>'Raw Values'!AA17</f>
        <v>0.361835</v>
      </c>
      <c r="E17" s="43" t="s">
        <v>209</v>
      </c>
      <c r="F17" s="130"/>
      <c r="G17" s="39">
        <v>0.0</v>
      </c>
      <c r="H17" s="39">
        <f>('Raw Values'!$U17)*(0.1^('Raw Values'!$E17/'Raw Values'!$AA17))</f>
        <v>0.9520702227</v>
      </c>
      <c r="I17" s="39">
        <f>('Raw Values'!$U17+H17)*(0.1^('Raw Values'!$E17/'Raw Values'!$AA17))</f>
        <v>1.05472455</v>
      </c>
      <c r="J17" s="41">
        <f>('Raw Values'!$U17+I17)*(0.1^('Raw Values'!$E17/Analysis!$AA17))</f>
        <v>1.065792968</v>
      </c>
      <c r="K17" s="41">
        <f>('Raw Values'!$U17+J17)*(0.1^('Raw Values'!$E17/Analysis!$AB17))</f>
        <v>1.066986389</v>
      </c>
      <c r="L17" s="41">
        <f>('Raw Values'!$U17+K17)*(0.1^('Raw Values'!$E17/'Raw Values'!$AB17))</f>
        <v>1.067115066</v>
      </c>
      <c r="M17" s="39">
        <f>('Raw Values'!$U17+L17)*(0.1^('Raw Values'!$E17/'Raw Values'!$AB17))</f>
        <v>1.067128941</v>
      </c>
      <c r="N17" s="39"/>
      <c r="O17" s="146"/>
      <c r="P17" s="146"/>
      <c r="Q17" s="146"/>
      <c r="R17" s="146"/>
      <c r="S17" s="146"/>
      <c r="T17" s="146"/>
      <c r="U17" s="146"/>
      <c r="V17" s="146"/>
      <c r="W17" s="146"/>
      <c r="X17" s="146"/>
      <c r="Y17" s="146"/>
      <c r="Z17" s="146"/>
      <c r="AA17" s="146"/>
      <c r="AB17" s="146"/>
      <c r="AC17" s="146"/>
      <c r="AD17" s="146"/>
      <c r="AE17" s="146"/>
      <c r="AF17" s="146"/>
      <c r="AG17" s="146"/>
      <c r="AH17" s="146"/>
      <c r="AI17" s="146"/>
      <c r="AJ17" s="146"/>
    </row>
    <row r="18" ht="15.75" customHeight="1">
      <c r="A18" s="75"/>
      <c r="B18" s="77"/>
      <c r="C18" s="131"/>
      <c r="D18" s="132"/>
      <c r="E18" s="132"/>
      <c r="F18" s="133"/>
      <c r="G18" s="79"/>
      <c r="H18" s="79"/>
      <c r="I18" s="79"/>
      <c r="J18" s="79"/>
      <c r="K18" s="79"/>
      <c r="L18" s="79"/>
      <c r="M18" s="79"/>
      <c r="N18" s="79"/>
      <c r="O18" s="140"/>
      <c r="P18" s="140"/>
      <c r="Q18" s="140"/>
      <c r="R18" s="140"/>
      <c r="S18" s="140"/>
      <c r="T18" s="140"/>
      <c r="U18" s="140"/>
      <c r="V18" s="140"/>
      <c r="W18" s="140"/>
      <c r="X18" s="140"/>
      <c r="Y18" s="140"/>
      <c r="Z18" s="140"/>
      <c r="AA18" s="140"/>
      <c r="AB18" s="140"/>
      <c r="AC18" s="140"/>
      <c r="AD18" s="140"/>
      <c r="AE18" s="140"/>
      <c r="AF18" s="140"/>
      <c r="AG18" s="140"/>
      <c r="AH18" s="140"/>
      <c r="AI18" s="140"/>
      <c r="AJ18" s="140"/>
    </row>
    <row r="19" ht="15.75" customHeight="1">
      <c r="A19" s="5" t="s">
        <v>145</v>
      </c>
      <c r="B19" s="11" t="s">
        <v>19</v>
      </c>
      <c r="C19" s="9" t="s">
        <v>204</v>
      </c>
      <c r="D19" s="21" t="s">
        <v>220</v>
      </c>
      <c r="E19" s="21" t="s">
        <v>221</v>
      </c>
      <c r="F19" s="125"/>
      <c r="G19" s="127">
        <v>1.0</v>
      </c>
      <c r="H19" s="127">
        <v>2.0</v>
      </c>
      <c r="I19" s="127">
        <v>3.0</v>
      </c>
      <c r="J19" s="127">
        <v>4.0</v>
      </c>
      <c r="K19" s="127">
        <v>5.0</v>
      </c>
      <c r="L19" s="127">
        <v>6.0</v>
      </c>
      <c r="M19" s="127">
        <v>7.0</v>
      </c>
      <c r="N19" s="127">
        <v>8.0</v>
      </c>
      <c r="O19" s="127">
        <v>9.0</v>
      </c>
      <c r="P19" s="127">
        <v>10.0</v>
      </c>
      <c r="Q19" s="127">
        <v>11.0</v>
      </c>
      <c r="R19" s="127">
        <v>12.0</v>
      </c>
      <c r="S19" s="127">
        <v>13.0</v>
      </c>
      <c r="T19" s="127">
        <v>14.0</v>
      </c>
      <c r="U19" s="127">
        <v>15.0</v>
      </c>
      <c r="V19" s="127">
        <v>16.0</v>
      </c>
      <c r="W19" s="127">
        <v>17.0</v>
      </c>
      <c r="X19" s="127">
        <v>18.0</v>
      </c>
      <c r="Y19" s="127">
        <v>19.0</v>
      </c>
      <c r="Z19" s="127">
        <v>20.0</v>
      </c>
      <c r="AA19" s="127">
        <v>21.0</v>
      </c>
      <c r="AB19" s="127">
        <v>22.0</v>
      </c>
      <c r="AC19" s="127">
        <v>23.0</v>
      </c>
      <c r="AD19" s="127">
        <v>24.0</v>
      </c>
      <c r="AE19" s="127">
        <v>25.0</v>
      </c>
      <c r="AF19" s="127">
        <v>26.0</v>
      </c>
      <c r="AG19" s="127">
        <v>27.0</v>
      </c>
      <c r="AH19" s="127">
        <v>28.0</v>
      </c>
      <c r="AI19" s="127">
        <v>29.0</v>
      </c>
      <c r="AJ19" s="127">
        <v>30.0</v>
      </c>
    </row>
    <row r="20" ht="15.75" customHeight="1">
      <c r="A20" s="28" t="s">
        <v>147</v>
      </c>
      <c r="B20" s="32">
        <f>'Raw Values'!E20</f>
        <v>0.08</v>
      </c>
      <c r="C20" s="34">
        <f>'Raw Values'!U20</f>
        <v>2.88</v>
      </c>
      <c r="D20" s="43">
        <f>'Raw Values'!AA20</f>
        <v>0.236837</v>
      </c>
      <c r="E20" s="43" t="s">
        <v>209</v>
      </c>
      <c r="F20" s="130"/>
      <c r="G20" s="39">
        <v>0.0</v>
      </c>
      <c r="H20" s="41">
        <f>('Raw Values'!$U20)*(0.1^('Raw Values'!$E20/'Raw Values'!$AA20))</f>
        <v>1.323144966</v>
      </c>
      <c r="I20" s="41">
        <f>('Raw Values'!$U20+H20)*(0.1^('Raw Values'!$E20/'Raw Values'!$AA20))</f>
        <v>1.931031286</v>
      </c>
      <c r="J20" s="41">
        <f>('Raw Values'!$U20+I20)*(0.1^('Raw Values'!$E20/Analysis!$AA20))</f>
        <v>2.210309662</v>
      </c>
      <c r="K20" s="41">
        <f>('Raw Values'!$U20+J20)*(0.1^('Raw Values'!$E20/Analysis!$AB20))</f>
        <v>2.338617224</v>
      </c>
      <c r="L20" s="41">
        <f>('Raw Values'!$U20+K20)*(0.1^('Raw Values'!$E20/'Raw Values'!$AB20))</f>
        <v>2.397564969</v>
      </c>
      <c r="M20" s="41">
        <f>('Raw Values'!$U20+L20)*(0.1^('Raw Values'!$E20/'Raw Values'!$AB20))</f>
        <v>2.424647056</v>
      </c>
      <c r="N20" s="41">
        <f>('Raw Values'!$U20+M20)*(0.1^('Raw Values'!$E20/'Raw Values'!$AB20))</f>
        <v>2.437089253</v>
      </c>
      <c r="O20" s="41">
        <f>('Raw Values'!$U20+N20)*(0.1^('Raw Values'!$E20/'Raw Values'!$AB20))</f>
        <v>2.442805514</v>
      </c>
      <c r="P20" s="41">
        <f>('Raw Values'!$U20+O20)*(0.1^('Raw Values'!$E20/'Raw Values'!$AB20))</f>
        <v>2.445431708</v>
      </c>
      <c r="Q20" s="41">
        <f>('Raw Values'!$U20+P20)*(0.1^('Raw Values'!$E20/'Raw Values'!$AB20))</f>
        <v>2.446638249</v>
      </c>
      <c r="R20" s="41">
        <f>('Raw Values'!$U20+Q20)*(0.1^('Raw Values'!$E20/'Raw Values'!$AB20))</f>
        <v>2.447192564</v>
      </c>
      <c r="S20" s="41">
        <f>('Raw Values'!$U20+R20)*(0.1^('Raw Values'!$E20/'Raw Values'!$AB20))</f>
        <v>2.447447231</v>
      </c>
      <c r="T20" s="41">
        <f>('Raw Values'!$U20+S20)*(0.1^('Raw Values'!$E20/'Raw Values'!$AB20))</f>
        <v>2.447564231</v>
      </c>
      <c r="U20" s="41">
        <f>('Raw Values'!$U20+T20)*(0.1^('Raw Values'!$E20/'Raw Values'!$AB20))</f>
        <v>2.447617984</v>
      </c>
      <c r="V20" s="41">
        <f>('Raw Values'!$U20+U20)*(0.1^('Raw Values'!$E20/'Raw Values'!$AB20))</f>
        <v>2.447642679</v>
      </c>
      <c r="W20" s="41">
        <f>('Raw Values'!$U20+V20)*(0.1^('Raw Values'!$E20/'Raw Values'!$AB20))</f>
        <v>2.447654025</v>
      </c>
      <c r="X20" s="41">
        <f>('Raw Values'!$U20+W20)*(0.1^('Raw Values'!$E20/'Raw Values'!$AB20))</f>
        <v>2.447659237</v>
      </c>
      <c r="Y20" s="41">
        <f>('Raw Values'!$U20+X20)*(0.1^('Raw Values'!$E20/'Raw Values'!$AB20))</f>
        <v>2.447661632</v>
      </c>
      <c r="Z20" s="41">
        <f>('Raw Values'!$U20+Y20)*(0.1^('Raw Values'!$E20/'Raw Values'!$AB20))</f>
        <v>2.447662732</v>
      </c>
      <c r="AA20" s="41">
        <f>('Raw Values'!$U20+Z20)*(0.1^('Raw Values'!$E20/'Raw Values'!$AB20))</f>
        <v>2.447663238</v>
      </c>
      <c r="AB20" s="41">
        <f>('Raw Values'!$U20+AA20)*(0.1^('Raw Values'!$E20/'Raw Values'!$AB20))</f>
        <v>2.44766347</v>
      </c>
      <c r="AC20" s="41">
        <f>('Raw Values'!$U20+AB20)*(0.1^('Raw Values'!$E20/'Raw Values'!$AB20))</f>
        <v>2.447663577</v>
      </c>
      <c r="AD20" s="41">
        <f>('Raw Values'!$U20+AC20)*(0.1^('Raw Values'!$E20/'Raw Values'!$AB20))</f>
        <v>2.447663626</v>
      </c>
      <c r="AE20" s="41">
        <f>('Raw Values'!$U20+AD20)*(0.1^('Raw Values'!$E20/'Raw Values'!$AB20))</f>
        <v>2.447663648</v>
      </c>
      <c r="AF20" s="41">
        <f>('Raw Values'!$U20+AE20)*(0.1^('Raw Values'!$E20/'Raw Values'!$AB20))</f>
        <v>2.447663659</v>
      </c>
      <c r="AG20" s="41">
        <f>('Raw Values'!$U20+AF20)*(0.1^('Raw Values'!$E20/'Raw Values'!$AB20))</f>
        <v>2.447663663</v>
      </c>
      <c r="AH20" s="41">
        <f>('Raw Values'!$U20+AG20)*(0.1^('Raw Values'!$E20/'Raw Values'!$AB20))</f>
        <v>2.447663666</v>
      </c>
      <c r="AI20" s="41">
        <f>('Raw Values'!$U20+AH20)*(0.1^('Raw Values'!$E20/'Raw Values'!$AB20))</f>
        <v>2.447663667</v>
      </c>
      <c r="AJ20" s="41">
        <f>('Raw Values'!$U20+AI20)*(0.1^('Raw Values'!$E20/'Raw Values'!$AB20))</f>
        <v>2.447663667</v>
      </c>
    </row>
    <row r="21" ht="15.75" customHeight="1">
      <c r="A21" s="66" t="s">
        <v>150</v>
      </c>
      <c r="B21" s="32">
        <f>'Raw Values'!E21</f>
        <v>0.075</v>
      </c>
      <c r="C21" s="34">
        <f>'Raw Values'!U21</f>
        <v>4.76</v>
      </c>
      <c r="D21" s="43">
        <f>'Raw Values'!AA21</f>
        <v>0.285521</v>
      </c>
      <c r="E21" s="43" t="s">
        <v>209</v>
      </c>
      <c r="F21" s="130"/>
      <c r="G21" s="39">
        <v>0.0</v>
      </c>
      <c r="H21" s="41">
        <f>('Raw Values'!$U21)*(0.1^('Raw Values'!$E21/'Raw Values'!$AA21))</f>
        <v>2.599736019</v>
      </c>
      <c r="I21" s="41">
        <f>('Raw Values'!$U21+H21)*(0.1^('Raw Values'!$E21/'Raw Values'!$AA21))</f>
        <v>4.019615718</v>
      </c>
      <c r="J21" s="41">
        <f>('Raw Values'!$U21+I21)*(0.1^('Raw Values'!$E21/Analysis!$AA21))</f>
        <v>4.795101515</v>
      </c>
      <c r="K21" s="41">
        <f>('Raw Values'!$U21+J21)*(0.1^('Raw Values'!$E21/Analysis!$AB21))</f>
        <v>5.218643187</v>
      </c>
      <c r="L21" s="41">
        <f>('Raw Values'!$U21+K21)*(0.1^('Raw Values'!$E21/'Raw Values'!$AB21))</f>
        <v>5.44996599</v>
      </c>
      <c r="M21" s="41">
        <f>('Raw Values'!$U21+L21)*(0.1^('Raw Values'!$E21/'Raw Values'!$AB21))</f>
        <v>5.576305952</v>
      </c>
      <c r="N21" s="41">
        <f>('Raw Values'!$U21+M21)*(0.1^('Raw Values'!$E21/'Raw Values'!$AB21))</f>
        <v>5.645308169</v>
      </c>
      <c r="O21" s="41">
        <f>('Raw Values'!$U21+N21)*(0.1^('Raw Values'!$E21/'Raw Values'!$AB21))</f>
        <v>5.682994629</v>
      </c>
      <c r="P21" s="41">
        <f>('Raw Values'!$U21+O21)*(0.1^('Raw Values'!$E21/'Raw Values'!$AB21))</f>
        <v>5.70357758</v>
      </c>
      <c r="Q21" s="41">
        <f>('Raw Values'!$U21+P21)*(0.1^('Raw Values'!$E21/'Raw Values'!$AB21))</f>
        <v>5.714819226</v>
      </c>
      <c r="R21" s="41">
        <f>('Raw Values'!$U21+Q21)*(0.1^('Raw Values'!$E21/'Raw Values'!$AB21))</f>
        <v>5.720958998</v>
      </c>
      <c r="S21" s="41">
        <f>('Raw Values'!$U21+R21)*(0.1^('Raw Values'!$E21/'Raw Values'!$AB21))</f>
        <v>5.724312315</v>
      </c>
      <c r="T21" s="41">
        <f>('Raw Values'!$U21+S21)*(0.1^('Raw Values'!$E21/'Raw Values'!$AB21))</f>
        <v>5.726143772</v>
      </c>
      <c r="U21" s="41">
        <f>('Raw Values'!$U21+T21)*(0.1^('Raw Values'!$E21/'Raw Values'!$AB21))</f>
        <v>5.727144046</v>
      </c>
      <c r="V21" s="41">
        <f>('Raw Values'!$U21+U21)*(0.1^('Raw Values'!$E21/'Raw Values'!$AB21))</f>
        <v>5.727690359</v>
      </c>
      <c r="W21" s="41">
        <f>('Raw Values'!$U21+V21)*(0.1^('Raw Values'!$E21/'Raw Values'!$AB21))</f>
        <v>5.727988735</v>
      </c>
      <c r="X21" s="41">
        <f>('Raw Values'!$U21+W21)*(0.1^('Raw Values'!$E21/'Raw Values'!$AB21))</f>
        <v>5.728151697</v>
      </c>
      <c r="Y21" s="41">
        <f>('Raw Values'!$U21+X21)*(0.1^('Raw Values'!$E21/'Raw Values'!$AB21))</f>
        <v>5.728240701</v>
      </c>
      <c r="Z21" s="41">
        <f>('Raw Values'!$U21+Y21)*(0.1^('Raw Values'!$E21/'Raw Values'!$AB21))</f>
        <v>5.728289311</v>
      </c>
      <c r="AA21" s="41">
        <f>('Raw Values'!$U21+Z21)*(0.1^('Raw Values'!$E21/'Raw Values'!$AB21))</f>
        <v>5.728315861</v>
      </c>
      <c r="AB21" s="41">
        <f>('Raw Values'!$U21+AA21)*(0.1^('Raw Values'!$E21/'Raw Values'!$AB21))</f>
        <v>5.728330361</v>
      </c>
      <c r="AC21" s="41">
        <f>('Raw Values'!$U21+AB21)*(0.1^('Raw Values'!$E21/'Raw Values'!$AB21))</f>
        <v>5.72833828</v>
      </c>
      <c r="AD21" s="41">
        <f>('Raw Values'!$U21+AC21)*(0.1^('Raw Values'!$E21/'Raw Values'!$AB21))</f>
        <v>5.728342606</v>
      </c>
      <c r="AE21" s="41">
        <f>('Raw Values'!$U21+AD21)*(0.1^('Raw Values'!$E21/'Raw Values'!$AB21))</f>
        <v>5.728344968</v>
      </c>
      <c r="AF21" s="41">
        <f>('Raw Values'!$U21+AE21)*(0.1^('Raw Values'!$E21/'Raw Values'!$AB21))</f>
        <v>5.728346258</v>
      </c>
      <c r="AG21" s="41">
        <f>('Raw Values'!$U21+AF21)*(0.1^('Raw Values'!$E21/'Raw Values'!$AB21))</f>
        <v>5.728346963</v>
      </c>
      <c r="AH21" s="41">
        <f>('Raw Values'!$U21+AG21)*(0.1^('Raw Values'!$E21/'Raw Values'!$AB21))</f>
        <v>5.728347348</v>
      </c>
      <c r="AI21" s="41">
        <f>('Raw Values'!$U21+AH21)*(0.1^('Raw Values'!$E21/'Raw Values'!$AB21))</f>
        <v>5.728347558</v>
      </c>
      <c r="AJ21" s="41">
        <f>('Raw Values'!$U21+AI21)*(0.1^('Raw Values'!$E21/'Raw Values'!$AB21))</f>
        <v>5.728347673</v>
      </c>
    </row>
    <row r="22" ht="15.75" customHeight="1">
      <c r="A22" s="28" t="s">
        <v>152</v>
      </c>
      <c r="B22" s="32">
        <f>'Raw Values'!E22</f>
        <v>0.08</v>
      </c>
      <c r="C22" s="34">
        <f>'Raw Values'!U22</f>
        <v>2.18</v>
      </c>
      <c r="D22" s="43">
        <f>'Raw Values'!AA22</f>
        <v>0.312494</v>
      </c>
      <c r="E22" s="43" t="s">
        <v>209</v>
      </c>
      <c r="F22" s="130"/>
      <c r="G22" s="39">
        <v>0.0</v>
      </c>
      <c r="H22" s="41">
        <f>('Raw Values'!$U22)*(0.1^('Raw Values'!$E22/'Raw Values'!$AA22))</f>
        <v>1.20907037</v>
      </c>
      <c r="I22" s="41">
        <f>('Raw Values'!$U22+H22)*(0.1^('Raw Values'!$E22/'Raw Values'!$AA22))</f>
        <v>1.879644297</v>
      </c>
      <c r="J22" s="41">
        <f>('Raw Values'!$U22+I22)*(0.1^('Raw Values'!$E22/Analysis!$AA22))</f>
        <v>2.251557629</v>
      </c>
      <c r="K22" s="41">
        <f>('Raw Values'!$U22+J22)*(0.1^('Raw Values'!$E22/Analysis!$AB22))</f>
        <v>2.457827992</v>
      </c>
      <c r="L22" s="41">
        <f>('Raw Values'!$U22+K22)*(0.1^('Raw Values'!$E22/'Raw Values'!$AB22))</f>
        <v>2.572229544</v>
      </c>
      <c r="M22" s="41">
        <f>('Raw Values'!$U22+L22)*(0.1^('Raw Values'!$E22/'Raw Values'!$AB22))</f>
        <v>2.635678869</v>
      </c>
      <c r="N22" s="41">
        <f>('Raw Values'!$U22+M22)*(0.1^('Raw Values'!$E22/'Raw Values'!$AB22))</f>
        <v>2.670869097</v>
      </c>
      <c r="O22" s="41">
        <f>('Raw Values'!$U22+N22)*(0.1^('Raw Values'!$E22/'Raw Values'!$AB22))</f>
        <v>2.690386282</v>
      </c>
      <c r="P22" s="41">
        <f>('Raw Values'!$U22+O22)*(0.1^('Raw Values'!$E22/'Raw Values'!$AB22))</f>
        <v>2.701210892</v>
      </c>
      <c r="Q22" s="41">
        <f>('Raw Values'!$U22+P22)*(0.1^('Raw Values'!$E22/'Raw Values'!$AB22))</f>
        <v>2.707214431</v>
      </c>
      <c r="R22" s="41">
        <f>('Raw Values'!$U22+Q22)*(0.1^('Raw Values'!$E22/'Raw Values'!$AB22))</f>
        <v>2.71054411</v>
      </c>
      <c r="S22" s="41">
        <f>('Raw Values'!$U22+R22)*(0.1^('Raw Values'!$E22/'Raw Values'!$AB22))</f>
        <v>2.712390815</v>
      </c>
      <c r="T22" s="41">
        <f>('Raw Values'!$U22+S22)*(0.1^('Raw Values'!$E22/'Raw Values'!$AB22))</f>
        <v>2.713415034</v>
      </c>
      <c r="U22" s="41">
        <f>('Raw Values'!$U22+T22)*(0.1^('Raw Values'!$E22/'Raw Values'!$AB22))</f>
        <v>2.713983085</v>
      </c>
      <c r="V22" s="41">
        <f>('Raw Values'!$U22+U22)*(0.1^('Raw Values'!$E22/'Raw Values'!$AB22))</f>
        <v>2.714298138</v>
      </c>
      <c r="W22" s="41">
        <f>('Raw Values'!$U22+V22)*(0.1^('Raw Values'!$E22/'Raw Values'!$AB22))</f>
        <v>2.714472872</v>
      </c>
      <c r="X22" s="41">
        <f>('Raw Values'!$U22+W22)*(0.1^('Raw Values'!$E22/'Raw Values'!$AB22))</f>
        <v>2.714569783</v>
      </c>
      <c r="Y22" s="41">
        <f>('Raw Values'!$U22+X22)*(0.1^('Raw Values'!$E22/'Raw Values'!$AB22))</f>
        <v>2.714623531</v>
      </c>
      <c r="Z22" s="41">
        <f>('Raw Values'!$U22+Y22)*(0.1^('Raw Values'!$E22/'Raw Values'!$AB22))</f>
        <v>2.714653341</v>
      </c>
      <c r="AA22" s="41">
        <f>('Raw Values'!$U22+Z22)*(0.1^('Raw Values'!$E22/'Raw Values'!$AB22))</f>
        <v>2.714669875</v>
      </c>
      <c r="AB22" s="41">
        <f>('Raw Values'!$U22+AA22)*(0.1^('Raw Values'!$E22/'Raw Values'!$AB22))</f>
        <v>2.714679044</v>
      </c>
      <c r="AC22" s="41">
        <f>('Raw Values'!$U22+AB22)*(0.1^('Raw Values'!$E22/'Raw Values'!$AB22))</f>
        <v>2.71468413</v>
      </c>
      <c r="AD22" s="41">
        <f>('Raw Values'!$U22+AC22)*(0.1^('Raw Values'!$E22/'Raw Values'!$AB22))</f>
        <v>2.714686951</v>
      </c>
      <c r="AE22" s="41">
        <f>('Raw Values'!$U22+AD22)*(0.1^('Raw Values'!$E22/'Raw Values'!$AB22))</f>
        <v>2.714688515</v>
      </c>
      <c r="AF22" s="41">
        <f>('Raw Values'!$U22+AE22)*(0.1^('Raw Values'!$E22/'Raw Values'!$AB22))</f>
        <v>2.714689383</v>
      </c>
      <c r="AG22" s="41">
        <f>('Raw Values'!$U22+AF22)*(0.1^('Raw Values'!$E22/'Raw Values'!$AB22))</f>
        <v>2.714689864</v>
      </c>
      <c r="AH22" s="41">
        <f>('Raw Values'!$U22+AG22)*(0.1^('Raw Values'!$E22/'Raw Values'!$AB22))</f>
        <v>2.714690131</v>
      </c>
      <c r="AI22" s="41">
        <f>('Raw Values'!$U22+AH22)*(0.1^('Raw Values'!$E22/'Raw Values'!$AB22))</f>
        <v>2.714690279</v>
      </c>
      <c r="AJ22" s="41">
        <f>('Raw Values'!$U22+AI22)*(0.1^('Raw Values'!$E22/'Raw Values'!$AB22))</f>
        <v>2.714690361</v>
      </c>
    </row>
    <row r="23" ht="15.75" customHeight="1">
      <c r="A23" s="28" t="s">
        <v>154</v>
      </c>
      <c r="B23" s="32">
        <f>'Raw Values'!E23</f>
        <v>0.08</v>
      </c>
      <c r="C23" s="34">
        <f>'Raw Values'!U23</f>
        <v>2.18</v>
      </c>
      <c r="D23" s="43">
        <f>'Raw Values'!AA23</f>
        <v>0.312494</v>
      </c>
      <c r="E23" s="43" t="s">
        <v>209</v>
      </c>
      <c r="F23" s="130"/>
      <c r="G23" s="39">
        <v>0.0</v>
      </c>
      <c r="H23" s="41">
        <f>('Raw Values'!$U23)*(0.1^('Raw Values'!$E23/'Raw Values'!$AA23))</f>
        <v>1.20907037</v>
      </c>
      <c r="I23" s="41">
        <f>('Raw Values'!$U23+H23)*(0.1^('Raw Values'!$E23/'Raw Values'!$AA23))</f>
        <v>1.879644297</v>
      </c>
      <c r="J23" s="41">
        <f>('Raw Values'!$U23+I23)*(0.1^('Raw Values'!$E23/Analysis!$AA23))</f>
        <v>2.251557629</v>
      </c>
      <c r="K23" s="41">
        <f>('Raw Values'!$U23+J23)*(0.1^('Raw Values'!$E23/Analysis!$AB23))</f>
        <v>2.457827992</v>
      </c>
      <c r="L23" s="41">
        <f>('Raw Values'!$U23+K23)*(0.1^('Raw Values'!$E23/'Raw Values'!$AB23))</f>
        <v>2.572229544</v>
      </c>
      <c r="M23" s="41">
        <f>('Raw Values'!$U23+L23)*(0.1^('Raw Values'!$E23/'Raw Values'!$AB23))</f>
        <v>2.635678869</v>
      </c>
      <c r="N23" s="41">
        <f>('Raw Values'!$U23+M23)*(0.1^('Raw Values'!$E23/'Raw Values'!$AB23))</f>
        <v>2.670869097</v>
      </c>
      <c r="O23" s="41">
        <f>('Raw Values'!$U23+N23)*(0.1^('Raw Values'!$E23/'Raw Values'!$AB23))</f>
        <v>2.690386282</v>
      </c>
      <c r="P23" s="41">
        <f>('Raw Values'!$U23+O23)*(0.1^('Raw Values'!$E23/'Raw Values'!$AB23))</f>
        <v>2.701210892</v>
      </c>
      <c r="Q23" s="41">
        <f>('Raw Values'!$U23+P23)*(0.1^('Raw Values'!$E23/'Raw Values'!$AB23))</f>
        <v>2.707214431</v>
      </c>
      <c r="R23" s="41">
        <f>('Raw Values'!$U23+Q23)*(0.1^('Raw Values'!$E23/'Raw Values'!$AB23))</f>
        <v>2.71054411</v>
      </c>
      <c r="S23" s="41">
        <f>('Raw Values'!$U23+R23)*(0.1^('Raw Values'!$E23/'Raw Values'!$AB23))</f>
        <v>2.712390815</v>
      </c>
      <c r="T23" s="41">
        <f>('Raw Values'!$U23+S23)*(0.1^('Raw Values'!$E23/'Raw Values'!$AB23))</f>
        <v>2.713415034</v>
      </c>
      <c r="U23" s="41">
        <f>('Raw Values'!$U23+T23)*(0.1^('Raw Values'!$E23/'Raw Values'!$AB23))</f>
        <v>2.713983085</v>
      </c>
      <c r="V23" s="41">
        <f>('Raw Values'!$U23+U23)*(0.1^('Raw Values'!$E23/'Raw Values'!$AB23))</f>
        <v>2.714298138</v>
      </c>
      <c r="W23" s="41">
        <f>('Raw Values'!$U23+V23)*(0.1^('Raw Values'!$E23/'Raw Values'!$AB23))</f>
        <v>2.714472872</v>
      </c>
      <c r="X23" s="41">
        <f>('Raw Values'!$U23+W23)*(0.1^('Raw Values'!$E23/'Raw Values'!$AB23))</f>
        <v>2.714569783</v>
      </c>
      <c r="Y23" s="41">
        <f>('Raw Values'!$U23+X23)*(0.1^('Raw Values'!$E23/'Raw Values'!$AB23))</f>
        <v>2.714623531</v>
      </c>
      <c r="Z23" s="41">
        <f>('Raw Values'!$U23+Y23)*(0.1^('Raw Values'!$E23/'Raw Values'!$AB23))</f>
        <v>2.714653341</v>
      </c>
      <c r="AA23" s="41">
        <f>('Raw Values'!$U23+Z23)*(0.1^('Raw Values'!$E23/'Raw Values'!$AB23))</f>
        <v>2.714669875</v>
      </c>
      <c r="AB23" s="41">
        <f>('Raw Values'!$U23+AA23)*(0.1^('Raw Values'!$E23/'Raw Values'!$AB23))</f>
        <v>2.714679044</v>
      </c>
      <c r="AC23" s="41">
        <f>('Raw Values'!$U23+AB23)*(0.1^('Raw Values'!$E23/'Raw Values'!$AB23))</f>
        <v>2.71468413</v>
      </c>
      <c r="AD23" s="41">
        <f>('Raw Values'!$U23+AC23)*(0.1^('Raw Values'!$E23/'Raw Values'!$AB23))</f>
        <v>2.714686951</v>
      </c>
      <c r="AE23" s="41">
        <f>('Raw Values'!$U23+AD23)*(0.1^('Raw Values'!$E23/'Raw Values'!$AB23))</f>
        <v>2.714688515</v>
      </c>
      <c r="AF23" s="41">
        <f>('Raw Values'!$U23+AE23)*(0.1^('Raw Values'!$E23/'Raw Values'!$AB23))</f>
        <v>2.714689383</v>
      </c>
      <c r="AG23" s="41">
        <f>('Raw Values'!$U23+AF23)*(0.1^('Raw Values'!$E23/'Raw Values'!$AB23))</f>
        <v>2.714689864</v>
      </c>
      <c r="AH23" s="41">
        <f>('Raw Values'!$U23+AG23)*(0.1^('Raw Values'!$E23/'Raw Values'!$AB23))</f>
        <v>2.714690131</v>
      </c>
      <c r="AI23" s="41">
        <f>('Raw Values'!$U23+AH23)*(0.1^('Raw Values'!$E23/'Raw Values'!$AB23))</f>
        <v>2.714690279</v>
      </c>
      <c r="AJ23" s="41">
        <f>('Raw Values'!$U23+AI23)*(0.1^('Raw Values'!$E23/'Raw Values'!$AB23))</f>
        <v>2.714690361</v>
      </c>
    </row>
    <row r="24" ht="15.75" customHeight="1">
      <c r="A24" s="61" t="s">
        <v>156</v>
      </c>
      <c r="B24" s="32">
        <f>'Raw Values'!E24</f>
        <v>0.07</v>
      </c>
      <c r="C24" s="34">
        <f>'Raw Values'!U24</f>
        <v>3.7</v>
      </c>
      <c r="D24" s="43">
        <f>'Raw Values'!AA24</f>
        <v>0.184207</v>
      </c>
      <c r="E24" s="43" t="s">
        <v>209</v>
      </c>
      <c r="F24" s="130"/>
      <c r="G24" s="39">
        <v>0.0</v>
      </c>
      <c r="H24" s="41">
        <f>('Raw Values'!$U24)*(0.1^('Raw Values'!$E24/'Raw Values'!$AA24))</f>
        <v>1.542390884</v>
      </c>
      <c r="I24" s="41">
        <f>('Raw Values'!$U24+H24)*(0.1^('Raw Values'!$E24/'Raw Values'!$AA24))</f>
        <v>2.185355651</v>
      </c>
      <c r="J24" s="41">
        <f>('Raw Values'!$U24+I24)*(0.1^('Raw Values'!$E24/Analysis!$AA24))</f>
        <v>2.453383487</v>
      </c>
      <c r="K24" s="41">
        <f>('Raw Values'!$U24+J24)*(0.1^('Raw Values'!$E24/Analysis!$AB24))</f>
        <v>2.565114215</v>
      </c>
      <c r="L24" s="41">
        <f>('Raw Values'!$U24+K24)*(0.1^('Raw Values'!$E24/'Raw Values'!$AB24))</f>
        <v>2.611690554</v>
      </c>
      <c r="M24" s="41">
        <f>('Raw Values'!$U24+L24)*(0.1^('Raw Values'!$E24/'Raw Values'!$AB24))</f>
        <v>2.631106478</v>
      </c>
      <c r="N24" s="41">
        <f>('Raw Values'!$U24+M24)*(0.1^('Raw Values'!$E24/'Raw Values'!$AB24))</f>
        <v>2.639200247</v>
      </c>
      <c r="O24" s="41">
        <f>('Raw Values'!$U24+N24)*(0.1^('Raw Values'!$E24/'Raw Values'!$AB24))</f>
        <v>2.642574235</v>
      </c>
      <c r="P24" s="41">
        <f>('Raw Values'!$U24+O24)*(0.1^('Raw Values'!$E24/'Raw Values'!$AB24))</f>
        <v>2.643980724</v>
      </c>
      <c r="Q24" s="41">
        <f>('Raw Values'!$U24+P24)*(0.1^('Raw Values'!$E24/'Raw Values'!$AB24))</f>
        <v>2.644567036</v>
      </c>
      <c r="R24" s="41">
        <f>('Raw Values'!$U24+Q24)*(0.1^('Raw Values'!$E24/'Raw Values'!$AB24))</f>
        <v>2.644811448</v>
      </c>
      <c r="S24" s="41">
        <f>('Raw Values'!$U24+R24)*(0.1^('Raw Values'!$E24/'Raw Values'!$AB24))</f>
        <v>2.644913334</v>
      </c>
      <c r="T24" s="41">
        <f>('Raw Values'!$U24+S24)*(0.1^('Raw Values'!$E24/'Raw Values'!$AB24))</f>
        <v>2.644955806</v>
      </c>
      <c r="U24" s="41">
        <f>('Raw Values'!$U24+T24)*(0.1^('Raw Values'!$E24/'Raw Values'!$AB24))</f>
        <v>2.644973512</v>
      </c>
      <c r="V24" s="41">
        <f>('Raw Values'!$U24+U24)*(0.1^('Raw Values'!$E24/'Raw Values'!$AB24))</f>
        <v>2.644980892</v>
      </c>
      <c r="W24" s="41">
        <f>('Raw Values'!$U24+V24)*(0.1^('Raw Values'!$E24/'Raw Values'!$AB24))</f>
        <v>2.644983969</v>
      </c>
      <c r="X24" s="41">
        <f>('Raw Values'!$U24+W24)*(0.1^('Raw Values'!$E24/'Raw Values'!$AB24))</f>
        <v>2.644985251</v>
      </c>
      <c r="Y24" s="41">
        <f>('Raw Values'!$U24+X24)*(0.1^('Raw Values'!$E24/'Raw Values'!$AB24))</f>
        <v>2.644985786</v>
      </c>
      <c r="Z24" s="41">
        <f>('Raw Values'!$U24+Y24)*(0.1^('Raw Values'!$E24/'Raw Values'!$AB24))</f>
        <v>2.644986009</v>
      </c>
      <c r="AA24" s="41">
        <f>('Raw Values'!$U24+Z24)*(0.1^('Raw Values'!$E24/'Raw Values'!$AB24))</f>
        <v>2.644986102</v>
      </c>
      <c r="AB24" s="41">
        <f>('Raw Values'!$U24+AA24)*(0.1^('Raw Values'!$E24/'Raw Values'!$AB24))</f>
        <v>2.644986141</v>
      </c>
      <c r="AC24" s="41">
        <f>('Raw Values'!$U24+AB24)*(0.1^('Raw Values'!$E24/'Raw Values'!$AB24))</f>
        <v>2.644986157</v>
      </c>
      <c r="AD24" s="41">
        <f>('Raw Values'!$U24+AC24)*(0.1^('Raw Values'!$E24/'Raw Values'!$AB24))</f>
        <v>2.644986163</v>
      </c>
      <c r="AE24" s="41">
        <f>('Raw Values'!$U24+AD24)*(0.1^('Raw Values'!$E24/'Raw Values'!$AB24))</f>
        <v>2.644986166</v>
      </c>
      <c r="AF24" s="41">
        <f>('Raw Values'!$U24+AE24)*(0.1^('Raw Values'!$E24/'Raw Values'!$AB24))</f>
        <v>2.644986167</v>
      </c>
      <c r="AG24" s="41">
        <f>('Raw Values'!$U24+AF24)*(0.1^('Raw Values'!$E24/'Raw Values'!$AB24))</f>
        <v>2.644986168</v>
      </c>
      <c r="AH24" s="41">
        <f>('Raw Values'!$U24+AG24)*(0.1^('Raw Values'!$E24/'Raw Values'!$AB24))</f>
        <v>2.644986168</v>
      </c>
      <c r="AI24" s="41">
        <f>('Raw Values'!$U24+AH24)*(0.1^('Raw Values'!$E24/'Raw Values'!$AB24))</f>
        <v>2.644986168</v>
      </c>
      <c r="AJ24" s="41">
        <f>('Raw Values'!$U24+AI24)*(0.1^('Raw Values'!$E24/'Raw Values'!$AB24))</f>
        <v>2.644986168</v>
      </c>
    </row>
    <row r="25" ht="15.75" customHeight="1">
      <c r="A25" s="28" t="s">
        <v>158</v>
      </c>
      <c r="B25" s="32">
        <f>'Raw Values'!E25</f>
        <v>0.07</v>
      </c>
      <c r="C25" s="34">
        <f>'Raw Values'!U25</f>
        <v>2.85</v>
      </c>
      <c r="D25" s="43">
        <f>'Raw Values'!AA25</f>
        <v>0.265784</v>
      </c>
      <c r="E25" s="43" t="s">
        <v>209</v>
      </c>
      <c r="F25" s="130"/>
      <c r="G25" s="39">
        <v>0.0</v>
      </c>
      <c r="H25" s="41">
        <f>('Raw Values'!$U25)*(0.1^('Raw Values'!$E25/'Raw Values'!$AA25))</f>
        <v>1.554079027</v>
      </c>
      <c r="I25" s="41">
        <f>('Raw Values'!$U25+H25)*(0.1^('Raw Values'!$E25/'Raw Values'!$AA25))</f>
        <v>2.401504158</v>
      </c>
      <c r="J25" s="41">
        <f>('Raw Values'!$U25+I25)*(0.1^('Raw Values'!$E25/Analysis!$AA25))</f>
        <v>2.863597358</v>
      </c>
      <c r="K25" s="41">
        <f>('Raw Values'!$U25+J25)*(0.1^('Raw Values'!$E25/Analysis!$AB25))</f>
        <v>3.11557257</v>
      </c>
      <c r="L25" s="41">
        <f>('Raw Values'!$U25+K25)*(0.1^('Raw Values'!$E25/'Raw Values'!$AB25))</f>
        <v>3.252972356</v>
      </c>
      <c r="M25" s="41">
        <f>('Raw Values'!$U25+L25)*(0.1^('Raw Values'!$E25/'Raw Values'!$AB25))</f>
        <v>3.327895207</v>
      </c>
      <c r="N25" s="41">
        <f>('Raw Values'!$U25+M25)*(0.1^('Raw Values'!$E25/'Raw Values'!$AB25))</f>
        <v>3.368749955</v>
      </c>
      <c r="O25" s="41">
        <f>('Raw Values'!$U25+N25)*(0.1^('Raw Values'!$E25/'Raw Values'!$AB25))</f>
        <v>3.391027677</v>
      </c>
      <c r="P25" s="41">
        <f>('Raw Values'!$U25+O25)*(0.1^('Raw Values'!$E25/'Raw Values'!$AB25))</f>
        <v>3.403175516</v>
      </c>
      <c r="Q25" s="41">
        <f>('Raw Values'!$U25+P25)*(0.1^('Raw Values'!$E25/'Raw Values'!$AB25))</f>
        <v>3.409799621</v>
      </c>
      <c r="R25" s="41">
        <f>('Raw Values'!$U25+Q25)*(0.1^('Raw Values'!$E25/'Raw Values'!$AB25))</f>
        <v>3.413411686</v>
      </c>
      <c r="S25" s="41">
        <f>('Raw Values'!$U25+R25)*(0.1^('Raw Values'!$E25/'Raw Values'!$AB25))</f>
        <v>3.415381312</v>
      </c>
      <c r="T25" s="41">
        <f>('Raw Values'!$U25+S25)*(0.1^('Raw Values'!$E25/'Raw Values'!$AB25))</f>
        <v>3.416455331</v>
      </c>
      <c r="U25" s="41">
        <f>('Raw Values'!$U25+T25)*(0.1^('Raw Values'!$E25/'Raw Values'!$AB25))</f>
        <v>3.417040984</v>
      </c>
      <c r="V25" s="41">
        <f>('Raw Values'!$U25+U25)*(0.1^('Raw Values'!$E25/'Raw Values'!$AB25))</f>
        <v>3.417360335</v>
      </c>
      <c r="W25" s="41">
        <f>('Raw Values'!$U25+V25)*(0.1^('Raw Values'!$E25/'Raw Values'!$AB25))</f>
        <v>3.417534474</v>
      </c>
      <c r="X25" s="41">
        <f>('Raw Values'!$U25+W25)*(0.1^('Raw Values'!$E25/'Raw Values'!$AB25))</f>
        <v>3.417629431</v>
      </c>
      <c r="Y25" s="41">
        <f>('Raw Values'!$U25+X25)*(0.1^('Raw Values'!$E25/'Raw Values'!$AB25))</f>
        <v>3.417681209</v>
      </c>
      <c r="Z25" s="41">
        <f>('Raw Values'!$U25+Y25)*(0.1^('Raw Values'!$E25/'Raw Values'!$AB25))</f>
        <v>3.417709444</v>
      </c>
      <c r="AA25" s="41">
        <f>('Raw Values'!$U25+Z25)*(0.1^('Raw Values'!$E25/'Raw Values'!$AB25))</f>
        <v>3.41772484</v>
      </c>
      <c r="AB25" s="41">
        <f>('Raw Values'!$U25+AA25)*(0.1^('Raw Values'!$E25/'Raw Values'!$AB25))</f>
        <v>3.417733235</v>
      </c>
      <c r="AC25" s="41">
        <f>('Raw Values'!$U25+AB25)*(0.1^('Raw Values'!$E25/'Raw Values'!$AB25))</f>
        <v>3.417737813</v>
      </c>
      <c r="AD25" s="41">
        <f>('Raw Values'!$U25+AC25)*(0.1^('Raw Values'!$E25/'Raw Values'!$AB25))</f>
        <v>3.41774031</v>
      </c>
      <c r="AE25" s="41">
        <f>('Raw Values'!$U25+AD25)*(0.1^('Raw Values'!$E25/'Raw Values'!$AB25))</f>
        <v>3.417741671</v>
      </c>
      <c r="AF25" s="41">
        <f>('Raw Values'!$U25+AE25)*(0.1^('Raw Values'!$E25/'Raw Values'!$AB25))</f>
        <v>3.417742413</v>
      </c>
      <c r="AG25" s="41">
        <f>('Raw Values'!$U25+AF25)*(0.1^('Raw Values'!$E25/'Raw Values'!$AB25))</f>
        <v>3.417742818</v>
      </c>
      <c r="AH25" s="41">
        <f>('Raw Values'!$U25+AG25)*(0.1^('Raw Values'!$E25/'Raw Values'!$AB25))</f>
        <v>3.417743039</v>
      </c>
      <c r="AI25" s="41">
        <f>('Raw Values'!$U25+AH25)*(0.1^('Raw Values'!$E25/'Raw Values'!$AB25))</f>
        <v>3.417743159</v>
      </c>
      <c r="AJ25" s="41">
        <f>('Raw Values'!$U25+AI25)*(0.1^('Raw Values'!$E25/'Raw Values'!$AB25))</f>
        <v>3.417743224</v>
      </c>
    </row>
    <row r="26" ht="15.75" customHeight="1">
      <c r="A26" s="28" t="s">
        <v>160</v>
      </c>
      <c r="B26" s="32">
        <f>'Raw Values'!E26</f>
        <v>0.09</v>
      </c>
      <c r="C26" s="34">
        <f>'Raw Values'!U26</f>
        <v>3.42</v>
      </c>
      <c r="D26" s="43">
        <f>'Raw Values'!AA26</f>
        <v>0.249995</v>
      </c>
      <c r="E26" s="43" t="s">
        <v>209</v>
      </c>
      <c r="F26" s="130"/>
      <c r="G26" s="39">
        <v>0.0</v>
      </c>
      <c r="H26" s="41">
        <f>('Raw Values'!$U26)*(0.1^('Raw Values'!$E26/'Raw Values'!$AA26))</f>
        <v>1.492859396</v>
      </c>
      <c r="I26" s="41">
        <f>('Raw Values'!$U26+H26)*(0.1^('Raw Values'!$E26/'Raw Values'!$AA26))</f>
        <v>2.144505354</v>
      </c>
      <c r="J26" s="41">
        <f>('Raw Values'!$U26+I26)*(0.1^('Raw Values'!$E26/Analysis!$AA26))</f>
        <v>2.428954416</v>
      </c>
      <c r="K26" s="41">
        <f>('Raw Values'!$U26+J26)*(0.1^('Raw Values'!$E26/Analysis!$AB26))</f>
        <v>2.553118876</v>
      </c>
      <c r="L26" s="41">
        <f>('Raw Values'!$U26+K26)*(0.1^('Raw Values'!$E26/'Raw Values'!$AB26))</f>
        <v>2.60731773</v>
      </c>
      <c r="M26" s="41">
        <f>('Raw Values'!$U26+L26)*(0.1^('Raw Values'!$E26/'Raw Values'!$AB26))</f>
        <v>2.630975996</v>
      </c>
      <c r="N26" s="41">
        <f>('Raw Values'!$U26+M26)*(0.1^('Raw Values'!$E26/'Raw Values'!$AB26))</f>
        <v>2.641303032</v>
      </c>
      <c r="O26" s="41">
        <f>('Raw Values'!$U26+N26)*(0.1^('Raw Values'!$E26/'Raw Values'!$AB26))</f>
        <v>2.645810873</v>
      </c>
      <c r="P26" s="41">
        <f>('Raw Values'!$U26+O26)*(0.1^('Raw Values'!$E26/'Raw Values'!$AB26))</f>
        <v>2.647778584</v>
      </c>
      <c r="Q26" s="41">
        <f>('Raw Values'!$U26+P26)*(0.1^('Raw Values'!$E26/'Raw Values'!$AB26))</f>
        <v>2.648637506</v>
      </c>
      <c r="R26" s="41">
        <f>('Raw Values'!$U26+Q26)*(0.1^('Raw Values'!$E26/'Raw Values'!$AB26))</f>
        <v>2.649012433</v>
      </c>
      <c r="S26" s="41">
        <f>('Raw Values'!$U26+R26)*(0.1^('Raw Values'!$E26/'Raw Values'!$AB26))</f>
        <v>2.649176092</v>
      </c>
      <c r="T26" s="41">
        <f>('Raw Values'!$U26+S26)*(0.1^('Raw Values'!$E26/'Raw Values'!$AB26))</f>
        <v>2.649247531</v>
      </c>
      <c r="U26" s="41">
        <f>('Raw Values'!$U26+T26)*(0.1^('Raw Values'!$E26/'Raw Values'!$AB26))</f>
        <v>2.649278714</v>
      </c>
      <c r="V26" s="41">
        <f>('Raw Values'!$U26+U26)*(0.1^('Raw Values'!$E26/'Raw Values'!$AB26))</f>
        <v>2.649292326</v>
      </c>
      <c r="W26" s="41">
        <f>('Raw Values'!$U26+V26)*(0.1^('Raw Values'!$E26/'Raw Values'!$AB26))</f>
        <v>2.649298268</v>
      </c>
      <c r="X26" s="41">
        <f>('Raw Values'!$U26+W26)*(0.1^('Raw Values'!$E26/'Raw Values'!$AB26))</f>
        <v>2.649300862</v>
      </c>
      <c r="Y26" s="41">
        <f>('Raw Values'!$U26+X26)*(0.1^('Raw Values'!$E26/'Raw Values'!$AB26))</f>
        <v>2.649301994</v>
      </c>
      <c r="Z26" s="41">
        <f>('Raw Values'!$U26+Y26)*(0.1^('Raw Values'!$E26/'Raw Values'!$AB26))</f>
        <v>2.649302488</v>
      </c>
      <c r="AA26" s="41">
        <f>('Raw Values'!$U26+Z26)*(0.1^('Raw Values'!$E26/'Raw Values'!$AB26))</f>
        <v>2.649302704</v>
      </c>
      <c r="AB26" s="41">
        <f>('Raw Values'!$U26+AA26)*(0.1^('Raw Values'!$E26/'Raw Values'!$AB26))</f>
        <v>2.649302798</v>
      </c>
      <c r="AC26" s="41">
        <f>('Raw Values'!$U26+AB26)*(0.1^('Raw Values'!$E26/'Raw Values'!$AB26))</f>
        <v>2.649302839</v>
      </c>
      <c r="AD26" s="41">
        <f>('Raw Values'!$U26+AC26)*(0.1^('Raw Values'!$E26/'Raw Values'!$AB26))</f>
        <v>2.649302857</v>
      </c>
      <c r="AE26" s="41">
        <f>('Raw Values'!$U26+AD26)*(0.1^('Raw Values'!$E26/'Raw Values'!$AB26))</f>
        <v>2.649302865</v>
      </c>
      <c r="AF26" s="41"/>
      <c r="AG26" s="41"/>
      <c r="AH26" s="41"/>
      <c r="AI26" s="41"/>
      <c r="AJ26" s="41"/>
    </row>
    <row r="27" ht="15.75" customHeight="1">
      <c r="A27" s="75"/>
      <c r="B27" s="77"/>
      <c r="C27" s="79"/>
      <c r="D27" s="132"/>
      <c r="E27" s="132"/>
      <c r="F27" s="133"/>
      <c r="G27" s="79"/>
      <c r="H27" s="79"/>
      <c r="I27" s="79"/>
      <c r="J27" s="34"/>
      <c r="K27" s="79"/>
      <c r="L27" s="79"/>
      <c r="M27" s="79"/>
      <c r="N27" s="79"/>
      <c r="O27" s="79"/>
      <c r="P27" s="79"/>
      <c r="Q27" s="79"/>
      <c r="R27" s="79"/>
      <c r="S27" s="79"/>
      <c r="T27" s="79"/>
      <c r="U27" s="79"/>
      <c r="V27" s="79"/>
      <c r="W27" s="79"/>
      <c r="X27" s="79"/>
      <c r="Y27" s="79"/>
      <c r="Z27" s="79"/>
      <c r="AA27" s="79"/>
      <c r="AB27" s="79"/>
      <c r="AC27" s="79"/>
      <c r="AD27" s="79"/>
      <c r="AE27" s="79"/>
      <c r="AF27" s="79"/>
      <c r="AG27" s="79"/>
      <c r="AH27" s="79"/>
      <c r="AI27" s="79"/>
      <c r="AJ27" s="79"/>
    </row>
    <row r="28" ht="15.75" customHeight="1">
      <c r="A28" s="5" t="s">
        <v>161</v>
      </c>
      <c r="B28" s="11" t="s">
        <v>19</v>
      </c>
      <c r="C28" s="9" t="s">
        <v>204</v>
      </c>
      <c r="D28" s="21" t="s">
        <v>220</v>
      </c>
      <c r="E28" s="21" t="s">
        <v>221</v>
      </c>
      <c r="F28" s="125"/>
      <c r="G28" s="127">
        <v>1.0</v>
      </c>
      <c r="H28" s="127">
        <v>2.0</v>
      </c>
      <c r="I28" s="127">
        <v>3.0</v>
      </c>
      <c r="J28" s="127">
        <v>4.0</v>
      </c>
      <c r="K28" s="127">
        <v>5.0</v>
      </c>
      <c r="L28" s="127">
        <v>6.0</v>
      </c>
      <c r="M28" s="127">
        <v>7.0</v>
      </c>
      <c r="N28" s="127">
        <v>8.0</v>
      </c>
      <c r="O28" s="127">
        <v>9.0</v>
      </c>
      <c r="P28" s="127">
        <v>10.0</v>
      </c>
      <c r="Q28" s="127">
        <v>11.0</v>
      </c>
      <c r="R28" s="127">
        <v>12.0</v>
      </c>
      <c r="S28" s="127">
        <v>13.0</v>
      </c>
      <c r="T28" s="127">
        <v>14.0</v>
      </c>
      <c r="U28" s="127">
        <v>15.0</v>
      </c>
      <c r="V28" s="127">
        <v>16.0</v>
      </c>
      <c r="W28" s="127">
        <v>17.0</v>
      </c>
      <c r="X28" s="127">
        <v>18.0</v>
      </c>
      <c r="Y28" s="127">
        <v>19.0</v>
      </c>
      <c r="Z28" s="127">
        <v>20.0</v>
      </c>
      <c r="AA28" s="127">
        <v>21.0</v>
      </c>
      <c r="AB28" s="127">
        <v>22.0</v>
      </c>
      <c r="AC28" s="127">
        <v>23.0</v>
      </c>
      <c r="AD28" s="127">
        <v>24.0</v>
      </c>
      <c r="AE28" s="127">
        <v>25.0</v>
      </c>
      <c r="AF28" s="127">
        <v>26.0</v>
      </c>
      <c r="AG28" s="127">
        <v>27.0</v>
      </c>
      <c r="AH28" s="127">
        <v>28.0</v>
      </c>
      <c r="AI28" s="127">
        <v>29.0</v>
      </c>
      <c r="AJ28" s="127">
        <v>30.0</v>
      </c>
    </row>
    <row r="29" ht="15.75" customHeight="1">
      <c r="A29" s="66" t="s">
        <v>164</v>
      </c>
      <c r="B29" s="32">
        <f>'Raw Values'!E29</f>
        <v>0.1</v>
      </c>
      <c r="C29" s="34">
        <f>'Raw Values'!U29</f>
        <v>7.8</v>
      </c>
      <c r="D29" s="43">
        <f>'Raw Values'!AA29</f>
        <v>0.305257</v>
      </c>
      <c r="E29" s="43">
        <f>'Raw Values'!AB29</f>
        <v>0.419728</v>
      </c>
      <c r="F29" s="130"/>
      <c r="G29" s="39">
        <v>0.0</v>
      </c>
      <c r="H29" s="41">
        <f>('Raw Values'!$U29)*(0.1^('Raw Values'!$E29/'Raw Values'!$AA29))</f>
        <v>3.668612044</v>
      </c>
      <c r="I29" s="41">
        <f>('Raw Values'!$U29+H29)*(0.1^('Raw Values'!$E29/'Raw Values'!$AA29))</f>
        <v>5.394088239</v>
      </c>
      <c r="J29" s="41">
        <f>('Raw Values'!$U29+I29)*(0.1^('Raw Values'!$E29/Analysis!$AA29))</f>
        <v>6.74816456</v>
      </c>
      <c r="K29" s="41">
        <f>('Raw Values'!$U29+J29)*(0.1^('Raw Values'!$E29/Analysis!$AB29))</f>
        <v>7.956714607</v>
      </c>
      <c r="L29" s="41">
        <f>('Raw Values'!$U29+K29)*(0.1^('Raw Values'!$E29/'Raw Values'!$AB29))</f>
        <v>9.103662231</v>
      </c>
      <c r="M29" s="41">
        <f>('Raw Values'!$U29+L29)*(0.1^('Raw Values'!$E29/'Raw Values'!$AB29))</f>
        <v>9.766327261</v>
      </c>
      <c r="N29" s="41">
        <f>('Raw Values'!$U29+M29)*(0.1^('Raw Values'!$E29/'Raw Values'!$AB29))</f>
        <v>10.14919125</v>
      </c>
      <c r="O29" s="41">
        <f>('Raw Values'!$U29+N29)*(0.1^('Raw Values'!$E29/'Raw Values'!$AB29))</f>
        <v>10.37039627</v>
      </c>
      <c r="P29" s="41">
        <f>('Raw Values'!$U29+O29)*(0.1^('Raw Values'!$E29/'Raw Values'!$AB29))</f>
        <v>10.49820057</v>
      </c>
      <c r="Q29" s="41">
        <f>('Raw Values'!$U29+P29)*(0.1^('Raw Values'!$E29/'Raw Values'!$AB29))</f>
        <v>10.57204129</v>
      </c>
      <c r="R29" s="41">
        <f>('Raw Values'!$U29+Q29)*(0.1^('Raw Values'!$E29/'Raw Values'!$AB29))</f>
        <v>10.6147038</v>
      </c>
      <c r="S29" s="41">
        <f>('Raw Values'!$U29+R29)*(0.1^('Raw Values'!$E29/'Raw Values'!$AB29))</f>
        <v>10.63935266</v>
      </c>
      <c r="T29" s="41">
        <f>('Raw Values'!$U29+S29)*(0.1^('Raw Values'!$E29/'Raw Values'!$AB29))</f>
        <v>10.65359388</v>
      </c>
      <c r="U29" s="41">
        <f>('Raw Values'!$U29+T29)*(0.1^('Raw Values'!$E29/'Raw Values'!$AB29))</f>
        <v>10.66182195</v>
      </c>
      <c r="V29" s="41">
        <f>('Raw Values'!$U29+U29)*(0.1^('Raw Values'!$E29/'Raw Values'!$AB29))</f>
        <v>10.66657583</v>
      </c>
      <c r="W29" s="41">
        <f>('Raw Values'!$U29+V29)*(0.1^('Raw Values'!$E29/'Raw Values'!$AB29))</f>
        <v>10.66932245</v>
      </c>
      <c r="X29" s="41">
        <f>('Raw Values'!$U29+W29)*(0.1^('Raw Values'!$E29/'Raw Values'!$AB29))</f>
        <v>10.67090935</v>
      </c>
      <c r="Y29" s="41">
        <f>('Raw Values'!$U29+X29)*(0.1^('Raw Values'!$E29/'Raw Values'!$AB29))</f>
        <v>10.6718262</v>
      </c>
      <c r="Z29" s="41">
        <f>('Raw Values'!$U29+Y29)*(0.1^('Raw Values'!$E29/'Raw Values'!$AB29))</f>
        <v>10.67235593</v>
      </c>
      <c r="AA29" s="41">
        <f>('Raw Values'!$U29+Z29)*(0.1^('Raw Values'!$E29/'Raw Values'!$AB29))</f>
        <v>10.67266198</v>
      </c>
      <c r="AB29" s="41">
        <f>('Raw Values'!$U29+AA29)*(0.1^('Raw Values'!$E29/'Raw Values'!$AB29))</f>
        <v>10.67283881</v>
      </c>
      <c r="AC29" s="41">
        <f>('Raw Values'!$U29+AB29)*(0.1^('Raw Values'!$E29/'Raw Values'!$AB29))</f>
        <v>10.67294098</v>
      </c>
      <c r="AD29" s="41">
        <f>('Raw Values'!$U29+AC29)*(0.1^('Raw Values'!$E29/'Raw Values'!$AB29))</f>
        <v>10.673</v>
      </c>
      <c r="AE29" s="41">
        <f>('Raw Values'!$U29+AD29)*(0.1^('Raw Values'!$E29/'Raw Values'!$AB29))</f>
        <v>10.67303411</v>
      </c>
      <c r="AF29" s="41">
        <f>('Raw Values'!$U29+AE29)*(0.1^('Raw Values'!$E29/'Raw Values'!$AB29))</f>
        <v>10.67305381</v>
      </c>
      <c r="AG29" s="41">
        <f>('Raw Values'!$U29+AF29)*(0.1^('Raw Values'!$E29/'Raw Values'!$AB29))</f>
        <v>10.6730652</v>
      </c>
      <c r="AH29" s="41">
        <f>('Raw Values'!$U29+AG29)*(0.1^('Raw Values'!$E29/'Raw Values'!$AB29))</f>
        <v>10.67307177</v>
      </c>
      <c r="AI29" s="41">
        <f>('Raw Values'!$U29+AH29)*(0.1^('Raw Values'!$E29/'Raw Values'!$AB29))</f>
        <v>10.67307557</v>
      </c>
      <c r="AJ29" s="41">
        <f>('Raw Values'!$U29+AI29)*(0.1^('Raw Values'!$E29/'Raw Values'!$AB29))</f>
        <v>10.67307777</v>
      </c>
    </row>
    <row r="30" ht="15.75" customHeight="1">
      <c r="A30" s="61" t="s">
        <v>166</v>
      </c>
      <c r="B30" s="32">
        <f>'Raw Values'!E30</f>
        <v>0.1</v>
      </c>
      <c r="C30" s="34">
        <f>'Raw Values'!U30</f>
        <v>7.29</v>
      </c>
      <c r="D30" s="43">
        <f>'Raw Values'!AA30</f>
        <v>0.30552</v>
      </c>
      <c r="E30" s="43" t="s">
        <v>209</v>
      </c>
      <c r="F30" s="130"/>
      <c r="G30" s="39">
        <v>0.0</v>
      </c>
      <c r="H30" s="41">
        <f>('Raw Values'!$U30)*(0.1^('Raw Values'!$E30/'Raw Values'!$AA30))</f>
        <v>3.430968367</v>
      </c>
      <c r="I30" s="41">
        <f>('Raw Values'!$U30+H30)*(0.1^('Raw Values'!$E30/'Raw Values'!$AA30))</f>
        <v>5.045720622</v>
      </c>
      <c r="J30" s="41">
        <f>('Raw Values'!$U30+I30)*(0.1^('Raw Values'!$E30/Analysis!$AA30))</f>
        <v>5.805688236</v>
      </c>
      <c r="K30" s="41">
        <f>('Raw Values'!$U30+J30)*(0.1^('Raw Values'!$E30/Analysis!$AB30))</f>
        <v>6.163359682</v>
      </c>
      <c r="L30" s="41">
        <f>('Raw Values'!$U30+K30)*(0.1^('Raw Values'!$E30/'Raw Values'!$AB30))</f>
        <v>6.331694308</v>
      </c>
      <c r="M30" s="41">
        <f>('Raw Values'!$U30+L30)*(0.1^('Raw Values'!$E30/'Raw Values'!$AB30))</f>
        <v>6.41091938</v>
      </c>
      <c r="N30" s="41">
        <f>('Raw Values'!$U30+M30)*(0.1^('Raw Values'!$E30/'Raw Values'!$AB30))</f>
        <v>6.448205897</v>
      </c>
      <c r="O30" s="41">
        <f>('Raw Values'!$U30+N30)*(0.1^('Raw Values'!$E30/'Raw Values'!$AB30))</f>
        <v>6.465754438</v>
      </c>
      <c r="P30" s="41">
        <f>('Raw Values'!$U30+O30)*(0.1^('Raw Values'!$E30/'Raw Values'!$AB30))</f>
        <v>6.47401349</v>
      </c>
      <c r="Q30" s="41">
        <f>('Raw Values'!$U30+P30)*(0.1^('Raw Values'!$E30/'Raw Values'!$AB30))</f>
        <v>6.477900534</v>
      </c>
      <c r="R30" s="41">
        <f>('Raw Values'!$U30+Q30)*(0.1^('Raw Values'!$E30/'Raw Values'!$AB30))</f>
        <v>6.479729933</v>
      </c>
      <c r="S30" s="41">
        <f>('Raw Values'!$U30+R30)*(0.1^('Raw Values'!$E30/'Raw Values'!$AB30))</f>
        <v>6.480590923</v>
      </c>
      <c r="T30" s="41">
        <f>('Raw Values'!$U30+S30)*(0.1^('Raw Values'!$E30/'Raw Values'!$AB30))</f>
        <v>6.480996139</v>
      </c>
      <c r="U30" s="41">
        <f>('Raw Values'!$U30+T30)*(0.1^('Raw Values'!$E30/'Raw Values'!$AB30))</f>
        <v>6.48118685</v>
      </c>
      <c r="V30" s="41">
        <f>('Raw Values'!$U30+U30)*(0.1^('Raw Values'!$E30/'Raw Values'!$AB30))</f>
        <v>6.481276606</v>
      </c>
      <c r="W30" s="41">
        <f>('Raw Values'!$U30+V30)*(0.1^('Raw Values'!$E30/'Raw Values'!$AB30))</f>
        <v>6.481318849</v>
      </c>
      <c r="X30" s="41">
        <f>('Raw Values'!$U30+W30)*(0.1^('Raw Values'!$E30/'Raw Values'!$AB30))</f>
        <v>6.481338731</v>
      </c>
      <c r="Y30" s="41">
        <f>('Raw Values'!$U30+X30)*(0.1^('Raw Values'!$E30/'Raw Values'!$AB30))</f>
        <v>6.481348088</v>
      </c>
      <c r="Z30" s="41">
        <f>('Raw Values'!$U30+Y30)*(0.1^('Raw Values'!$E30/'Raw Values'!$AB30))</f>
        <v>6.481352491</v>
      </c>
      <c r="AA30" s="41">
        <f>('Raw Values'!$U30+Z30)*(0.1^('Raw Values'!$E30/'Raw Values'!$AB30))</f>
        <v>6.481354564</v>
      </c>
      <c r="AB30" s="41">
        <f>('Raw Values'!$U30+AA30)*(0.1^('Raw Values'!$E30/'Raw Values'!$AB30))</f>
        <v>6.481355539</v>
      </c>
      <c r="AC30" s="41">
        <f>('Raw Values'!$U30+AB30)*(0.1^('Raw Values'!$E30/'Raw Values'!$AB30))</f>
        <v>6.481355998</v>
      </c>
      <c r="AD30" s="41">
        <f>('Raw Values'!$U30+AC30)*(0.1^('Raw Values'!$E30/'Raw Values'!$AB30))</f>
        <v>6.481356215</v>
      </c>
      <c r="AE30" s="41">
        <f>('Raw Values'!$U30+AD30)*(0.1^('Raw Values'!$E30/'Raw Values'!$AB30))</f>
        <v>6.481356316</v>
      </c>
      <c r="AF30" s="41">
        <f>('Raw Values'!$U30+AE30)*(0.1^('Raw Values'!$E30/'Raw Values'!$AB30))</f>
        <v>6.481356364</v>
      </c>
      <c r="AG30" s="41">
        <f>('Raw Values'!$U30+AF30)*(0.1^('Raw Values'!$E30/'Raw Values'!$AB30))</f>
        <v>6.481356387</v>
      </c>
      <c r="AH30" s="41">
        <f>('Raw Values'!$U30+AG30)*(0.1^('Raw Values'!$E30/'Raw Values'!$AB30))</f>
        <v>6.481356397</v>
      </c>
      <c r="AI30" s="41">
        <f>('Raw Values'!$U30+AH30)*(0.1^('Raw Values'!$E30/'Raw Values'!$AB30))</f>
        <v>6.481356402</v>
      </c>
      <c r="AJ30" s="41">
        <f>('Raw Values'!$U30+AI30)*(0.1^('Raw Values'!$E30/'Raw Values'!$AB30))</f>
        <v>6.481356405</v>
      </c>
    </row>
    <row r="31" ht="15.75" customHeight="1">
      <c r="A31" s="61" t="s">
        <v>168</v>
      </c>
      <c r="B31" s="32">
        <f>'Raw Values'!E31</f>
        <v>0.09</v>
      </c>
      <c r="C31" s="34">
        <f>'Raw Values'!U31</f>
        <v>6.05</v>
      </c>
      <c r="D31" s="43">
        <f>'Raw Values'!AA31</f>
        <v>0.12</v>
      </c>
      <c r="E31" s="43">
        <f>'Raw Values'!AB31</f>
        <v>0.48</v>
      </c>
      <c r="F31" s="130"/>
      <c r="G31" s="39">
        <v>0.0</v>
      </c>
      <c r="H31" s="41">
        <f>('Raw Values'!$U31)*(0.1^('Raw Values'!$E31/'Raw Values'!$AA31))</f>
        <v>1.075859043</v>
      </c>
      <c r="I31" s="41">
        <f>('Raw Values'!$U31+H31)*(0.1^('Raw Values'!$E31/'Raw Values'!$AA31))</f>
        <v>1.267176842</v>
      </c>
      <c r="J31" s="41">
        <f>('Raw Values'!$U31+I31)*(0.1^('Raw Values'!$E31/Analysis!$AA31))</f>
        <v>3.085627889</v>
      </c>
      <c r="K31" s="41">
        <f>('Raw Values'!$U31+J31)*(0.1^('Raw Values'!$E31/Analysis!$AB31))</f>
        <v>5.137341094</v>
      </c>
      <c r="L31" s="41">
        <f>('Raw Values'!$U31+K31)*(0.1^('Raw Values'!$E31/'Raw Values'!$AB31))</f>
        <v>7.264853812</v>
      </c>
      <c r="M31" s="41">
        <f>('Raw Values'!$U31+L31)*(0.1^('Raw Values'!$E31/'Raw Values'!$AB31))</f>
        <v>8.646421493</v>
      </c>
      <c r="N31" s="41">
        <f>('Raw Values'!$U31+M31)*(0.1^('Raw Values'!$E31/'Raw Values'!$AB31))</f>
        <v>9.543586167</v>
      </c>
      <c r="O31" s="41">
        <f>('Raw Values'!$U31+N31)*(0.1^('Raw Values'!$E31/'Raw Values'!$AB31))</f>
        <v>10.12618843</v>
      </c>
      <c r="P31" s="41">
        <f>('Raw Values'!$U31+O31)*(0.1^('Raw Values'!$E31/'Raw Values'!$AB31))</f>
        <v>10.50451963</v>
      </c>
      <c r="Q31" s="41">
        <f>('Raw Values'!$U31+P31)*(0.1^('Raw Values'!$E31/'Raw Values'!$AB31))</f>
        <v>10.75020097</v>
      </c>
      <c r="R31" s="41">
        <f>('Raw Values'!$U31+Q31)*(0.1^('Raw Values'!$E31/'Raw Values'!$AB31))</f>
        <v>10.90974192</v>
      </c>
      <c r="S31" s="41">
        <f>('Raw Values'!$U31+R31)*(0.1^('Raw Values'!$E31/'Raw Values'!$AB31))</f>
        <v>11.01334488</v>
      </c>
      <c r="T31" s="41">
        <f>('Raw Values'!$U31+S31)*(0.1^('Raw Values'!$E31/'Raw Values'!$AB31))</f>
        <v>11.08062274</v>
      </c>
      <c r="U31" s="41">
        <f>('Raw Values'!$U31+T31)*(0.1^('Raw Values'!$E31/'Raw Values'!$AB31))</f>
        <v>11.12431174</v>
      </c>
      <c r="V31" s="41">
        <f>('Raw Values'!$U31+U31)*(0.1^('Raw Values'!$E31/'Raw Values'!$AB31))</f>
        <v>11.15268258</v>
      </c>
      <c r="W31" s="41">
        <f>('Raw Values'!$U31+V31)*(0.1^('Raw Values'!$E31/'Raw Values'!$AB31))</f>
        <v>11.17110608</v>
      </c>
      <c r="X31" s="41">
        <f>('Raw Values'!$U31+W31)*(0.1^('Raw Values'!$E31/'Raw Values'!$AB31))</f>
        <v>11.18306996</v>
      </c>
      <c r="Y31" s="41">
        <f>('Raw Values'!$U31+X31)*(0.1^('Raw Values'!$E31/'Raw Values'!$AB31))</f>
        <v>11.19083909</v>
      </c>
      <c r="Z31" s="41">
        <f>('Raw Values'!$U31+Y31)*(0.1^('Raw Values'!$E31/'Raw Values'!$AB31))</f>
        <v>11.19588422</v>
      </c>
      <c r="AA31" s="41">
        <f>('Raw Values'!$U31+Z31)*(0.1^('Raw Values'!$E31/'Raw Values'!$AB31))</f>
        <v>11.19916043</v>
      </c>
      <c r="AB31" s="41">
        <f>('Raw Values'!$U31+AA31)*(0.1^('Raw Values'!$E31/'Raw Values'!$AB31))</f>
        <v>11.20128794</v>
      </c>
      <c r="AC31" s="41">
        <f>('Raw Values'!$U31+AB31)*(0.1^('Raw Values'!$E31/'Raw Values'!$AB31))</f>
        <v>11.20266951</v>
      </c>
      <c r="AD31" s="41">
        <f>('Raw Values'!$U31+AC31)*(0.1^('Raw Values'!$E31/'Raw Values'!$AB31))</f>
        <v>11.20356668</v>
      </c>
      <c r="AE31" s="41">
        <f>('Raw Values'!$U31+AD31)*(0.1^('Raw Values'!$E31/'Raw Values'!$AB31))</f>
        <v>11.20414928</v>
      </c>
      <c r="AF31" s="41"/>
      <c r="AG31" s="41"/>
      <c r="AH31" s="41"/>
      <c r="AI31" s="41"/>
      <c r="AJ31" s="41"/>
    </row>
    <row r="32" ht="15.75" customHeight="1">
      <c r="A32" s="66" t="s">
        <v>170</v>
      </c>
      <c r="B32" s="32">
        <f>'Raw Values'!E32</f>
        <v>0.09</v>
      </c>
      <c r="C32" s="34">
        <f>'Raw Values'!U32</f>
        <v>7</v>
      </c>
      <c r="D32" s="43">
        <f>'Raw Values'!AA32</f>
        <v>0.15</v>
      </c>
      <c r="E32" s="43">
        <f>'Raw Values'!AB32</f>
        <v>0.47</v>
      </c>
      <c r="F32" s="130"/>
      <c r="G32" s="39">
        <v>0.0</v>
      </c>
      <c r="H32" s="41">
        <f>('Raw Values'!$U32)*(0.1^('Raw Values'!$E32/'Raw Values'!$AA32))</f>
        <v>1.758320502</v>
      </c>
      <c r="I32" s="41">
        <f>('Raw Values'!$U32+H32)*(0.1^('Raw Values'!$E32/'Raw Values'!$AA32))</f>
        <v>2.199990643</v>
      </c>
      <c r="J32" s="41">
        <f>('Raw Values'!$U32+I32)*(0.1^('Raw Values'!$E32/Analysis!$AA32))</f>
        <v>4.103345019</v>
      </c>
      <c r="K32" s="41">
        <f>('Raw Values'!$U32+J32)*(0.1^('Raw Values'!$E32/Analysis!$AB32))</f>
        <v>6.276931844</v>
      </c>
      <c r="L32" s="41">
        <f>('Raw Values'!$U32+K32)*(0.1^('Raw Values'!$E32/'Raw Values'!$AB32))</f>
        <v>8.542959828</v>
      </c>
      <c r="M32" s="41">
        <f>('Raw Values'!$U32+L32)*(0.1^('Raw Values'!$E32/'Raw Values'!$AB32))</f>
        <v>10.00102154</v>
      </c>
      <c r="N32" s="41">
        <f>('Raw Values'!$U32+M32)*(0.1^('Raw Values'!$E32/'Raw Values'!$AB32))</f>
        <v>10.93920235</v>
      </c>
      <c r="O32" s="41">
        <f>('Raw Values'!$U32+N32)*(0.1^('Raw Values'!$E32/'Raw Values'!$AB32))</f>
        <v>11.542869</v>
      </c>
      <c r="P32" s="41">
        <f>('Raw Values'!$U32+O32)*(0.1^('Raw Values'!$E32/'Raw Values'!$AB32))</f>
        <v>11.93129458</v>
      </c>
      <c r="Q32" s="41">
        <f>('Raw Values'!$U32+P32)*(0.1^('Raw Values'!$E32/'Raw Values'!$AB32))</f>
        <v>12.18122462</v>
      </c>
      <c r="R32" s="41">
        <f>('Raw Values'!$U32+Q32)*(0.1^('Raw Values'!$E32/'Raw Values'!$AB32))</f>
        <v>12.34204057</v>
      </c>
      <c r="S32" s="41">
        <f>('Raw Values'!$U32+R32)*(0.1^('Raw Values'!$E32/'Raw Values'!$AB32))</f>
        <v>12.44551659</v>
      </c>
      <c r="T32" s="41">
        <f>('Raw Values'!$U32+S32)*(0.1^('Raw Values'!$E32/'Raw Values'!$AB32))</f>
        <v>12.5120976</v>
      </c>
      <c r="U32" s="41">
        <f>('Raw Values'!$U32+T32)*(0.1^('Raw Values'!$E32/'Raw Values'!$AB32))</f>
        <v>12.55493874</v>
      </c>
      <c r="V32" s="41">
        <f>('Raw Values'!$U32+U32)*(0.1^('Raw Values'!$E32/'Raw Values'!$AB32))</f>
        <v>12.58250461</v>
      </c>
      <c r="W32" s="41">
        <f>('Raw Values'!$U32+V32)*(0.1^('Raw Values'!$E32/'Raw Values'!$AB32))</f>
        <v>12.60024169</v>
      </c>
      <c r="X32" s="41">
        <f>('Raw Values'!$U32+W32)*(0.1^('Raw Values'!$E32/'Raw Values'!$AB32))</f>
        <v>12.61165451</v>
      </c>
      <c r="Y32" s="41">
        <f>('Raw Values'!$U32+X32)*(0.1^('Raw Values'!$E32/'Raw Values'!$AB32))</f>
        <v>12.61899802</v>
      </c>
      <c r="Z32" s="41">
        <f>('Raw Values'!$U32+Y32)*(0.1^('Raw Values'!$E32/'Raw Values'!$AB32))</f>
        <v>12.62372315</v>
      </c>
      <c r="AA32" s="41">
        <f>('Raw Values'!$U32+Z32)*(0.1^('Raw Values'!$E32/'Raw Values'!$AB32))</f>
        <v>12.62676351</v>
      </c>
      <c r="AB32" s="41">
        <f>('Raw Values'!$U32+AA32)*(0.1^('Raw Values'!$E32/'Raw Values'!$AB32))</f>
        <v>12.62871981</v>
      </c>
      <c r="AC32" s="41">
        <f>('Raw Values'!$U32+AB32)*(0.1^('Raw Values'!$E32/'Raw Values'!$AB32))</f>
        <v>12.62997858</v>
      </c>
      <c r="AD32" s="41">
        <f>('Raw Values'!$U32+AC32)*(0.1^('Raw Values'!$E32/'Raw Values'!$AB32))</f>
        <v>12.63078853</v>
      </c>
      <c r="AE32" s="41">
        <f>('Raw Values'!$U32+AD32)*(0.1^('Raw Values'!$E32/'Raw Values'!$AB32))</f>
        <v>12.63130969</v>
      </c>
      <c r="AF32" s="41">
        <f>('Raw Values'!$U32+AE32)*(0.1^('Raw Values'!$E32/'Raw Values'!$AB32))</f>
        <v>12.63164502</v>
      </c>
      <c r="AG32" s="41">
        <f>('Raw Values'!$U32+AF32)*(0.1^('Raw Values'!$E32/'Raw Values'!$AB32))</f>
        <v>12.63186079</v>
      </c>
      <c r="AH32" s="41">
        <f>('Raw Values'!$U32+AG32)*(0.1^('Raw Values'!$E32/'Raw Values'!$AB32))</f>
        <v>12.63199962</v>
      </c>
      <c r="AI32" s="41">
        <f>('Raw Values'!$U32+AH32)*(0.1^('Raw Values'!$E32/'Raw Values'!$AB32))</f>
        <v>12.63208896</v>
      </c>
      <c r="AJ32" s="41">
        <f>('Raw Values'!$U32+AI32)*(0.1^('Raw Values'!$E32/'Raw Values'!$AB32))</f>
        <v>12.63214644</v>
      </c>
    </row>
    <row r="33" ht="15.75" customHeight="1">
      <c r="A33" s="61" t="s">
        <v>171</v>
      </c>
      <c r="B33" s="32">
        <f>'Raw Values'!E33</f>
        <v>0.09</v>
      </c>
      <c r="C33" s="34">
        <f>'Raw Values'!U33</f>
        <v>7</v>
      </c>
      <c r="D33" s="43">
        <f>'Raw Values'!AA33</f>
        <v>0.2421</v>
      </c>
      <c r="E33" s="43">
        <f>'Raw Values'!AB33</f>
        <v>0.332888</v>
      </c>
      <c r="F33" s="130"/>
      <c r="G33" s="39">
        <v>0.0</v>
      </c>
      <c r="H33" s="41">
        <f>('Raw Values'!$U33)*(0.1^('Raw Values'!$E33/'Raw Values'!$AA33))</f>
        <v>2.974067548</v>
      </c>
      <c r="I33" s="41">
        <f>('Raw Values'!$U33+H33)*(0.1^('Raw Values'!$E33/'Raw Values'!$AA33))</f>
        <v>4.237650088</v>
      </c>
      <c r="J33" s="41">
        <f>('Raw Values'!$U33+I33)*(0.1^('Raw Values'!$E33/Analysis!$AA33))</f>
        <v>5.250899924</v>
      </c>
      <c r="K33" s="41">
        <f>('Raw Values'!$U33+J33)*(0.1^('Raw Values'!$E33/Analysis!$AB33))</f>
        <v>6.176899713</v>
      </c>
      <c r="L33" s="41">
        <f>('Raw Values'!$U33+K33)*(0.1^('Raw Values'!$E33/'Raw Values'!$AB33))</f>
        <v>7.070531119</v>
      </c>
      <c r="M33" s="41">
        <f>('Raw Values'!$U33+L33)*(0.1^('Raw Values'!$E33/'Raw Values'!$AB33))</f>
        <v>7.550040625</v>
      </c>
      <c r="N33" s="41">
        <f>('Raw Values'!$U33+M33)*(0.1^('Raw Values'!$E33/'Raw Values'!$AB33))</f>
        <v>7.807338392</v>
      </c>
      <c r="O33" s="41">
        <f>('Raw Values'!$U33+N33)*(0.1^('Raw Values'!$E33/'Raw Values'!$AB33))</f>
        <v>7.945400601</v>
      </c>
      <c r="P33" s="41">
        <f>('Raw Values'!$U33+O33)*(0.1^('Raw Values'!$E33/'Raw Values'!$AB33))</f>
        <v>8.019482757</v>
      </c>
      <c r="Q33" s="41">
        <f>('Raw Values'!$U33+P33)*(0.1^('Raw Values'!$E33/'Raw Values'!$AB33))</f>
        <v>8.059234155</v>
      </c>
      <c r="R33" s="41">
        <f>('Raw Values'!$U33+Q33)*(0.1^('Raw Values'!$E33/'Raw Values'!$AB33))</f>
        <v>8.080564172</v>
      </c>
      <c r="S33" s="41">
        <f>('Raw Values'!$U33+R33)*(0.1^('Raw Values'!$E33/'Raw Values'!$AB33))</f>
        <v>8.092009547</v>
      </c>
      <c r="T33" s="41">
        <f>('Raw Values'!$U33+S33)*(0.1^('Raw Values'!$E33/'Raw Values'!$AB33))</f>
        <v>8.098150967</v>
      </c>
      <c r="U33" s="41">
        <f>('Raw Values'!$U33+T33)*(0.1^('Raw Values'!$E33/'Raw Values'!$AB33))</f>
        <v>8.101446363</v>
      </c>
      <c r="V33" s="41">
        <f>('Raw Values'!$U33+U33)*(0.1^('Raw Values'!$E33/'Raw Values'!$AB33))</f>
        <v>8.103214624</v>
      </c>
      <c r="W33" s="41">
        <f>('Raw Values'!$U33+V33)*(0.1^('Raw Values'!$E33/'Raw Values'!$AB33))</f>
        <v>8.104163447</v>
      </c>
      <c r="X33" s="41">
        <f>('Raw Values'!$U33+W33)*(0.1^('Raw Values'!$E33/'Raw Values'!$AB33))</f>
        <v>8.104672571</v>
      </c>
      <c r="Y33" s="41">
        <f>('Raw Values'!$U33+X33)*(0.1^('Raw Values'!$E33/'Raw Values'!$AB33))</f>
        <v>8.10494576</v>
      </c>
      <c r="Z33" s="41">
        <f>('Raw Values'!$U33+Y33)*(0.1^('Raw Values'!$E33/'Raw Values'!$AB33))</f>
        <v>8.105092349</v>
      </c>
      <c r="AA33" s="41">
        <f>('Raw Values'!$U33+Z33)*(0.1^('Raw Values'!$E33/'Raw Values'!$AB33))</f>
        <v>8.105171007</v>
      </c>
      <c r="AB33" s="41">
        <f>('Raw Values'!$U33+AA33)*(0.1^('Raw Values'!$E33/'Raw Values'!$AB33))</f>
        <v>8.105213213</v>
      </c>
      <c r="AC33" s="41">
        <f>('Raw Values'!$U33+AB33)*(0.1^('Raw Values'!$E33/'Raw Values'!$AB33))</f>
        <v>8.105235861</v>
      </c>
      <c r="AD33" s="41">
        <f>('Raw Values'!$U33+AC33)*(0.1^('Raw Values'!$E33/'Raw Values'!$AB33))</f>
        <v>8.105248013</v>
      </c>
      <c r="AE33" s="41">
        <f>('Raw Values'!$U33+AD33)*(0.1^('Raw Values'!$E33/'Raw Values'!$AB33))</f>
        <v>8.105254534</v>
      </c>
      <c r="AF33" s="41">
        <f>('Raw Values'!$U33+AE33)*(0.1^('Raw Values'!$E33/'Raw Values'!$AB33))</f>
        <v>8.105258032</v>
      </c>
      <c r="AG33" s="41">
        <f>('Raw Values'!$U33+AF33)*(0.1^('Raw Values'!$E33/'Raw Values'!$AB33))</f>
        <v>8.10525991</v>
      </c>
      <c r="AH33" s="41">
        <f>('Raw Values'!$U33+AG33)*(0.1^('Raw Values'!$E33/'Raw Values'!$AB33))</f>
        <v>8.105260917</v>
      </c>
      <c r="AI33" s="41">
        <f>('Raw Values'!$U33+AH33)*(0.1^('Raw Values'!$E33/'Raw Values'!$AB33))</f>
        <v>8.105261458</v>
      </c>
      <c r="AJ33" s="41">
        <f>('Raw Values'!$U33+AI33)*(0.1^('Raw Values'!$E33/'Raw Values'!$AB33))</f>
        <v>8.105261748</v>
      </c>
    </row>
    <row r="34" ht="15.75" customHeight="1">
      <c r="A34" s="61" t="s">
        <v>173</v>
      </c>
      <c r="B34" s="32">
        <f>'Raw Values'!E34</f>
        <v>0.1</v>
      </c>
      <c r="C34" s="34">
        <f>'Raw Values'!AK34</f>
        <v>7</v>
      </c>
      <c r="D34" s="43">
        <f>'Raw Values'!AA34</f>
        <v>0.2421</v>
      </c>
      <c r="E34" s="43">
        <f>'Raw Values'!AB34</f>
        <v>0.332888</v>
      </c>
      <c r="F34" s="130"/>
      <c r="G34" s="39">
        <v>0.0</v>
      </c>
      <c r="H34" s="41">
        <f>('Raw Values'!$AK34)*(0.1^('Raw Values'!$E34/'Raw Values'!$AA34))</f>
        <v>2.704242179</v>
      </c>
      <c r="I34" s="41">
        <f>('Raw Values'!$AK34+H34)*(0.1^('Raw Values'!$E34/'Raw Values'!$AA34))</f>
        <v>3.748945859</v>
      </c>
      <c r="J34" s="41">
        <f>('Raw Values'!$AK34+I34)*(0.1^('Raw Values'!$E34/Analysis!$AA34))</f>
        <v>4.615389524</v>
      </c>
      <c r="K34" s="41">
        <f>('Raw Values'!$AK34+J34)*(0.1^('Raw Values'!$E34/Analysis!$AB34))</f>
        <v>5.427404325</v>
      </c>
      <c r="L34" s="41">
        <f>('Raw Values'!$AK34+K34)*(0.1^('Raw Values'!$E34/'Raw Values'!$AB34))</f>
        <v>6.22270327</v>
      </c>
      <c r="M34" s="41">
        <f>('Raw Values'!$AK34+L34)*(0.1^('Raw Values'!$E34/'Raw Values'!$AB34))</f>
        <v>6.620928774</v>
      </c>
      <c r="N34" s="41">
        <f>('Raw Values'!$AK34+M34)*(0.1^('Raw Values'!$E34/'Raw Values'!$AB34))</f>
        <v>6.820329958</v>
      </c>
      <c r="O34" s="41">
        <f>('Raw Values'!$AK34+N34)*(0.1^('Raw Values'!$E34/'Raw Values'!$AB34))</f>
        <v>6.920174976</v>
      </c>
      <c r="P34" s="41">
        <f>('Raw Values'!$AK34+O34)*(0.1^('Raw Values'!$E34/'Raw Values'!$AB34))</f>
        <v>6.970169802</v>
      </c>
      <c r="Q34" s="41">
        <f>('Raw Values'!$AK34+P34)*(0.1^('Raw Values'!$E34/'Raw Values'!$AB34))</f>
        <v>6.995203426</v>
      </c>
      <c r="R34" s="41">
        <f>('Raw Values'!$AK34+Q34)*(0.1^('Raw Values'!$E34/'Raw Values'!$AB34))</f>
        <v>7.00773837</v>
      </c>
      <c r="S34" s="41">
        <f>('Raw Values'!$AK34+R34)*(0.1^('Raw Values'!$E34/'Raw Values'!$AB34))</f>
        <v>7.014014921</v>
      </c>
      <c r="T34" s="41">
        <f>('Raw Values'!$AK34+S34)*(0.1^('Raw Values'!$E34/'Raw Values'!$AB34))</f>
        <v>7.017157742</v>
      </c>
      <c r="U34" s="41">
        <f>('Raw Values'!$AK34+T34)*(0.1^('Raw Values'!$E34/'Raw Values'!$AB34))</f>
        <v>7.018731429</v>
      </c>
      <c r="V34" s="41">
        <f>('Raw Values'!$AK34+U34)*(0.1^('Raw Values'!$E34/'Raw Values'!$AB34))</f>
        <v>7.019519413</v>
      </c>
      <c r="W34" s="41">
        <f>('Raw Values'!$AK34+V34)*(0.1^('Raw Values'!$E34/'Raw Values'!$AB34))</f>
        <v>7.019913975</v>
      </c>
      <c r="X34" s="41">
        <f>('Raw Values'!$AK34+W34)*(0.1^('Raw Values'!$E34/'Raw Values'!$AB34))</f>
        <v>7.020111542</v>
      </c>
      <c r="Y34" s="41">
        <f>('Raw Values'!$AK34+X34)*(0.1^('Raw Values'!$E34/'Raw Values'!$AB34))</f>
        <v>7.020210469</v>
      </c>
      <c r="Z34" s="41">
        <f>('Raw Values'!$AK34+Y34)*(0.1^('Raw Values'!$E34/'Raw Values'!$AB34))</f>
        <v>7.020260004</v>
      </c>
      <c r="AA34" s="41">
        <f>('Raw Values'!$AK34+Z34)*(0.1^('Raw Values'!$E34/'Raw Values'!$AB34))</f>
        <v>7.020284807</v>
      </c>
      <c r="AB34" s="41">
        <f>('Raw Values'!$AK34+AA34)*(0.1^('Raw Values'!$E34/'Raw Values'!$AB34))</f>
        <v>7.020297227</v>
      </c>
      <c r="AC34" s="41">
        <f>('Raw Values'!$AK34+AB34)*(0.1^('Raw Values'!$E34/'Raw Values'!$AB34))</f>
        <v>7.020303445</v>
      </c>
      <c r="AD34" s="41">
        <f>('Raw Values'!$AK34+AC34)*(0.1^('Raw Values'!$E34/'Raw Values'!$AB34))</f>
        <v>7.020306559</v>
      </c>
      <c r="AE34" s="41">
        <f>('Raw Values'!$AK34+AD34)*(0.1^('Raw Values'!$E34/'Raw Values'!$AB34))</f>
        <v>7.020308119</v>
      </c>
      <c r="AF34" s="41"/>
      <c r="AG34" s="41"/>
      <c r="AH34" s="41"/>
      <c r="AI34" s="41"/>
      <c r="AJ34" s="41"/>
    </row>
    <row r="35" ht="15.75" customHeight="1">
      <c r="A35" s="66" t="s">
        <v>175</v>
      </c>
      <c r="B35" s="32">
        <f>'Raw Values'!E35</f>
        <v>0.09</v>
      </c>
      <c r="C35" s="34">
        <f>'Raw Values'!U35</f>
        <v>6.68</v>
      </c>
      <c r="D35" s="43">
        <f>'Raw Values'!AA35</f>
        <v>0.379204</v>
      </c>
      <c r="E35" s="43" t="s">
        <v>209</v>
      </c>
      <c r="F35" s="130"/>
      <c r="G35" s="39">
        <v>0.0</v>
      </c>
      <c r="H35" s="41">
        <f>('Raw Values'!$U35)*(0.1^('Raw Values'!$E35/'Raw Values'!$AA35))</f>
        <v>3.867561193</v>
      </c>
      <c r="I35" s="41">
        <f>('Raw Values'!$U35+H35)*(0.1^('Raw Values'!$E35/'Raw Values'!$AA35))</f>
        <v>6.106787179</v>
      </c>
      <c r="J35" s="41">
        <f>('Raw Values'!$U35+I35)*(0.1^('Raw Values'!$E35/Analysis!$AA35))</f>
        <v>7.40324579</v>
      </c>
      <c r="K35" s="41">
        <f>('Raw Values'!$U35+J35)*(0.1^('Raw Values'!$E35/Analysis!$AB35))</f>
        <v>8.153864505</v>
      </c>
      <c r="L35" s="41">
        <f>('Raw Values'!$U35+K35)*(0.1^('Raw Values'!$E35/'Raw Values'!$AB35))</f>
        <v>8.588454896</v>
      </c>
      <c r="M35" s="41">
        <f>('Raw Values'!$U35+L35)*(0.1^('Raw Values'!$E35/'Raw Values'!$AB35))</f>
        <v>8.8400724</v>
      </c>
      <c r="N35" s="41">
        <f>('Raw Values'!$U35+M35)*(0.1^('Raw Values'!$E35/'Raw Values'!$AB35))</f>
        <v>8.985752954</v>
      </c>
      <c r="O35" s="41">
        <f>('Raw Values'!$U35+N35)*(0.1^('Raw Values'!$E35/'Raw Values'!$AB35))</f>
        <v>9.070098531</v>
      </c>
      <c r="P35" s="41">
        <f>('Raw Values'!$U35+O35)*(0.1^('Raw Values'!$E35/'Raw Values'!$AB35))</f>
        <v>9.118932615</v>
      </c>
      <c r="Q35" s="41">
        <f>('Raw Values'!$U35+P35)*(0.1^('Raw Values'!$E35/'Raw Values'!$AB35))</f>
        <v>9.147206388</v>
      </c>
      <c r="R35" s="41">
        <f>('Raw Values'!$U35+Q35)*(0.1^('Raw Values'!$E35/'Raw Values'!$AB35))</f>
        <v>9.163576231</v>
      </c>
      <c r="S35" s="41">
        <f>('Raw Values'!$U35+R35)*(0.1^('Raw Values'!$E35/'Raw Values'!$AB35))</f>
        <v>9.173053981</v>
      </c>
      <c r="T35" s="41">
        <f>('Raw Values'!$U35+S35)*(0.1^('Raw Values'!$E35/'Raw Values'!$AB35))</f>
        <v>9.178541373</v>
      </c>
      <c r="U35" s="41">
        <f>('Raw Values'!$U35+T35)*(0.1^('Raw Values'!$E35/'Raw Values'!$AB35))</f>
        <v>9.181718442</v>
      </c>
      <c r="V35" s="41">
        <f>('Raw Values'!$U35+U35)*(0.1^('Raw Values'!$E35/'Raw Values'!$AB35))</f>
        <v>9.18355789</v>
      </c>
      <c r="W35" s="41">
        <f>('Raw Values'!$U35+V35)*(0.1^('Raw Values'!$E35/'Raw Values'!$AB35))</f>
        <v>9.184622886</v>
      </c>
      <c r="X35" s="41">
        <f>('Raw Values'!$U35+W35)*(0.1^('Raw Values'!$E35/'Raw Values'!$AB35))</f>
        <v>9.185239494</v>
      </c>
      <c r="Y35" s="41">
        <f>('Raw Values'!$U35+X35)*(0.1^('Raw Values'!$E35/'Raw Values'!$AB35))</f>
        <v>9.185596495</v>
      </c>
      <c r="Z35" s="41">
        <f>('Raw Values'!$U35+Y35)*(0.1^('Raw Values'!$E35/'Raw Values'!$AB35))</f>
        <v>9.18580319</v>
      </c>
      <c r="AA35" s="41">
        <f>('Raw Values'!$U35+Z35)*(0.1^('Raw Values'!$E35/'Raw Values'!$AB35))</f>
        <v>9.185922862</v>
      </c>
      <c r="AB35" s="41">
        <f>('Raw Values'!$U35+AA35)*(0.1^('Raw Values'!$E35/'Raw Values'!$AB35))</f>
        <v>9.185992149</v>
      </c>
      <c r="AC35" s="41">
        <f>('Raw Values'!$U35+AB35)*(0.1^('Raw Values'!$E35/'Raw Values'!$AB35))</f>
        <v>9.186032264</v>
      </c>
      <c r="AD35" s="41">
        <f>('Raw Values'!$U35+AC35)*(0.1^('Raw Values'!$E35/'Raw Values'!$AB35))</f>
        <v>9.18605549</v>
      </c>
      <c r="AE35" s="41">
        <f>('Raw Values'!$U35+AD35)*(0.1^('Raw Values'!$E35/'Raw Values'!$AB35))</f>
        <v>9.186068938</v>
      </c>
      <c r="AF35" s="41">
        <f>('Raw Values'!$U35+AE35)*(0.1^('Raw Values'!$E35/'Raw Values'!$AB35))</f>
        <v>9.186076723</v>
      </c>
      <c r="AG35" s="41">
        <f>('Raw Values'!$U35+AF35)*(0.1^('Raw Values'!$E35/'Raw Values'!$AB35))</f>
        <v>9.186081231</v>
      </c>
      <c r="AH35" s="41">
        <f>('Raw Values'!$U35+AG35)*(0.1^('Raw Values'!$E35/'Raw Values'!$AB35))</f>
        <v>9.186083841</v>
      </c>
      <c r="AI35" s="41">
        <f>('Raw Values'!$U35+AH35)*(0.1^('Raw Values'!$E35/'Raw Values'!$AB35))</f>
        <v>9.186085352</v>
      </c>
      <c r="AJ35" s="41">
        <f>('Raw Values'!$U35+AI35)*(0.1^('Raw Values'!$E35/'Raw Values'!$AB35))</f>
        <v>9.186086227</v>
      </c>
    </row>
    <row r="36" ht="15.75" customHeight="1">
      <c r="A36" s="75"/>
      <c r="B36" s="77"/>
      <c r="C36" s="79"/>
      <c r="D36" s="132"/>
      <c r="E36" s="132"/>
      <c r="F36" s="133"/>
      <c r="G36" s="79"/>
      <c r="H36" s="79"/>
      <c r="I36" s="79"/>
      <c r="J36" s="79"/>
      <c r="K36" s="79"/>
      <c r="L36" s="79"/>
      <c r="M36" s="79"/>
      <c r="N36" s="79"/>
      <c r="O36" s="79"/>
      <c r="P36" s="79"/>
      <c r="Q36" s="79"/>
      <c r="R36" s="79"/>
      <c r="S36" s="79"/>
      <c r="T36" s="79"/>
      <c r="U36" s="79"/>
      <c r="V36" s="79"/>
      <c r="W36" s="79"/>
      <c r="X36" s="79"/>
      <c r="Y36" s="79"/>
      <c r="Z36" s="79"/>
      <c r="AA36" s="79"/>
      <c r="AB36" s="79"/>
      <c r="AC36" s="79"/>
      <c r="AD36" s="79"/>
      <c r="AE36" s="79"/>
      <c r="AF36" s="79"/>
      <c r="AG36" s="79"/>
      <c r="AH36" s="79"/>
      <c r="AI36" s="79"/>
      <c r="AJ36" s="79"/>
    </row>
    <row r="37" ht="15.75" customHeight="1">
      <c r="A37" s="5" t="s">
        <v>177</v>
      </c>
      <c r="B37" s="11" t="s">
        <v>19</v>
      </c>
      <c r="C37" s="9" t="s">
        <v>204</v>
      </c>
      <c r="D37" s="21" t="s">
        <v>220</v>
      </c>
      <c r="E37" s="21" t="s">
        <v>221</v>
      </c>
      <c r="F37" s="125"/>
      <c r="G37" s="127">
        <v>1.0</v>
      </c>
      <c r="H37" s="127">
        <v>2.0</v>
      </c>
      <c r="I37" s="127">
        <v>3.0</v>
      </c>
      <c r="J37" s="127">
        <v>4.0</v>
      </c>
      <c r="K37" s="127">
        <v>5.0</v>
      </c>
      <c r="L37" s="127">
        <v>6.0</v>
      </c>
      <c r="M37" s="127">
        <v>7.0</v>
      </c>
      <c r="N37" s="127">
        <v>8.0</v>
      </c>
      <c r="O37" s="127">
        <v>9.0</v>
      </c>
      <c r="P37" s="127">
        <v>10.0</v>
      </c>
      <c r="Q37" s="127">
        <v>11.0</v>
      </c>
      <c r="R37" s="127">
        <v>12.0</v>
      </c>
      <c r="S37" s="127">
        <v>13.0</v>
      </c>
      <c r="T37" s="127">
        <v>14.0</v>
      </c>
      <c r="U37" s="127">
        <v>15.0</v>
      </c>
      <c r="V37" s="127">
        <v>16.0</v>
      </c>
      <c r="W37" s="127">
        <v>17.0</v>
      </c>
      <c r="X37" s="127">
        <v>18.0</v>
      </c>
      <c r="Y37" s="127">
        <v>19.0</v>
      </c>
      <c r="Z37" s="127">
        <v>20.0</v>
      </c>
      <c r="AA37" s="127">
        <v>21.0</v>
      </c>
      <c r="AB37" s="127">
        <v>22.0</v>
      </c>
      <c r="AC37" s="127">
        <v>23.0</v>
      </c>
      <c r="AD37" s="127">
        <v>24.0</v>
      </c>
      <c r="AE37" s="127">
        <v>25.0</v>
      </c>
      <c r="AF37" s="127">
        <v>26.0</v>
      </c>
      <c r="AG37" s="127">
        <v>27.0</v>
      </c>
      <c r="AH37" s="127">
        <v>28.0</v>
      </c>
      <c r="AI37" s="127">
        <v>29.0</v>
      </c>
      <c r="AJ37" s="127">
        <v>30.0</v>
      </c>
    </row>
    <row r="38" ht="15.75" customHeight="1">
      <c r="A38" s="28" t="s">
        <v>179</v>
      </c>
      <c r="B38" s="32">
        <f>'Raw Values'!E38</f>
        <v>0.08</v>
      </c>
      <c r="C38" s="34">
        <f>'Raw Values'!U38</f>
        <v>3.56</v>
      </c>
      <c r="D38" s="43">
        <f>'Raw Values'!AA38</f>
        <v>0.592093</v>
      </c>
      <c r="E38" s="43" t="s">
        <v>209</v>
      </c>
      <c r="F38" s="130"/>
      <c r="G38" s="39">
        <v>0.0</v>
      </c>
      <c r="H38" s="41">
        <f>('Raw Values'!$U38)*(0.1^('Raw Values'!$E38/'Raw Values'!$AA38))</f>
        <v>2.608171161</v>
      </c>
      <c r="I38" s="41">
        <f>('Raw Values'!$U38+H38)*(0.1^('Raw Values'!$E38/'Raw Values'!$AA38))</f>
        <v>4.519001724</v>
      </c>
      <c r="J38" s="41">
        <f>('Raw Values'!$U38+I38)*(0.1^('Raw Values'!$E38/Analysis!$AA38))</f>
        <v>5.918938007</v>
      </c>
      <c r="K38" s="41">
        <f>('Raw Values'!$U38+J38)*(0.1^('Raw Values'!$E38/Analysis!$AB38))</f>
        <v>6.944576614</v>
      </c>
      <c r="L38" s="41">
        <f>('Raw Values'!$U38+K38)*(0.1^('Raw Values'!$E38/'Raw Values'!$AB38))</f>
        <v>7.695992635</v>
      </c>
      <c r="M38" s="41">
        <f>('Raw Values'!$U38+L38)*(0.1^('Raw Values'!$E38/'Raw Values'!$AB38))</f>
        <v>8.246504319</v>
      </c>
      <c r="N38" s="41">
        <f>('Raw Values'!$U38+M38)*(0.1^('Raw Values'!$E38/'Raw Values'!$AB38))</f>
        <v>8.649826988</v>
      </c>
      <c r="O38" s="41">
        <f>('Raw Values'!$U38+N38)*(0.1^('Raw Values'!$E38/'Raw Values'!$AB38))</f>
        <v>8.945314221</v>
      </c>
      <c r="P38" s="41">
        <f>('Raw Values'!$U38+O38)*(0.1^('Raw Values'!$E38/'Raw Values'!$AB38))</f>
        <v>9.161797727</v>
      </c>
      <c r="Q38" s="41">
        <f>('Raw Values'!$U38+P38)*(0.1^('Raw Values'!$E38/'Raw Values'!$AB38))</f>
        <v>9.320400547</v>
      </c>
      <c r="R38" s="41">
        <f>('Raw Values'!$U38+Q38)*(0.1^('Raw Values'!$E38/'Raw Values'!$AB38))</f>
        <v>9.436598103</v>
      </c>
      <c r="S38" s="41">
        <f>('Raw Values'!$U38+R38)*(0.1^('Raw Values'!$E38/'Raw Values'!$AB38))</f>
        <v>9.521728191</v>
      </c>
      <c r="T38" s="41">
        <f>('Raw Values'!$U38+S38)*(0.1^('Raw Values'!$E38/'Raw Values'!$AB38))</f>
        <v>9.584097248</v>
      </c>
      <c r="U38" s="41">
        <f>('Raw Values'!$U38+T38)*(0.1^('Raw Values'!$E38/'Raw Values'!$AB38))</f>
        <v>9.629790836</v>
      </c>
      <c r="V38" s="41">
        <f>('Raw Values'!$U38+U38)*(0.1^('Raw Values'!$E38/'Raw Values'!$AB38))</f>
        <v>9.663267437</v>
      </c>
      <c r="W38" s="41">
        <f>('Raw Values'!$U38+V38)*(0.1^('Raw Values'!$E38/'Raw Values'!$AB38))</f>
        <v>9.687793478</v>
      </c>
      <c r="X38" s="41">
        <f>('Raw Values'!$U38+W38)*(0.1^('Raw Values'!$E38/'Raw Values'!$AB38))</f>
        <v>9.705762049</v>
      </c>
      <c r="Y38" s="41">
        <f>('Raw Values'!$U38+X38)*(0.1^('Raw Values'!$E38/'Raw Values'!$AB38))</f>
        <v>9.718926405</v>
      </c>
      <c r="Z38" s="41">
        <f>('Raw Values'!$U38+Y38)*(0.1^('Raw Values'!$E38/'Raw Values'!$AB38))</f>
        <v>9.728571038</v>
      </c>
      <c r="AA38" s="41">
        <f>('Raw Values'!$U38+Z38)*(0.1^('Raw Values'!$E38/'Raw Values'!$AB38))</f>
        <v>9.735637009</v>
      </c>
      <c r="AB38" s="41">
        <f>('Raw Values'!$U38+AA38)*(0.1^('Raw Values'!$E38/'Raw Values'!$AB38))</f>
        <v>9.740813767</v>
      </c>
      <c r="AC38" s="41">
        <f>('Raw Values'!$U38+AB38)*(0.1^('Raw Values'!$E38/'Raw Values'!$AB38))</f>
        <v>9.744606428</v>
      </c>
      <c r="AD38" s="41">
        <f>('Raw Values'!$U38+AC38)*(0.1^('Raw Values'!$E38/'Raw Values'!$AB38))</f>
        <v>9.747385054</v>
      </c>
      <c r="AE38" s="41">
        <f>('Raw Values'!$U38+AD38)*(0.1^('Raw Values'!$E38/'Raw Values'!$AB38))</f>
        <v>9.749420765</v>
      </c>
      <c r="AF38" s="41">
        <f>('Raw Values'!$U38+AE38)*(0.1^('Raw Values'!$E38/'Raw Values'!$AB38))</f>
        <v>9.750912193</v>
      </c>
      <c r="AG38" s="41">
        <f>('Raw Values'!$U38+AF38)*(0.1^('Raw Values'!$E38/'Raw Values'!$AB38))</f>
        <v>9.752004861</v>
      </c>
      <c r="AH38" s="41">
        <f>('Raw Values'!$U38+AG38)*(0.1^('Raw Values'!$E38/'Raw Values'!$AB38))</f>
        <v>9.752805385</v>
      </c>
      <c r="AI38" s="41">
        <f>('Raw Values'!$U38+AH38)*(0.1^('Raw Values'!$E38/'Raw Values'!$AB38))</f>
        <v>9.753391875</v>
      </c>
      <c r="AJ38" s="41">
        <f>('Raw Values'!$U38+AI38)*(0.1^('Raw Values'!$E38/'Raw Values'!$AB38))</f>
        <v>9.753821557</v>
      </c>
    </row>
    <row r="39" ht="15.75" customHeight="1">
      <c r="A39" s="28" t="s">
        <v>181</v>
      </c>
      <c r="B39" s="32">
        <f>'Raw Values'!E39</f>
        <v>0.075</v>
      </c>
      <c r="C39" s="34">
        <f>'Raw Values'!U39</f>
        <v>30</v>
      </c>
      <c r="D39" s="43">
        <f>'Raw Values'!AA39</f>
        <v>0.25</v>
      </c>
      <c r="E39" s="43">
        <f>'Raw Values'!AB39</f>
        <v>0.08</v>
      </c>
      <c r="F39" s="130"/>
      <c r="G39" s="39">
        <v>0.0</v>
      </c>
      <c r="H39" s="41">
        <f>('Raw Values'!$U39)*(0.1^('Raw Values'!$E39/'Raw Values'!$AA39))</f>
        <v>15.03561701</v>
      </c>
      <c r="I39" s="41">
        <f>('Raw Values'!$U39+H39)*(0.1^('Raw Values'!$E39/'Raw Values'!$AA39))</f>
        <v>22.5712763</v>
      </c>
      <c r="J39" s="41">
        <f>('Raw Values'!$U39+I39)*(0.1^('Raw Values'!$E39/'Raw Values'!$AA39))</f>
        <v>26.34805254</v>
      </c>
      <c r="K39" s="41">
        <f>('Raw Values'!$U39+J39)*(0.1^('Raw Values'!$E39/'Raw Values'!$AA39))</f>
        <v>28.24092457</v>
      </c>
      <c r="L39" s="41">
        <f>('Raw Values'!$U39+K39)*(0.1^('Raw Values'!$E39/'Raw Values'!$AA39))</f>
        <v>29.18960787</v>
      </c>
      <c r="M39" s="41">
        <f>('Raw Values'!$U39+L39)*(0.1^('Raw Values'!$E39/'Raw Values'!$AA39))</f>
        <v>29.66507583</v>
      </c>
      <c r="N39" s="41">
        <f>('Raw Values'!$U39+M39)*(0.1^('Raw Values'!$E39/'Raw Values'!$AA39))</f>
        <v>29.9033743</v>
      </c>
      <c r="O39" s="41">
        <f>('Raw Values'!$U39+N39)*(0.1^('Raw Values'!$E39/'Raw Values'!$AA39))</f>
        <v>30.02280645</v>
      </c>
      <c r="P39" s="41">
        <f>('Raw Values'!$U39+O39)*(0.1^('Raw Values'!$E39/'Raw Values'!$AA39))</f>
        <v>30.08266432</v>
      </c>
      <c r="Q39" s="41">
        <f>('Raw Values'!$U39+P39)*(0.1^('Raw Values'!$E39/Analysis!$AH39))</f>
        <v>24.59337593</v>
      </c>
      <c r="R39" s="41">
        <f>('Raw Values'!$U39+Q39)*(0.1^('Raw Values'!$E39/Analysis!$AI39))</f>
        <v>15.42977038</v>
      </c>
      <c r="S39" s="41">
        <f>('Raw Values'!$U39+R39)*(0.1^('Raw Values'!$E39/'Raw Values'!$AB39))</f>
        <v>5.24614804</v>
      </c>
      <c r="T39" s="41">
        <f>('Raw Values'!$U39+S39)*(0.1^('Raw Values'!$E39/'Raw Values'!$AB39))</f>
        <v>4.070161679</v>
      </c>
      <c r="U39" s="41">
        <f>('Raw Values'!$U39+T39)*(0.1^('Raw Values'!$E39/'Raw Values'!$AB39))</f>
        <v>3.934360892</v>
      </c>
      <c r="V39" s="41">
        <f>('Raw Values'!$U39+U39)*(0.1^('Raw Values'!$E39/'Raw Values'!$AB39))</f>
        <v>3.918678862</v>
      </c>
      <c r="W39" s="41">
        <f>('Raw Values'!$U39+V39)*(0.1^('Raw Values'!$E39/'Raw Values'!$AB39))</f>
        <v>3.916867929</v>
      </c>
      <c r="X39" s="41">
        <f>('Raw Values'!$U39+W39)*(0.1^('Raw Values'!$E39/'Raw Values'!$AB39))</f>
        <v>3.916658806</v>
      </c>
      <c r="Y39" s="41">
        <f>('Raw Values'!$U39+X39)*(0.1^('Raw Values'!$E39/'Raw Values'!$AB39))</f>
        <v>3.916634657</v>
      </c>
      <c r="Z39" s="41">
        <f>('Raw Values'!$U39+Y39)*(0.1^('Raw Values'!$E39/'Raw Values'!$AB39))</f>
        <v>3.916631868</v>
      </c>
      <c r="AA39" s="41">
        <f>('Raw Values'!$U39+Z39)*(0.1^('Raw Values'!$E39/'Raw Values'!$AB39))</f>
        <v>3.916631546</v>
      </c>
      <c r="AB39" s="41">
        <f>('Raw Values'!$U39+AA39)*(0.1^('Raw Values'!$E39/'Raw Values'!$AB39))</f>
        <v>3.916631509</v>
      </c>
      <c r="AC39" s="41">
        <f>('Raw Values'!$U39+AB39)*(0.1^('Raw Values'!$E39/'Raw Values'!$AB39))</f>
        <v>3.916631505</v>
      </c>
      <c r="AD39" s="41">
        <f>('Raw Values'!$U39+AC39)*(0.1^('Raw Values'!$E39/'Raw Values'!$AB39))</f>
        <v>3.916631504</v>
      </c>
      <c r="AE39" s="41">
        <f>('Raw Values'!$U39+AD39)*(0.1^('Raw Values'!$E39/'Raw Values'!$AB39))</f>
        <v>3.916631504</v>
      </c>
      <c r="AF39" s="41">
        <f>('Raw Values'!$U39+AE39)*(0.1^('Raw Values'!$E39/'Raw Values'!$AB39))</f>
        <v>3.916631504</v>
      </c>
      <c r="AG39" s="41">
        <f>('Raw Values'!$U39+AF39)*(0.1^('Raw Values'!$E39/'Raw Values'!$AB39))</f>
        <v>3.916631504</v>
      </c>
      <c r="AH39" s="41">
        <f>('Raw Values'!$U39+AG39)*(0.1^('Raw Values'!$E39/'Raw Values'!$AB39))</f>
        <v>3.916631504</v>
      </c>
      <c r="AI39" s="41">
        <f>('Raw Values'!$U39+AH39)*(0.1^('Raw Values'!$E39/'Raw Values'!$AB39))</f>
        <v>3.916631504</v>
      </c>
      <c r="AJ39" s="41">
        <f>('Raw Values'!$U39+AI39)*(0.1^('Raw Values'!$E39/'Raw Values'!$AB39))</f>
        <v>3.916631504</v>
      </c>
    </row>
    <row r="40" ht="15.75" customHeight="1">
      <c r="A40" s="75"/>
      <c r="B40" s="77"/>
      <c r="C40" s="131"/>
      <c r="D40" s="132"/>
      <c r="E40" s="132"/>
      <c r="F40" s="133"/>
      <c r="G40" s="79"/>
      <c r="H40" s="79"/>
      <c r="I40" s="79"/>
      <c r="J40" s="79"/>
      <c r="K40" s="79"/>
      <c r="L40" s="79"/>
      <c r="M40" s="79"/>
      <c r="N40" s="79"/>
      <c r="O40" s="79"/>
      <c r="P40" s="79"/>
      <c r="Q40" s="79"/>
      <c r="R40" s="79"/>
      <c r="S40" s="79"/>
      <c r="T40" s="79"/>
      <c r="U40" s="79"/>
      <c r="V40" s="79"/>
      <c r="W40" s="79"/>
      <c r="X40" s="79"/>
      <c r="Y40" s="79"/>
      <c r="Z40" s="79"/>
      <c r="AA40" s="134"/>
      <c r="AB40" s="134"/>
      <c r="AC40" s="134"/>
      <c r="AD40" s="134"/>
      <c r="AE40" s="134"/>
      <c r="AF40" s="134"/>
      <c r="AG40" s="134"/>
      <c r="AH40" s="134"/>
      <c r="AI40" s="134"/>
      <c r="AJ40" s="134"/>
    </row>
    <row r="41" ht="15.75" customHeight="1">
      <c r="A41" s="5" t="s">
        <v>184</v>
      </c>
      <c r="B41" s="11" t="s">
        <v>19</v>
      </c>
      <c r="C41" s="9" t="s">
        <v>204</v>
      </c>
      <c r="D41" s="21" t="s">
        <v>220</v>
      </c>
      <c r="E41" s="21" t="s">
        <v>221</v>
      </c>
      <c r="F41" s="125"/>
      <c r="G41" s="127">
        <v>1.0</v>
      </c>
      <c r="H41" s="127">
        <v>2.0</v>
      </c>
      <c r="I41" s="127">
        <v>3.0</v>
      </c>
      <c r="J41" s="127">
        <v>4.0</v>
      </c>
      <c r="K41" s="127">
        <v>5.0</v>
      </c>
      <c r="L41" s="127">
        <v>6.0</v>
      </c>
      <c r="M41" s="127">
        <v>7.0</v>
      </c>
      <c r="N41" s="127">
        <v>8.0</v>
      </c>
      <c r="O41" s="127">
        <v>9.0</v>
      </c>
      <c r="P41" s="127">
        <v>10.0</v>
      </c>
      <c r="Q41" s="127">
        <v>11.0</v>
      </c>
      <c r="R41" s="127">
        <v>12.0</v>
      </c>
      <c r="S41" s="127">
        <v>13.0</v>
      </c>
      <c r="T41" s="127">
        <v>14.0</v>
      </c>
      <c r="U41" s="127">
        <v>15.0</v>
      </c>
      <c r="V41" s="127">
        <v>16.0</v>
      </c>
      <c r="W41" s="127">
        <v>17.0</v>
      </c>
      <c r="X41" s="127">
        <v>18.0</v>
      </c>
      <c r="Y41" s="127">
        <v>19.0</v>
      </c>
      <c r="Z41" s="127">
        <v>20.0</v>
      </c>
      <c r="AA41" s="135"/>
      <c r="AB41" s="136"/>
      <c r="AC41" s="136"/>
      <c r="AD41" s="136"/>
      <c r="AE41" s="136"/>
      <c r="AF41" s="136"/>
      <c r="AG41" s="136"/>
      <c r="AH41" s="136"/>
      <c r="AI41" s="136"/>
      <c r="AJ41" s="136"/>
    </row>
    <row r="42" ht="15.75" customHeight="1">
      <c r="A42" s="28" t="s">
        <v>186</v>
      </c>
      <c r="B42" s="32">
        <f>'Raw Values'!E42</f>
        <v>1.455</v>
      </c>
      <c r="C42" s="34">
        <f>'Raw Values'!U42</f>
        <v>53.85</v>
      </c>
      <c r="D42" s="43">
        <f>'Raw Values'!AA42</f>
        <v>0.24671</v>
      </c>
      <c r="E42" s="43" t="s">
        <v>209</v>
      </c>
      <c r="F42" s="130"/>
      <c r="G42" s="39">
        <v>0.0</v>
      </c>
      <c r="H42" s="41">
        <f>('Raw Values'!$U42)*(0.1^('Raw Values'!$E42/'Raw Values'!$AA42))</f>
        <v>0.00006816683437</v>
      </c>
      <c r="I42" s="41">
        <f>('Raw Values'!$U42+H42)*(0.1^('Raw Values'!$E42/'Raw Values'!$AA42))</f>
        <v>0.00006816692066</v>
      </c>
      <c r="J42" s="41">
        <f>('Raw Values'!$U42+I42)*(0.1^('Raw Values'!$E42/Analysis!$AA42))</f>
        <v>0.00006816692066</v>
      </c>
      <c r="K42" s="41">
        <f>('Raw Values'!$U42+J42)*(0.1^('Raw Values'!$E42/Analysis!$AB42))</f>
        <v>0.00006816692066</v>
      </c>
      <c r="L42" s="41">
        <f>('Raw Values'!$U42+K42)*(0.1^('Raw Values'!$E42/'Raw Values'!$AB42))</f>
        <v>0.00006816692066</v>
      </c>
      <c r="M42" s="41">
        <f>('Raw Values'!$U42+L42)*(0.1^('Raw Values'!$E42/'Raw Values'!$AB42))</f>
        <v>0.00006816692066</v>
      </c>
      <c r="N42" s="41">
        <f>('Raw Values'!$U42+M42)*(0.1^('Raw Values'!$E42/'Raw Values'!$AB42))</f>
        <v>0.00006816692066</v>
      </c>
      <c r="O42" s="41">
        <f>('Raw Values'!$U42+N42)*(0.1^('Raw Values'!$E42/'Raw Values'!$AB42))</f>
        <v>0.00006816692066</v>
      </c>
      <c r="P42" s="41">
        <f>('Raw Values'!$U42+O42)*(0.1^('Raw Values'!$E42/'Raw Values'!$AB42))</f>
        <v>0.00006816692066</v>
      </c>
      <c r="Q42" s="41"/>
      <c r="R42" s="41"/>
      <c r="S42" s="41"/>
      <c r="T42" s="41"/>
      <c r="U42" s="41"/>
      <c r="V42" s="41"/>
      <c r="W42" s="41"/>
      <c r="X42" s="41"/>
      <c r="Y42" s="39"/>
      <c r="Z42" s="39"/>
      <c r="AA42" s="146"/>
      <c r="AB42" s="146"/>
      <c r="AC42" s="146"/>
      <c r="AD42" s="146"/>
      <c r="AE42" s="146"/>
      <c r="AF42" s="146"/>
      <c r="AG42" s="146"/>
      <c r="AH42" s="146"/>
      <c r="AI42" s="146"/>
      <c r="AJ42" s="146"/>
    </row>
    <row r="43" ht="15.75" customHeight="1">
      <c r="A43" s="66" t="s">
        <v>188</v>
      </c>
      <c r="B43" s="32">
        <f>'Raw Values'!E43</f>
        <v>0.25</v>
      </c>
      <c r="C43" s="34">
        <f>'Raw Values'!U43</f>
        <v>18.61</v>
      </c>
      <c r="D43" s="43">
        <f>'Raw Values'!AA43</f>
        <v>0.388808</v>
      </c>
      <c r="E43" s="43" t="s">
        <v>209</v>
      </c>
      <c r="F43" s="130"/>
      <c r="G43" s="39">
        <v>0.0</v>
      </c>
      <c r="H43" s="41">
        <f>('Raw Values'!$U43)*(0.1^('Raw Values'!$E43/'Raw Values'!$AA43))</f>
        <v>4.234045183</v>
      </c>
      <c r="I43" s="41">
        <f>('Raw Values'!$U43+H43)*(0.1^('Raw Values'!$E43/'Raw Values'!$AA43))</f>
        <v>5.197351932</v>
      </c>
      <c r="J43" s="41">
        <f>('Raw Values'!$U43+I43)*(0.1^('Raw Values'!$E43/Analysis!$AA43))</f>
        <v>5.416518203</v>
      </c>
      <c r="K43" s="41">
        <f>('Raw Values'!$U43+J43)*(0.1^('Raw Values'!$E43/Analysis!$AB43))</f>
        <v>5.466381711</v>
      </c>
      <c r="L43" s="41">
        <f>('Raw Values'!$U43+K43)*(0.1^('Raw Values'!$E43/'Raw Values'!$AB43))</f>
        <v>5.477726384</v>
      </c>
      <c r="M43" s="41">
        <f>('Raw Values'!$U43+L43)*(0.1^('Raw Values'!$E43/'Raw Values'!$AB43))</f>
        <v>5.480307461</v>
      </c>
      <c r="N43" s="41">
        <f>('Raw Values'!$U43+M43)*(0.1^('Raw Values'!$E43/'Raw Values'!$AB43))</f>
        <v>5.480894694</v>
      </c>
      <c r="O43" s="41">
        <f>('Raw Values'!$U43+N43)*(0.1^('Raw Values'!$E43/'Raw Values'!$AB43))</f>
        <v>5.481028298</v>
      </c>
      <c r="P43" s="41">
        <f>('Raw Values'!$U43+O43)*(0.1^('Raw Values'!$E43/'Raw Values'!$AB43))</f>
        <v>5.481058695</v>
      </c>
      <c r="Q43" s="41">
        <f>('Raw Values'!$U43+P43)*(0.1^('Raw Values'!$E43/'Raw Values'!$AB43))</f>
        <v>5.48106561</v>
      </c>
      <c r="R43" s="41">
        <f>('Raw Values'!$U43+Q43)*(0.1^('Raw Values'!$E43/'Raw Values'!$AB43))</f>
        <v>5.481067184</v>
      </c>
      <c r="S43" s="41">
        <f>('Raw Values'!$U43+R43)*(0.1^('Raw Values'!$E43/'Raw Values'!$AB43))</f>
        <v>5.481067542</v>
      </c>
      <c r="T43" s="41">
        <f>('Raw Values'!$U43+S43)*(0.1^('Raw Values'!$E43/'Raw Values'!$AB43))</f>
        <v>5.481067623</v>
      </c>
      <c r="U43" s="41">
        <f>('Raw Values'!$U43+T43)*(0.1^('Raw Values'!$E43/'Raw Values'!$AB43))</f>
        <v>5.481067642</v>
      </c>
      <c r="V43" s="41">
        <f>('Raw Values'!$U43+U43)*(0.1^('Raw Values'!$E43/'Raw Values'!$AB43))</f>
        <v>5.481067646</v>
      </c>
      <c r="W43" s="41">
        <f>('Raw Values'!$U43+V43)*(0.1^('Raw Values'!$E43/'Raw Values'!$AB43))</f>
        <v>5.481067647</v>
      </c>
      <c r="X43" s="41">
        <f>('Raw Values'!$U43+W43)*(0.1^('Raw Values'!$E43/'Raw Values'!$AB43))</f>
        <v>5.481067647</v>
      </c>
      <c r="Y43" s="39">
        <f>('Raw Values'!$U43+X43)*(0.1^('Raw Values'!$E43/'Raw Values'!$AB43))</f>
        <v>5.481067647</v>
      </c>
      <c r="Z43" s="39">
        <f>('Raw Values'!$U43+Y43)*(0.1^('Raw Values'!$E43/'Raw Values'!$AB43))</f>
        <v>5.481067647</v>
      </c>
      <c r="AA43" s="146"/>
      <c r="AB43" s="146"/>
      <c r="AC43" s="146"/>
      <c r="AD43" s="146"/>
      <c r="AE43" s="146"/>
      <c r="AF43" s="146"/>
      <c r="AG43" s="146"/>
      <c r="AH43" s="146"/>
      <c r="AI43" s="146"/>
      <c r="AJ43" s="146"/>
    </row>
    <row r="44" ht="15.75" customHeight="1">
      <c r="A44" s="61" t="s">
        <v>190</v>
      </c>
      <c r="B44" s="32">
        <f>'Raw Values'!E44</f>
        <v>0.25</v>
      </c>
      <c r="C44" s="34">
        <f>'Raw Values'!U44</f>
        <v>18.61</v>
      </c>
      <c r="D44" s="43">
        <f>'Raw Values'!AA44</f>
        <v>0.388808</v>
      </c>
      <c r="E44" s="43" t="s">
        <v>209</v>
      </c>
      <c r="F44" s="130"/>
      <c r="G44" s="39">
        <v>0.0</v>
      </c>
      <c r="H44" s="41">
        <f>('Raw Values'!$U44)*(0.1^('Raw Values'!$E44/'Raw Values'!$AA44))</f>
        <v>4.234045183</v>
      </c>
      <c r="I44" s="41">
        <f>('Raw Values'!$U44+H44)*(0.1^('Raw Values'!$E44/'Raw Values'!$AA44))</f>
        <v>5.197351932</v>
      </c>
      <c r="J44" s="41">
        <f>('Raw Values'!$U44+I44)*(0.1^('Raw Values'!$E44/Analysis!$AA44))</f>
        <v>5.416518203</v>
      </c>
      <c r="K44" s="41">
        <f>('Raw Values'!$U44+J44)*(0.1^('Raw Values'!$E44/Analysis!$AB44))</f>
        <v>5.466381711</v>
      </c>
      <c r="L44" s="41">
        <f>('Raw Values'!$U44+K44)*(0.1^('Raw Values'!$E44/'Raw Values'!$AB44))</f>
        <v>5.477726384</v>
      </c>
      <c r="M44" s="41">
        <f>('Raw Values'!$U44+L44)*(0.1^('Raw Values'!$E44/'Raw Values'!$AB44))</f>
        <v>5.480307461</v>
      </c>
      <c r="N44" s="41">
        <f>('Raw Values'!$U44+M44)*(0.1^('Raw Values'!$E44/'Raw Values'!$AB44))</f>
        <v>5.480894694</v>
      </c>
      <c r="O44" s="41">
        <f>('Raw Values'!$U44+N44)*(0.1^('Raw Values'!$E44/'Raw Values'!$AB44))</f>
        <v>5.481028298</v>
      </c>
      <c r="P44" s="41">
        <f>('Raw Values'!$U44+O44)*(0.1^('Raw Values'!$E44/'Raw Values'!$AB44))</f>
        <v>5.481058695</v>
      </c>
      <c r="Q44" s="41">
        <f>('Raw Values'!$U44+P44)*(0.1^('Raw Values'!$E44/'Raw Values'!$AB44))</f>
        <v>5.48106561</v>
      </c>
      <c r="R44" s="41">
        <f>('Raw Values'!$U44+Q44)*(0.1^('Raw Values'!$E44/'Raw Values'!$AB44))</f>
        <v>5.481067184</v>
      </c>
      <c r="S44" s="41">
        <f>('Raw Values'!$U44+R44)*(0.1^('Raw Values'!$E44/'Raw Values'!$AB44))</f>
        <v>5.481067542</v>
      </c>
      <c r="T44" s="41">
        <f>('Raw Values'!$U44+S44)*(0.1^('Raw Values'!$E44/'Raw Values'!$AB44))</f>
        <v>5.481067623</v>
      </c>
      <c r="U44" s="41">
        <f>('Raw Values'!$U44+T44)*(0.1^('Raw Values'!$E44/'Raw Values'!$AB44))</f>
        <v>5.481067642</v>
      </c>
      <c r="V44" s="41">
        <f>('Raw Values'!$U44+U44)*(0.1^('Raw Values'!$E44/'Raw Values'!$AB44))</f>
        <v>5.481067646</v>
      </c>
      <c r="W44" s="41">
        <f>('Raw Values'!$U44+V44)*(0.1^('Raw Values'!$E44/'Raw Values'!$AB44))</f>
        <v>5.481067647</v>
      </c>
      <c r="X44" s="41">
        <f>('Raw Values'!$U44+W44)*(0.1^('Raw Values'!$E44/'Raw Values'!$AB44))</f>
        <v>5.481067647</v>
      </c>
      <c r="Y44" s="39">
        <f>('Raw Values'!$U44+X44)*(0.1^('Raw Values'!$E44/'Raw Values'!$AB44))</f>
        <v>5.481067647</v>
      </c>
      <c r="Z44" s="39">
        <f>('Raw Values'!$U44+Y44)*(0.1^('Raw Values'!$E44/'Raw Values'!$AB44))</f>
        <v>5.481067647</v>
      </c>
      <c r="AA44" s="146"/>
      <c r="AB44" s="146"/>
      <c r="AC44" s="146"/>
      <c r="AD44" s="146"/>
      <c r="AE44" s="146"/>
      <c r="AF44" s="146"/>
      <c r="AG44" s="146"/>
      <c r="AH44" s="146"/>
      <c r="AI44" s="146"/>
      <c r="AJ44" s="146"/>
    </row>
    <row r="45" ht="15.75" customHeight="1">
      <c r="A45" s="28" t="s">
        <v>192</v>
      </c>
      <c r="B45" s="32">
        <f>'Raw Values'!E45</f>
        <v>1.25</v>
      </c>
      <c r="C45" s="34">
        <f>'Raw Values'!U45</f>
        <v>22.92</v>
      </c>
      <c r="D45" s="43">
        <f>'Raw Values'!AA45</f>
        <v>0.055783</v>
      </c>
      <c r="E45" s="43" t="s">
        <v>209</v>
      </c>
      <c r="F45" s="130"/>
      <c r="G45" s="39">
        <v>0.0</v>
      </c>
      <c r="H45" s="41">
        <f>('Raw Values'!$U45)*(0.1^('Raw Values'!$E45/'Raw Values'!$AA45))</f>
        <v>0</v>
      </c>
      <c r="I45" s="41">
        <f>('Raw Values'!$U45+H45)*(0.1^('Raw Values'!$E45/'Raw Values'!$AA45))</f>
        <v>0</v>
      </c>
      <c r="J45" s="41">
        <f>('Raw Values'!$U45+I45)*(0.1^('Raw Values'!$E45/Analysis!$AA45))</f>
        <v>0</v>
      </c>
      <c r="K45" s="41">
        <f>('Raw Values'!$U45+J45)*(0.1^('Raw Values'!$E45/Analysis!$AB45))</f>
        <v>0</v>
      </c>
      <c r="L45" s="41">
        <f>('Raw Values'!$U45+K45)*(0.1^('Raw Values'!$E45/'Raw Values'!$AB45))</f>
        <v>0</v>
      </c>
      <c r="M45" s="41">
        <f>('Raw Values'!$U45+L45)*(0.1^('Raw Values'!$E45/'Raw Values'!$AB45))</f>
        <v>0</v>
      </c>
      <c r="N45" s="41">
        <f>('Raw Values'!$U45+M45)*(0.1^('Raw Values'!$E45/'Raw Values'!$AB45))</f>
        <v>0</v>
      </c>
      <c r="O45" s="41">
        <f>('Raw Values'!$U45+N45)*(0.1^('Raw Values'!$E45/'Raw Values'!$AB45))</f>
        <v>0</v>
      </c>
      <c r="P45" s="41">
        <f>('Raw Values'!$U45+O45)*(0.1^('Raw Values'!$E45/'Raw Values'!$AB45))</f>
        <v>0</v>
      </c>
      <c r="Q45" s="41"/>
      <c r="R45" s="41"/>
      <c r="S45" s="41"/>
      <c r="T45" s="41"/>
      <c r="U45" s="41"/>
      <c r="V45" s="41"/>
      <c r="W45" s="41"/>
      <c r="X45" s="41"/>
      <c r="Y45" s="39"/>
      <c r="Z45" s="39"/>
      <c r="AA45" s="146"/>
      <c r="AB45" s="146"/>
      <c r="AC45" s="146"/>
      <c r="AD45" s="146"/>
      <c r="AE45" s="146"/>
      <c r="AF45" s="146"/>
      <c r="AG45" s="146"/>
      <c r="AH45" s="146"/>
      <c r="AI45" s="146"/>
      <c r="AJ45" s="146"/>
    </row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0"/>
  <cols>
    <col customWidth="1" min="1" max="1" width="14.57"/>
    <col customWidth="1" min="2" max="5" width="11.71"/>
    <col customWidth="1" min="6" max="6" width="4.57"/>
    <col customWidth="1" min="7" max="36" width="11.71"/>
  </cols>
  <sheetData>
    <row r="1" ht="15.75" customHeight="1">
      <c r="A1" s="5" t="s">
        <v>1</v>
      </c>
      <c r="B1" s="11" t="s">
        <v>19</v>
      </c>
      <c r="C1" s="9" t="s">
        <v>204</v>
      </c>
      <c r="D1" s="21" t="s">
        <v>220</v>
      </c>
      <c r="E1" s="21" t="s">
        <v>221</v>
      </c>
      <c r="F1" s="125"/>
      <c r="G1" s="127">
        <v>1.0</v>
      </c>
      <c r="H1" s="127">
        <v>2.0</v>
      </c>
      <c r="I1" s="127">
        <v>3.0</v>
      </c>
      <c r="J1" s="127">
        <v>4.0</v>
      </c>
      <c r="K1" s="127">
        <v>5.0</v>
      </c>
      <c r="L1" s="127">
        <v>6.0</v>
      </c>
      <c r="M1" s="127">
        <v>7.0</v>
      </c>
      <c r="N1" s="127">
        <v>8.0</v>
      </c>
      <c r="O1" s="127">
        <v>9.0</v>
      </c>
      <c r="P1" s="127">
        <v>10.0</v>
      </c>
      <c r="Q1" s="127">
        <v>11.0</v>
      </c>
      <c r="R1" s="127">
        <v>12.0</v>
      </c>
      <c r="S1" s="127">
        <v>13.0</v>
      </c>
      <c r="T1" s="127">
        <v>14.0</v>
      </c>
      <c r="U1" s="127">
        <v>15.0</v>
      </c>
      <c r="V1" s="127">
        <v>16.0</v>
      </c>
      <c r="W1" s="127">
        <v>17.0</v>
      </c>
      <c r="X1" s="127">
        <v>18.0</v>
      </c>
      <c r="Y1" s="127">
        <v>19.0</v>
      </c>
      <c r="Z1" s="127">
        <v>20.0</v>
      </c>
      <c r="AA1" s="127">
        <v>21.0</v>
      </c>
      <c r="AB1" s="127">
        <v>22.0</v>
      </c>
      <c r="AC1" s="127">
        <v>23.0</v>
      </c>
      <c r="AD1" s="127">
        <v>24.0</v>
      </c>
      <c r="AE1" s="127">
        <v>25.0</v>
      </c>
      <c r="AF1" s="127">
        <v>26.0</v>
      </c>
      <c r="AG1" s="127">
        <v>27.0</v>
      </c>
      <c r="AH1" s="127">
        <v>28.0</v>
      </c>
      <c r="AI1" s="127">
        <v>29.0</v>
      </c>
      <c r="AJ1" s="127">
        <v>30.0</v>
      </c>
    </row>
    <row r="2" ht="15.75" customHeight="1">
      <c r="A2" s="28" t="s">
        <v>104</v>
      </c>
      <c r="B2" s="32">
        <f>'Raw Values'!E2</f>
        <v>0.225</v>
      </c>
      <c r="C2" s="34">
        <f>'Raw Values'!U2</f>
        <v>72.23</v>
      </c>
      <c r="D2" s="43">
        <f>'Raw Values'!AA2</f>
        <v>0.449927</v>
      </c>
      <c r="E2" s="43" t="str">
        <f>'Firing Inaccuracy(Crouching) Ra'!E2</f>
        <v>N/A</v>
      </c>
      <c r="F2" s="130"/>
      <c r="G2" s="39">
        <f>'Firing Inaccuracy(Crouching) Ra'!G2+Analysis!$B2</f>
        <v>4.18</v>
      </c>
      <c r="H2" s="39">
        <f>'Firing Inaccuracy(Crouching) Ra'!H2+Analysis!$B2</f>
        <v>27.01686532</v>
      </c>
      <c r="I2" s="39">
        <f>'Firing Inaccuracy(Crouching) Ra'!I2+Analysis!$B2</f>
        <v>34.23716737</v>
      </c>
      <c r="J2" s="39">
        <f>'Firing Inaccuracy(Crouching) Ra'!J2+Analysis!$B2</f>
        <v>36.5200009</v>
      </c>
      <c r="K2" s="39">
        <f>'Firing Inaccuracy(Crouching) Ra'!K2+Analysis!$B2</f>
        <v>37.24176141</v>
      </c>
      <c r="L2" s="39">
        <f>'Firing Inaccuracy(Crouching) Ra'!L2+Analysis!$B2</f>
        <v>37.46995949</v>
      </c>
      <c r="M2" s="39">
        <f>'Firing Inaccuracy(Crouching) Ra'!M2+Analysis!$B2</f>
        <v>37.54210859</v>
      </c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  <c r="AF2" s="41"/>
      <c r="AG2" s="41"/>
      <c r="AH2" s="41"/>
      <c r="AI2" s="41"/>
      <c r="AJ2" s="41"/>
    </row>
    <row r="3" ht="15.75" customHeight="1">
      <c r="A3" s="28" t="s">
        <v>118</v>
      </c>
      <c r="B3" s="32">
        <f>'Raw Values'!AW3</f>
        <v>0.4</v>
      </c>
      <c r="C3" s="34">
        <f>'Raw Values'!AK3</f>
        <v>55</v>
      </c>
      <c r="D3" s="43">
        <f>'Raw Values'!AA3</f>
        <v>0.7</v>
      </c>
      <c r="E3" s="43" t="str">
        <f>'Firing Inaccuracy(Crouching) Ra'!E3</f>
        <v>N/A</v>
      </c>
      <c r="F3" s="130"/>
      <c r="G3" s="39" t="str">
        <f>'Firing Inaccuracy(Crouching) Ra'!G3+#REF!</f>
        <v>#REF!</v>
      </c>
      <c r="H3" s="39" t="str">
        <f>'Firing Inaccuracy(Crouching) Ra'!H3+#REF!</f>
        <v>#REF!</v>
      </c>
      <c r="I3" s="39" t="str">
        <f>'Firing Inaccuracy(Crouching) Ra'!I3+#REF!</f>
        <v>#REF!</v>
      </c>
      <c r="J3" s="39" t="str">
        <f>'Firing Inaccuracy(Crouching) Ra'!J3+#REF!</f>
        <v>#REF!</v>
      </c>
      <c r="K3" s="39" t="str">
        <f>'Firing Inaccuracy(Crouching) Ra'!K3+#REF!</f>
        <v>#REF!</v>
      </c>
      <c r="L3" s="39" t="str">
        <f>'Firing Inaccuracy(Crouching) Ra'!L3+#REF!</f>
        <v>#REF!</v>
      </c>
      <c r="M3" s="39" t="str">
        <f>'Firing Inaccuracy(Crouching) Ra'!M3+#REF!</f>
        <v>#REF!</v>
      </c>
      <c r="N3" s="39" t="str">
        <f>'Firing Inaccuracy(Crouching) Ra'!N3+#REF!</f>
        <v>#REF!</v>
      </c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  <c r="AA3" s="41"/>
      <c r="AB3" s="41"/>
      <c r="AC3" s="41"/>
      <c r="AD3" s="41"/>
      <c r="AE3" s="41"/>
      <c r="AF3" s="41"/>
      <c r="AG3" s="41"/>
      <c r="AH3" s="41"/>
      <c r="AI3" s="41"/>
      <c r="AJ3" s="41"/>
    </row>
    <row r="4" ht="15.75" customHeight="1">
      <c r="A4" s="28" t="s">
        <v>120</v>
      </c>
      <c r="B4" s="32">
        <f>'Raw Values'!E4</f>
        <v>0.12</v>
      </c>
      <c r="C4" s="34">
        <f>'Raw Values'!U4</f>
        <v>11.16</v>
      </c>
      <c r="D4" s="43">
        <f>'Raw Values'!AA4</f>
        <v>0.437491</v>
      </c>
      <c r="E4" s="43" t="str">
        <f>'Firing Inaccuracy(Crouching) Ra'!E4</f>
        <v>N/A</v>
      </c>
      <c r="F4" s="130"/>
      <c r="G4" s="39">
        <f>'Firing Inaccuracy(Crouching) Ra'!G4+Analysis!$B4</f>
        <v>7.25</v>
      </c>
      <c r="H4" s="39">
        <f>'Firing Inaccuracy(Crouching) Ra'!H4+Analysis!$B4</f>
        <v>13.18434564</v>
      </c>
      <c r="I4" s="39">
        <f>'Firing Inaccuracy(Crouching) Ra'!I4+Analysis!$B4</f>
        <v>16.76534337</v>
      </c>
      <c r="J4" s="39">
        <f>'Firing Inaccuracy(Crouching) Ra'!J4+Analysis!$B4</f>
        <v>18.24414281</v>
      </c>
      <c r="K4" s="39">
        <f>'Firing Inaccuracy(Crouching) Ra'!K4+Analysis!$B4</f>
        <v>19.45589761</v>
      </c>
      <c r="L4" s="39">
        <f>'Firing Inaccuracy(Crouching) Ra'!L4+Analysis!$B4</f>
        <v>19.6748488</v>
      </c>
      <c r="M4" s="39">
        <f>'Firing Inaccuracy(Crouching) Ra'!M4+Analysis!$B4</f>
        <v>20.21667752</v>
      </c>
      <c r="N4" s="39">
        <f>'Firing Inaccuracy(Crouching) Ra'!N4+Analysis!$B4</f>
        <v>20.07939458</v>
      </c>
      <c r="O4" s="39">
        <f>'Firing Inaccuracy(Crouching) Ra'!O4+Analysis!$B4</f>
        <v>20.43179531</v>
      </c>
      <c r="P4" s="39">
        <f>'Firing Inaccuracy(Crouching) Ra'!P4+Analysis!$B4</f>
        <v>20.19378377</v>
      </c>
      <c r="Q4" s="39">
        <f>'Firing Inaccuracy(Crouching) Ra'!Q4+Analysis!$B4</f>
        <v>20.49262192</v>
      </c>
      <c r="R4" s="39">
        <f>'Firing Inaccuracy(Crouching) Ra'!R4+Analysis!$B4</f>
        <v>20.2261284</v>
      </c>
      <c r="S4" s="39">
        <f>'Firing Inaccuracy(Crouching) Ra'!S4+Analysis!$B4</f>
        <v>20.50982122</v>
      </c>
      <c r="T4" s="39">
        <f>'Firing Inaccuracy(Crouching) Ra'!T4+Analysis!$B4</f>
        <v>20.23527416</v>
      </c>
      <c r="U4" s="39">
        <f>'Firing Inaccuracy(Crouching) Ra'!U4+Analysis!$B4</f>
        <v>20.51468449</v>
      </c>
      <c r="V4" s="39">
        <f>'Firing Inaccuracy(Crouching) Ra'!V4+Analysis!$B4</f>
        <v>20.23786021</v>
      </c>
      <c r="W4" s="39">
        <f>'Firing Inaccuracy(Crouching) Ra'!W4+Analysis!$B4</f>
        <v>20.51605963</v>
      </c>
      <c r="X4" s="39">
        <f>'Firing Inaccuracy(Crouching) Ra'!X4+Analysis!$B4</f>
        <v>20.23859144</v>
      </c>
      <c r="Y4" s="39">
        <f>'Firing Inaccuracy(Crouching) Ra'!Y4+Analysis!$B4</f>
        <v>20.51644846</v>
      </c>
      <c r="Z4" s="39">
        <f>'Firing Inaccuracy(Crouching) Ra'!Z4+Analysis!$B4</f>
        <v>20.2387982</v>
      </c>
      <c r="AA4" s="39">
        <f>'Firing Inaccuracy(Crouching) Ra'!AA4+Analysis!$B4</f>
        <v>20.51655841</v>
      </c>
      <c r="AB4" s="39">
        <f>'Firing Inaccuracy(Crouching) Ra'!AB4+Analysis!$B4</f>
        <v>20.23885666</v>
      </c>
      <c r="AC4" s="39">
        <f>'Firing Inaccuracy(Crouching) Ra'!AC4+Analysis!$B4</f>
        <v>20.5165895</v>
      </c>
      <c r="AD4" s="39">
        <f>'Firing Inaccuracy(Crouching) Ra'!AD4+Analysis!$B4</f>
        <v>20.2388732</v>
      </c>
      <c r="AE4" s="39">
        <f>'Firing Inaccuracy(Crouching) Ra'!AE4+Analysis!$B4</f>
        <v>20.51659829</v>
      </c>
      <c r="AF4" s="39">
        <f>'Firing Inaccuracy(Crouching) Ra'!AF4+Analysis!$B4</f>
        <v>20.23887787</v>
      </c>
      <c r="AG4" s="39">
        <f>'Firing Inaccuracy(Crouching) Ra'!AG4+Analysis!$B4</f>
        <v>20.51660077</v>
      </c>
      <c r="AH4" s="39">
        <f>'Firing Inaccuracy(Crouching) Ra'!AH4+Analysis!$B4</f>
        <v>20.23887919</v>
      </c>
      <c r="AI4" s="39">
        <f>'Firing Inaccuracy(Crouching) Ra'!AI4+Analysis!$B4</f>
        <v>20.51660147</v>
      </c>
      <c r="AJ4" s="39">
        <f>'Firing Inaccuracy(Crouching) Ra'!AJ4+Analysis!$B4</f>
        <v>20.23887957</v>
      </c>
    </row>
    <row r="5" ht="15.75" customHeight="1">
      <c r="A5" s="61" t="s">
        <v>122</v>
      </c>
      <c r="B5" s="32">
        <f>'Raw Values'!E5</f>
        <v>0.15</v>
      </c>
      <c r="C5" s="34">
        <f>'Raw Values'!U5</f>
        <v>25</v>
      </c>
      <c r="D5" s="43">
        <f>'Raw Values'!AA5</f>
        <v>0.2</v>
      </c>
      <c r="E5" s="43">
        <f>'Firing Inaccuracy(Crouching) Ra'!E5</f>
        <v>0.5</v>
      </c>
      <c r="F5" s="130"/>
      <c r="G5" s="39">
        <f>'Firing Inaccuracy(Crouching) Ra'!G5+Analysis!$B5</f>
        <v>8.83</v>
      </c>
      <c r="H5" s="39">
        <f>'Firing Inaccuracy(Crouching) Ra'!H5+Analysis!$B5</f>
        <v>15.45242322</v>
      </c>
      <c r="I5" s="39">
        <f>'Firing Inaccuracy(Crouching) Ra'!I5+Analysis!$B5</f>
        <v>19.5759582</v>
      </c>
      <c r="J5" s="39">
        <f>'Firing Inaccuracy(Crouching) Ra'!J5+Analysis!$B5</f>
        <v>23.23423178</v>
      </c>
      <c r="K5" s="39">
        <f>'Firing Inaccuracy(Crouching) Ra'!K5+Analysis!$B5</f>
        <v>26.80354627</v>
      </c>
      <c r="L5" s="39">
        <f>'Firing Inaccuracy(Crouching) Ra'!L5+Analysis!$B5</f>
        <v>30.36779278</v>
      </c>
      <c r="M5" s="39">
        <f>'Firing Inaccuracy(Crouching) Ra'!M5+Analysis!$B5</f>
        <v>32.15414762</v>
      </c>
      <c r="N5" s="39">
        <f>'Firing Inaccuracy(Crouching) Ra'!N5+Analysis!$B5</f>
        <v>33.04944586</v>
      </c>
      <c r="O5" s="39">
        <f>'Firing Inaccuracy(Crouching) Ra'!O5+Analysis!$B5</f>
        <v>33.49815791</v>
      </c>
      <c r="P5" s="39">
        <f>'Firing Inaccuracy(Crouching) Ra'!P5+Analysis!$B5</f>
        <v>33.72304666</v>
      </c>
      <c r="Q5" s="39">
        <f>'Firing Inaccuracy(Crouching) Ra'!Q5+Analysis!$B5</f>
        <v>33.83575803</v>
      </c>
      <c r="R5" s="39">
        <f>'Firing Inaccuracy(Crouching) Ra'!R5+Analysis!$B5</f>
        <v>33.89224753</v>
      </c>
      <c r="S5" s="39">
        <f>'Firing Inaccuracy(Crouching) Ra'!S5+Analysis!$B5</f>
        <v>33.92055935</v>
      </c>
      <c r="T5" s="39">
        <f>'Firing Inaccuracy(Crouching) Ra'!T5+Analysis!$B5</f>
        <v>33.93474887</v>
      </c>
      <c r="U5" s="39">
        <f>'Firing Inaccuracy(Crouching) Ra'!U5+Analysis!$B5</f>
        <v>33.94186048</v>
      </c>
      <c r="V5" s="39">
        <f>'Firing Inaccuracy(Crouching) Ra'!V5+Analysis!$B5</f>
        <v>33.94542473</v>
      </c>
      <c r="W5" s="39">
        <f>'Firing Inaccuracy(Crouching) Ra'!W5+Analysis!$B5</f>
        <v>33.94721108</v>
      </c>
      <c r="X5" s="39">
        <f>'Firing Inaccuracy(Crouching) Ra'!X5+Analysis!$B5</f>
        <v>33.94810638</v>
      </c>
      <c r="Y5" s="39">
        <f>'Firing Inaccuracy(Crouching) Ra'!Y5+Analysis!$B5</f>
        <v>33.94855509</v>
      </c>
      <c r="Z5" s="39">
        <f>'Firing Inaccuracy(Crouching) Ra'!Z5+Analysis!$B5</f>
        <v>33.94877998</v>
      </c>
      <c r="AA5" s="41"/>
      <c r="AB5" s="41"/>
      <c r="AC5" s="41"/>
      <c r="AD5" s="41"/>
      <c r="AE5" s="41"/>
      <c r="AF5" s="41"/>
      <c r="AG5" s="41"/>
      <c r="AH5" s="41"/>
      <c r="AI5" s="41"/>
      <c r="AJ5" s="41"/>
    </row>
    <row r="6" ht="15.75" customHeight="1">
      <c r="A6" s="66" t="s">
        <v>124</v>
      </c>
      <c r="B6" s="32">
        <f>'Raw Values'!E6</f>
        <v>0.15</v>
      </c>
      <c r="C6" s="34">
        <f>'Raw Values'!U6</f>
        <v>56</v>
      </c>
      <c r="D6" s="43">
        <f>'Raw Values'!AA6</f>
        <v>0.2</v>
      </c>
      <c r="E6" s="43">
        <f>'Firing Inaccuracy(Crouching) Ra'!E6</f>
        <v>0.33</v>
      </c>
      <c r="F6" s="130"/>
      <c r="G6" s="39">
        <f>'Firing Inaccuracy(Crouching) Ra'!G6+Analysis!$B6</f>
        <v>6.2</v>
      </c>
      <c r="H6" s="39">
        <f>'Firing Inaccuracy(Crouching) Ra'!H6+Analysis!$B6</f>
        <v>18.34706101</v>
      </c>
      <c r="I6" s="39">
        <f>'Firing Inaccuracy(Crouching) Ra'!I6+Analysis!$B6</f>
        <v>23.50649158</v>
      </c>
      <c r="J6" s="39">
        <f>'Firing Inaccuracy(Crouching) Ra'!J6+Analysis!$B6</f>
        <v>27.36284687</v>
      </c>
      <c r="K6" s="39">
        <f>'Firing Inaccuracy(Crouching) Ra'!K6+Analysis!$B6</f>
        <v>30.97348982</v>
      </c>
      <c r="L6" s="39">
        <f>'Firing Inaccuracy(Crouching) Ra'!L6+Analysis!$B6</f>
        <v>34.56112098</v>
      </c>
      <c r="M6" s="39">
        <f>'Firing Inaccuracy(Crouching) Ra'!M6+Analysis!$B6</f>
        <v>35.82080707</v>
      </c>
      <c r="N6" s="39">
        <f>'Firing Inaccuracy(Crouching) Ra'!N6+Analysis!$B6</f>
        <v>36.26310701</v>
      </c>
      <c r="O6" s="39">
        <f>'Firing Inaccuracy(Crouching) Ra'!O6+Analysis!$B6</f>
        <v>36.41840699</v>
      </c>
      <c r="P6" s="39">
        <f>'Firing Inaccuracy(Crouching) Ra'!P6+Analysis!$B6</f>
        <v>36.4729358</v>
      </c>
      <c r="Q6" s="39">
        <f>'Firing Inaccuracy(Crouching) Ra'!Q6+Analysis!$B6</f>
        <v>36.49208191</v>
      </c>
      <c r="R6" s="39">
        <f>'Firing Inaccuracy(Crouching) Ra'!R6+Analysis!$B6</f>
        <v>36.49880447</v>
      </c>
      <c r="S6" s="39">
        <f>'Firing Inaccuracy(Crouching) Ra'!S6+Analysis!$B6</f>
        <v>36.50116489</v>
      </c>
      <c r="T6" s="39">
        <f>'Firing Inaccuracy(Crouching) Ra'!T6+Analysis!$B6</f>
        <v>36.50199368</v>
      </c>
      <c r="U6" s="39">
        <f>'Firing Inaccuracy(Crouching) Ra'!U6+Analysis!$B6</f>
        <v>36.50228469</v>
      </c>
      <c r="V6" s="39">
        <f>'Firing Inaccuracy(Crouching) Ra'!V6+Analysis!$B6</f>
        <v>36.50238686</v>
      </c>
      <c r="W6" s="39">
        <f>'Firing Inaccuracy(Crouching) Ra'!W6+Analysis!$B6</f>
        <v>36.50242274</v>
      </c>
      <c r="X6" s="39">
        <f>'Firing Inaccuracy(Crouching) Ra'!X6+Analysis!$B6</f>
        <v>36.50243534</v>
      </c>
      <c r="Y6" s="39">
        <f>'Firing Inaccuracy(Crouching) Ra'!Y6+Analysis!$B6</f>
        <v>36.50243976</v>
      </c>
      <c r="Z6" s="39">
        <f>'Firing Inaccuracy(Crouching) Ra'!Z6+Analysis!$B6</f>
        <v>36.50244131</v>
      </c>
      <c r="AA6" s="41"/>
      <c r="AB6" s="41"/>
      <c r="AC6" s="41"/>
      <c r="AD6" s="41"/>
      <c r="AE6" s="41"/>
      <c r="AF6" s="41"/>
      <c r="AG6" s="41"/>
      <c r="AH6" s="41"/>
      <c r="AI6" s="41"/>
      <c r="AJ6" s="41"/>
    </row>
    <row r="7" ht="15.75" customHeight="1">
      <c r="A7" s="61" t="s">
        <v>125</v>
      </c>
      <c r="B7" s="32">
        <f>'Raw Values'!E7</f>
        <v>0.17</v>
      </c>
      <c r="C7" s="34">
        <f>'Raw Values'!U7</f>
        <v>50</v>
      </c>
      <c r="D7" s="43">
        <f>'Raw Values'!AA7</f>
        <v>0.291277</v>
      </c>
      <c r="E7" s="43" t="str">
        <f>'Firing Inaccuracy(Crouching) Ra'!E7</f>
        <v>N/A</v>
      </c>
      <c r="F7" s="130"/>
      <c r="G7" s="39">
        <f>'Firing Inaccuracy(Crouching) Ra'!G7+Analysis!$B7</f>
        <v>5.68</v>
      </c>
      <c r="H7" s="39">
        <f>'Firing Inaccuracy(Crouching) Ra'!H7+Analysis!$B7</f>
        <v>18.72166747</v>
      </c>
      <c r="I7" s="39">
        <f>'Firing Inaccuracy(Crouching) Ra'!I7+Analysis!$B7</f>
        <v>22.12336928</v>
      </c>
      <c r="J7" s="39">
        <f>'Firing Inaccuracy(Crouching) Ra'!J7+Analysis!$B7</f>
        <v>23.01064656</v>
      </c>
      <c r="K7" s="39">
        <f>'Firing Inaccuracy(Crouching) Ra'!K7+Analysis!$B7</f>
        <v>23.24207806</v>
      </c>
      <c r="L7" s="39">
        <f>'Firing Inaccuracy(Crouching) Ra'!L7+Analysis!$B7</f>
        <v>23.30244311</v>
      </c>
      <c r="M7" s="39">
        <f>'Firing Inaccuracy(Crouching) Ra'!M7+Analysis!$B7</f>
        <v>23.31818833</v>
      </c>
      <c r="N7" s="39">
        <f>'Firing Inaccuracy(Crouching) Ra'!N7+Analysis!$B7</f>
        <v>23.32229521</v>
      </c>
      <c r="O7" s="39">
        <f>'Firing Inaccuracy(Crouching) Ra'!O7+Analysis!$B7</f>
        <v>23.32336642</v>
      </c>
      <c r="P7" s="39">
        <f>'Firing Inaccuracy(Crouching) Ra'!P7+Analysis!$B7</f>
        <v>23.32364583</v>
      </c>
      <c r="Q7" s="39">
        <f>'Firing Inaccuracy(Crouching) Ra'!Q7+Analysis!$B7</f>
        <v>23.32371871</v>
      </c>
      <c r="R7" s="39">
        <f>'Firing Inaccuracy(Crouching) Ra'!R7+Analysis!$B7</f>
        <v>23.32373772</v>
      </c>
      <c r="S7" s="39">
        <f>'Firing Inaccuracy(Crouching) Ra'!S7+Analysis!$B7</f>
        <v>23.32374268</v>
      </c>
      <c r="T7" s="41"/>
      <c r="U7" s="41"/>
      <c r="V7" s="41"/>
      <c r="W7" s="41"/>
      <c r="X7" s="41"/>
      <c r="Y7" s="41"/>
      <c r="Z7" s="41"/>
      <c r="AA7" s="41"/>
      <c r="AB7" s="41"/>
      <c r="AC7" s="41"/>
      <c r="AD7" s="41"/>
      <c r="AE7" s="41"/>
      <c r="AF7" s="41"/>
      <c r="AG7" s="41"/>
      <c r="AH7" s="41"/>
      <c r="AI7" s="41"/>
      <c r="AJ7" s="41"/>
    </row>
    <row r="8" ht="15.75" customHeight="1">
      <c r="A8" s="61" t="s">
        <v>127</v>
      </c>
      <c r="B8" s="32">
        <f>'Raw Values'!E8</f>
        <v>0.17</v>
      </c>
      <c r="C8" s="34">
        <f>'Raw Values'!AK8</f>
        <v>52</v>
      </c>
      <c r="D8" s="43">
        <f>'Raw Values'!AA8</f>
        <v>0.291277</v>
      </c>
      <c r="E8" s="43" t="str">
        <f>'Firing Inaccuracy(Crouching) Ra'!E8</f>
        <v>N/A</v>
      </c>
      <c r="F8" s="130"/>
      <c r="G8" s="39">
        <f>'Firing Inaccuracy(Crouching) Ra'!G8+Analysis!$B8</f>
        <v>5.18</v>
      </c>
      <c r="H8" s="39">
        <f>'Firing Inaccuracy(Crouching) Ra'!H8+Analysis!$B8</f>
        <v>18.74333417</v>
      </c>
      <c r="I8" s="39">
        <f>'Firing Inaccuracy(Crouching) Ra'!I8+Analysis!$B8</f>
        <v>22.28110405</v>
      </c>
      <c r="J8" s="39">
        <f>'Firing Inaccuracy(Crouching) Ra'!J8+Analysis!$B8</f>
        <v>23.20387242</v>
      </c>
      <c r="K8" s="39">
        <f>'Firing Inaccuracy(Crouching) Ra'!K8+Analysis!$B8</f>
        <v>23.44456118</v>
      </c>
      <c r="L8" s="39">
        <f>'Firing Inaccuracy(Crouching) Ra'!L8+Analysis!$B8</f>
        <v>23.50734084</v>
      </c>
      <c r="M8" s="39">
        <f>'Firing Inaccuracy(Crouching) Ra'!M8+Analysis!$B8</f>
        <v>23.52371587</v>
      </c>
      <c r="N8" s="39">
        <f>'Firing Inaccuracy(Crouching) Ra'!N8+Analysis!$B8</f>
        <v>23.52798702</v>
      </c>
      <c r="O8" s="39">
        <f>'Firing Inaccuracy(Crouching) Ra'!O8+Analysis!$B8</f>
        <v>23.52910108</v>
      </c>
      <c r="P8" s="39">
        <f>'Firing Inaccuracy(Crouching) Ra'!P8+Analysis!$B8</f>
        <v>23.52939166</v>
      </c>
      <c r="Q8" s="39">
        <f>'Firing Inaccuracy(Crouching) Ra'!Q8+Analysis!$B8</f>
        <v>23.52946746</v>
      </c>
      <c r="R8" s="39">
        <f>'Firing Inaccuracy(Crouching) Ra'!R8+Analysis!$B8</f>
        <v>23.52948723</v>
      </c>
      <c r="S8" s="41"/>
      <c r="T8" s="41"/>
      <c r="U8" s="41"/>
      <c r="V8" s="41"/>
      <c r="W8" s="41"/>
      <c r="X8" s="41"/>
      <c r="Y8" s="41"/>
      <c r="Z8" s="41"/>
      <c r="AA8" s="41"/>
      <c r="AB8" s="41"/>
      <c r="AC8" s="41"/>
      <c r="AD8" s="41"/>
      <c r="AE8" s="41"/>
      <c r="AF8" s="41"/>
      <c r="AG8" s="41"/>
      <c r="AH8" s="41"/>
      <c r="AI8" s="41"/>
      <c r="AJ8" s="41"/>
    </row>
    <row r="9" ht="15.75" customHeight="1">
      <c r="A9" s="28" t="s">
        <v>129</v>
      </c>
      <c r="B9" s="32">
        <f>'Raw Values'!E9</f>
        <v>0.15</v>
      </c>
      <c r="C9" s="34">
        <f>'Raw Values'!U9</f>
        <v>52.45</v>
      </c>
      <c r="D9" s="43">
        <f>'Raw Values'!AA9</f>
        <v>0.287823</v>
      </c>
      <c r="E9" s="43" t="str">
        <f>'Firing Inaccuracy(Crouching) Ra'!E9</f>
        <v>N/A</v>
      </c>
      <c r="F9" s="130"/>
      <c r="G9" s="39">
        <f>'Firing Inaccuracy(Crouching) Ra'!G9+Analysis!$B9</f>
        <v>8.83</v>
      </c>
      <c r="H9" s="39">
        <f>'Firing Inaccuracy(Crouching) Ra'!H9+Analysis!$B9</f>
        <v>24.62762742</v>
      </c>
      <c r="I9" s="39">
        <f>'Firing Inaccuracy(Crouching) Ra'!I9+Analysis!$B9</f>
        <v>29.38577865</v>
      </c>
      <c r="J9" s="39">
        <f>'Firing Inaccuracy(Crouching) Ra'!J9+Analysis!$B9</f>
        <v>30.81890544</v>
      </c>
      <c r="K9" s="39">
        <f>'Firing Inaccuracy(Crouching) Ra'!K9+Analysis!$B9</f>
        <v>31.25055469</v>
      </c>
      <c r="L9" s="39">
        <f>'Firing Inaccuracy(Crouching) Ra'!L9+Analysis!$B9</f>
        <v>31.38056487</v>
      </c>
      <c r="M9" s="39">
        <f>'Firing Inaccuracy(Crouching) Ra'!M9+Analysis!$B9</f>
        <v>31.41972316</v>
      </c>
      <c r="N9" s="39">
        <f>'Firing Inaccuracy(Crouching) Ra'!N9+Analysis!$B9</f>
        <v>31.43151741</v>
      </c>
      <c r="O9" s="39">
        <f>'Firing Inaccuracy(Crouching) Ra'!O9+Analysis!$B9</f>
        <v>31.43506976</v>
      </c>
      <c r="P9" s="39">
        <f>'Firing Inaccuracy(Crouching) Ra'!P9+Analysis!$B9</f>
        <v>31.43613971</v>
      </c>
      <c r="Q9" s="39">
        <f>'Firing Inaccuracy(Crouching) Ra'!Q9+Analysis!$B9</f>
        <v>31.43646197</v>
      </c>
      <c r="R9" s="39">
        <f>'Firing Inaccuracy(Crouching) Ra'!R9+Analysis!$B9</f>
        <v>31.43655904</v>
      </c>
      <c r="S9" s="39">
        <f>'Firing Inaccuracy(Crouching) Ra'!S9+Analysis!$B9</f>
        <v>31.43658827</v>
      </c>
      <c r="T9" s="41"/>
      <c r="U9" s="41"/>
      <c r="V9" s="41"/>
      <c r="W9" s="41"/>
      <c r="X9" s="41"/>
      <c r="Y9" s="41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</row>
    <row r="10" ht="15.75" customHeight="1">
      <c r="A10" s="28" t="s">
        <v>131</v>
      </c>
      <c r="B10" s="32">
        <f>'Raw Values'!E10</f>
        <v>0.1</v>
      </c>
      <c r="C10" s="34">
        <f>'Raw Values'!U10</f>
        <v>35</v>
      </c>
      <c r="D10" s="43">
        <f>'Raw Values'!AA10</f>
        <v>0.2275</v>
      </c>
      <c r="E10" s="43">
        <f>'Firing Inaccuracy(Crouching) Ra'!E10</f>
        <v>0.287823</v>
      </c>
      <c r="F10" s="130"/>
      <c r="G10" s="39">
        <f>'Firing Inaccuracy(Crouching) Ra'!G10+Analysis!$B10</f>
        <v>10.6</v>
      </c>
      <c r="H10" s="39">
        <f>'Firing Inaccuracy(Crouching) Ra'!H10+Analysis!$B10</f>
        <v>23.32060025</v>
      </c>
      <c r="I10" s="39">
        <f>'Firing Inaccuracy(Crouching) Ra'!I10+Analysis!$B10</f>
        <v>27.94384798</v>
      </c>
      <c r="J10" s="39">
        <f>'Firing Inaccuracy(Crouching) Ra'!J10+Analysis!$B10</f>
        <v>29.62414758</v>
      </c>
      <c r="K10" s="39">
        <f>'Firing Inaccuracy(Crouching) Ra'!K10+Analysis!$B10</f>
        <v>30.97370903</v>
      </c>
      <c r="L10" s="39">
        <f>'Firing Inaccuracy(Crouching) Ra'!L10+Analysis!$B10</f>
        <v>32.21218253</v>
      </c>
      <c r="M10" s="39">
        <f>'Firing Inaccuracy(Crouching) Ra'!M10+Analysis!$B10</f>
        <v>33.41409537</v>
      </c>
      <c r="N10" s="39">
        <f>'Firing Inaccuracy(Crouching) Ra'!N10+Analysis!$B10</f>
        <v>34.6055164</v>
      </c>
      <c r="O10" s="39">
        <f>'Firing Inaccuracy(Crouching) Ra'!O10+Analysis!$B10</f>
        <v>35.79572628</v>
      </c>
      <c r="P10" s="39">
        <f>'Firing Inaccuracy(Crouching) Ra'!P10+Analysis!$B10</f>
        <v>36.98799745</v>
      </c>
      <c r="Q10" s="39">
        <f>'Firing Inaccuracy(Crouching) Ra'!Q10+Analysis!$B10</f>
        <v>38.18339483</v>
      </c>
      <c r="R10" s="39">
        <f>'Firing Inaccuracy(Crouching) Ra'!R10+Analysis!$B10</f>
        <v>38.72052129</v>
      </c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</row>
    <row r="11" ht="15.75" customHeight="1">
      <c r="A11" s="66" t="s">
        <v>132</v>
      </c>
      <c r="B11" s="32">
        <f>'Raw Values'!E11</f>
        <v>0.12</v>
      </c>
      <c r="C11" s="34">
        <f>'Raw Values'!U11</f>
        <v>95</v>
      </c>
      <c r="D11" s="43">
        <f>'Raw Values'!AA11</f>
        <v>0.295</v>
      </c>
      <c r="E11" s="43">
        <f>'Firing Inaccuracy(Crouching) Ra'!E11</f>
        <v>0.322362</v>
      </c>
      <c r="F11" s="130"/>
      <c r="G11" s="39">
        <f>'Firing Inaccuracy(Crouching) Ra'!G11+Analysis!$B11</f>
        <v>5.68</v>
      </c>
      <c r="H11" s="39">
        <f>'Firing Inaccuracy(Crouching) Ra'!H11+Analysis!$B11</f>
        <v>42.91436436</v>
      </c>
      <c r="I11" s="39">
        <f>'Firing Inaccuracy(Crouching) Ra'!I11+Analysis!$B11</f>
        <v>57.50802635</v>
      </c>
      <c r="J11" s="39">
        <f>'Firing Inaccuracy(Crouching) Ra'!J11+Analysis!$B11</f>
        <v>63.22787612</v>
      </c>
      <c r="K11" s="39">
        <f>'Firing Inaccuracy(Crouching) Ra'!K11+Analysis!$B11</f>
        <v>66.20656081</v>
      </c>
      <c r="L11" s="39">
        <f>'Firing Inaccuracy(Crouching) Ra'!L11+Analysis!$B11</f>
        <v>68.12915445</v>
      </c>
      <c r="M11" s="39">
        <f>'Firing Inaccuracy(Crouching) Ra'!M11+Analysis!$B11</f>
        <v>69.64058215</v>
      </c>
      <c r="N11" s="39">
        <f>'Firing Inaccuracy(Crouching) Ra'!N11+Analysis!$B11</f>
        <v>70.99072526</v>
      </c>
      <c r="O11" s="39">
        <f>'Firing Inaccuracy(Crouching) Ra'!O11+Analysis!$B11</f>
        <v>72.27755284</v>
      </c>
      <c r="P11" s="39">
        <f>'Firing Inaccuracy(Crouching) Ra'!P11+Analysis!$B11</f>
        <v>73.53990563</v>
      </c>
      <c r="Q11" s="39">
        <f>'Firing Inaccuracy(Crouching) Ra'!Q11+Analysis!$B11</f>
        <v>74.79333758</v>
      </c>
      <c r="R11" s="39">
        <f>'Firing Inaccuracy(Crouching) Ra'!R11+Analysis!$B11</f>
        <v>75.32526019</v>
      </c>
      <c r="S11" s="39">
        <f>'Firing Inaccuracy(Crouching) Ra'!S11+Analysis!$B11</f>
        <v>75.55099375</v>
      </c>
      <c r="T11" s="39">
        <f>'Firing Inaccuracy(Crouching) Ra'!T11+Analysis!$B11</f>
        <v>75.64678897</v>
      </c>
      <c r="U11" s="39">
        <f>'Firing Inaccuracy(Crouching) Ra'!U11+Analysis!$B11</f>
        <v>75.68744187</v>
      </c>
      <c r="V11" s="39">
        <f>'Firing Inaccuracy(Crouching) Ra'!V11+Analysis!$B11</f>
        <v>75.70469386</v>
      </c>
      <c r="W11" s="39">
        <f>'Firing Inaccuracy(Crouching) Ra'!W11+Analysis!$B11</f>
        <v>75.71201514</v>
      </c>
      <c r="X11" s="39">
        <f>'Firing Inaccuracy(Crouching) Ra'!X11+Analysis!$B11</f>
        <v>75.71512209</v>
      </c>
      <c r="Y11" s="39"/>
      <c r="Z11" s="39"/>
      <c r="AA11" s="39"/>
      <c r="AB11" s="39"/>
      <c r="AC11" s="39"/>
      <c r="AD11" s="39"/>
      <c r="AE11" s="41"/>
      <c r="AF11" s="41"/>
      <c r="AG11" s="41"/>
      <c r="AH11" s="41"/>
      <c r="AI11" s="41"/>
      <c r="AJ11" s="41"/>
    </row>
    <row r="12" ht="15.75" customHeight="1">
      <c r="A12" s="75"/>
      <c r="B12" s="77"/>
      <c r="C12" s="147"/>
      <c r="D12" s="148"/>
      <c r="E12" s="149"/>
      <c r="F12" s="150"/>
      <c r="G12" s="79"/>
      <c r="H12" s="79"/>
      <c r="I12" s="79"/>
      <c r="J12" s="79"/>
      <c r="K12" s="79"/>
      <c r="L12" s="79"/>
      <c r="M12" s="79"/>
      <c r="N12" s="79"/>
      <c r="O12" s="134"/>
      <c r="P12" s="134"/>
      <c r="Q12" s="134"/>
      <c r="R12" s="134"/>
      <c r="S12" s="134"/>
      <c r="T12" s="134"/>
      <c r="U12" s="134"/>
      <c r="V12" s="134"/>
      <c r="W12" s="134"/>
      <c r="X12" s="134"/>
      <c r="Y12" s="134"/>
      <c r="Z12" s="134"/>
      <c r="AA12" s="134"/>
      <c r="AB12" s="134"/>
      <c r="AC12" s="134"/>
      <c r="AD12" s="134"/>
      <c r="AE12" s="134"/>
      <c r="AF12" s="134"/>
      <c r="AG12" s="134"/>
      <c r="AH12" s="134"/>
      <c r="AI12" s="134"/>
      <c r="AJ12" s="134"/>
    </row>
    <row r="13" ht="15.75" customHeight="1">
      <c r="A13" s="5" t="s">
        <v>135</v>
      </c>
      <c r="B13" s="11" t="s">
        <v>19</v>
      </c>
      <c r="C13" s="9" t="s">
        <v>204</v>
      </c>
      <c r="D13" s="21" t="s">
        <v>220</v>
      </c>
      <c r="E13" s="21" t="s">
        <v>221</v>
      </c>
      <c r="F13" s="125"/>
      <c r="G13" s="127">
        <v>1.0</v>
      </c>
      <c r="H13" s="127">
        <v>2.0</v>
      </c>
      <c r="I13" s="127">
        <v>3.0</v>
      </c>
      <c r="J13" s="127">
        <v>4.0</v>
      </c>
      <c r="K13" s="127">
        <v>5.0</v>
      </c>
      <c r="L13" s="127">
        <v>6.0</v>
      </c>
      <c r="M13" s="127">
        <v>7.0</v>
      </c>
      <c r="N13" s="127">
        <v>8.0</v>
      </c>
      <c r="O13" s="135"/>
      <c r="P13" s="136"/>
      <c r="Q13" s="136"/>
      <c r="R13" s="136"/>
      <c r="S13" s="136"/>
      <c r="T13" s="136"/>
      <c r="U13" s="136"/>
      <c r="V13" s="136"/>
      <c r="W13" s="136"/>
      <c r="X13" s="136"/>
      <c r="Y13" s="136"/>
      <c r="Z13" s="136"/>
      <c r="AA13" s="136"/>
      <c r="AB13" s="136"/>
      <c r="AC13" s="136"/>
      <c r="AD13" s="136"/>
      <c r="AE13" s="136"/>
      <c r="AF13" s="136"/>
      <c r="AG13" s="136"/>
      <c r="AH13" s="136"/>
      <c r="AI13" s="136"/>
      <c r="AJ13" s="136"/>
    </row>
    <row r="14" ht="15.75" customHeight="1">
      <c r="A14" s="61" t="s">
        <v>137</v>
      </c>
      <c r="B14" s="32">
        <f>'Raw Values'!E14</f>
        <v>0.85</v>
      </c>
      <c r="C14" s="34">
        <f>'Raw Values'!U14</f>
        <v>11.19</v>
      </c>
      <c r="D14" s="43">
        <f>'Raw Values'!AA14</f>
        <v>0.285521</v>
      </c>
      <c r="E14" s="43" t="str">
        <f>'Firing Inaccuracy(Crouching) Ra'!E14</f>
        <v>N/A</v>
      </c>
      <c r="F14" s="130"/>
      <c r="G14" s="39">
        <f>'Firing Inaccuracy(Crouching) Ra'!G14+Analysis!$B14</f>
        <v>45.25</v>
      </c>
      <c r="H14" s="39">
        <f>'Firing Inaccuracy(Crouching) Ra'!H14+Analysis!$B14</f>
        <v>45.26179821</v>
      </c>
      <c r="I14" s="39">
        <f>'Firing Inaccuracy(Crouching) Ra'!I14+Analysis!$B14</f>
        <v>45.26181065</v>
      </c>
      <c r="J14" s="39">
        <f>'Firing Inaccuracy(Crouching) Ra'!J14+Analysis!$B14</f>
        <v>45.26181066</v>
      </c>
      <c r="K14" s="39">
        <f>'Firing Inaccuracy(Crouching) Ra'!K14+Analysis!$B14</f>
        <v>45.26181066</v>
      </c>
      <c r="L14" s="41"/>
      <c r="M14" s="41"/>
      <c r="N14" s="39"/>
      <c r="O14" s="146"/>
      <c r="P14" s="146"/>
      <c r="Q14" s="146"/>
      <c r="R14" s="146"/>
      <c r="S14" s="146"/>
      <c r="T14" s="146"/>
      <c r="U14" s="146"/>
      <c r="V14" s="146"/>
      <c r="W14" s="146"/>
      <c r="X14" s="146"/>
      <c r="Y14" s="146"/>
      <c r="Z14" s="146"/>
      <c r="AA14" s="146"/>
      <c r="AB14" s="146"/>
      <c r="AC14" s="146"/>
      <c r="AD14" s="146"/>
      <c r="AE14" s="146"/>
      <c r="AF14" s="146"/>
      <c r="AG14" s="146"/>
      <c r="AH14" s="146"/>
      <c r="AI14" s="146"/>
      <c r="AJ14" s="146"/>
    </row>
    <row r="15" ht="15.75" customHeight="1">
      <c r="A15" s="28" t="s">
        <v>140</v>
      </c>
      <c r="B15" s="32">
        <f>'Raw Values'!E15</f>
        <v>0.88</v>
      </c>
      <c r="C15" s="34">
        <f>'Raw Values'!U15</f>
        <v>9.72</v>
      </c>
      <c r="D15" s="43">
        <f>'Raw Values'!AA15</f>
        <v>0.328941</v>
      </c>
      <c r="E15" s="43" t="str">
        <f>'Firing Inaccuracy(Crouching) Ra'!E15</f>
        <v>N/A</v>
      </c>
      <c r="F15" s="130"/>
      <c r="G15" s="39">
        <f>'Firing Inaccuracy(Crouching) Ra'!G15+Analysis!$B15</f>
        <v>45.25</v>
      </c>
      <c r="H15" s="39">
        <f>'Firing Inaccuracy(Crouching) Ra'!H15+Analysis!$B15</f>
        <v>45.27053121</v>
      </c>
      <c r="I15" s="39">
        <f>'Firing Inaccuracy(Crouching) Ra'!I15+Analysis!$B15</f>
        <v>45.27057457</v>
      </c>
      <c r="J15" s="39">
        <f>'Firing Inaccuracy(Crouching) Ra'!J15+Analysis!$B15</f>
        <v>45.27057467</v>
      </c>
      <c r="K15" s="39">
        <f>'Firing Inaccuracy(Crouching) Ra'!K15+Analysis!$B15</f>
        <v>45.27057467</v>
      </c>
      <c r="L15" s="39">
        <f>'Firing Inaccuracy(Crouching) Ra'!L15+Analysis!$B15</f>
        <v>45.27057467</v>
      </c>
      <c r="M15" s="39">
        <f>'Firing Inaccuracy(Crouching) Ra'!M15+Analysis!$B15</f>
        <v>45.27057467</v>
      </c>
      <c r="N15" s="39">
        <f>'Firing Inaccuracy(Crouching) Ra'!N15+Analysis!$B15</f>
        <v>45.27057467</v>
      </c>
      <c r="O15" s="146"/>
      <c r="P15" s="146"/>
      <c r="Q15" s="146"/>
      <c r="R15" s="146"/>
      <c r="S15" s="146"/>
      <c r="T15" s="146"/>
      <c r="U15" s="146"/>
      <c r="V15" s="146"/>
      <c r="W15" s="146"/>
      <c r="X15" s="146"/>
      <c r="Y15" s="146"/>
      <c r="Z15" s="146"/>
      <c r="AA15" s="146"/>
      <c r="AB15" s="146"/>
      <c r="AC15" s="146"/>
      <c r="AD15" s="146"/>
      <c r="AE15" s="146"/>
      <c r="AF15" s="146"/>
      <c r="AG15" s="146"/>
      <c r="AH15" s="146"/>
      <c r="AI15" s="146"/>
      <c r="AJ15" s="146"/>
    </row>
    <row r="16" ht="15.75" customHeight="1">
      <c r="A16" s="66" t="s">
        <v>142</v>
      </c>
      <c r="B16" s="32">
        <f>'Raw Values'!E16</f>
        <v>0.85</v>
      </c>
      <c r="C16" s="34">
        <f>'Raw Values'!U16</f>
        <v>9.72</v>
      </c>
      <c r="D16" s="43">
        <f>'Raw Values'!AA16</f>
        <v>0.328941</v>
      </c>
      <c r="E16" s="43" t="str">
        <f>'Firing Inaccuracy(Crouching) Ra'!E16</f>
        <v>N/A</v>
      </c>
      <c r="F16" s="130"/>
      <c r="G16" s="39">
        <f>'Firing Inaccuracy(Crouching) Ra'!G16+Analysis!$B16</f>
        <v>67.25</v>
      </c>
      <c r="H16" s="39">
        <f>'Firing Inaccuracy(Crouching) Ra'!H16+Analysis!$B16</f>
        <v>67.27532889</v>
      </c>
      <c r="I16" s="39">
        <f>'Firing Inaccuracy(Crouching) Ra'!I16+Analysis!$B16</f>
        <v>67.2753949</v>
      </c>
      <c r="J16" s="39">
        <f>'Firing Inaccuracy(Crouching) Ra'!J16+Analysis!$B16</f>
        <v>67.27539507</v>
      </c>
      <c r="K16" s="39">
        <f>'Firing Inaccuracy(Crouching) Ra'!K16+Analysis!$B16</f>
        <v>67.27539507</v>
      </c>
      <c r="L16" s="39">
        <f>'Firing Inaccuracy(Crouching) Ra'!L16+Analysis!$B16</f>
        <v>67.27539507</v>
      </c>
      <c r="M16" s="39">
        <f>'Firing Inaccuracy(Crouching) Ra'!M16+Analysis!$B16</f>
        <v>67.27539507</v>
      </c>
      <c r="N16" s="39"/>
      <c r="O16" s="146"/>
      <c r="P16" s="146"/>
      <c r="Q16" s="146"/>
      <c r="R16" s="146"/>
      <c r="S16" s="146"/>
      <c r="T16" s="146"/>
      <c r="U16" s="146"/>
      <c r="V16" s="146"/>
      <c r="W16" s="146"/>
      <c r="X16" s="146"/>
      <c r="Y16" s="146"/>
      <c r="Z16" s="146"/>
      <c r="AA16" s="146"/>
      <c r="AB16" s="146"/>
      <c r="AC16" s="146"/>
      <c r="AD16" s="146"/>
      <c r="AE16" s="146"/>
      <c r="AF16" s="146"/>
      <c r="AG16" s="146"/>
      <c r="AH16" s="146"/>
      <c r="AI16" s="146"/>
      <c r="AJ16" s="146"/>
    </row>
    <row r="17" ht="15.75" customHeight="1">
      <c r="A17" s="28" t="s">
        <v>143</v>
      </c>
      <c r="B17" s="32">
        <f>'Raw Values'!E17</f>
        <v>0.35</v>
      </c>
      <c r="C17" s="34">
        <f>'Raw Values'!U17</f>
        <v>8.83</v>
      </c>
      <c r="D17" s="43">
        <f>'Raw Values'!AA17</f>
        <v>0.361835</v>
      </c>
      <c r="E17" s="43" t="str">
        <f>'Firing Inaccuracy(Crouching) Ra'!E17</f>
        <v>N/A</v>
      </c>
      <c r="F17" s="130"/>
      <c r="G17" s="39">
        <f>'Firing Inaccuracy(Crouching) Ra'!G17+Analysis!$B17</f>
        <v>43.25</v>
      </c>
      <c r="H17" s="39">
        <f>'Firing Inaccuracy(Crouching) Ra'!H17+Analysis!$B17</f>
        <v>44.20207022</v>
      </c>
      <c r="I17" s="39">
        <f>'Firing Inaccuracy(Crouching) Ra'!I17+Analysis!$B17</f>
        <v>44.30472455</v>
      </c>
      <c r="J17" s="39">
        <f>'Firing Inaccuracy(Crouching) Ra'!J17+Analysis!$B17</f>
        <v>44.31579297</v>
      </c>
      <c r="K17" s="39">
        <f>'Firing Inaccuracy(Crouching) Ra'!K17+Analysis!$B17</f>
        <v>44.31698639</v>
      </c>
      <c r="L17" s="39">
        <f>'Firing Inaccuracy(Crouching) Ra'!L17+Analysis!$B17</f>
        <v>44.31711507</v>
      </c>
      <c r="M17" s="39">
        <f>'Firing Inaccuracy(Crouching) Ra'!M17+Analysis!$B17</f>
        <v>44.31712894</v>
      </c>
      <c r="N17" s="39"/>
      <c r="O17" s="146"/>
      <c r="P17" s="146"/>
      <c r="Q17" s="146"/>
      <c r="R17" s="146"/>
      <c r="S17" s="146"/>
      <c r="T17" s="146"/>
      <c r="U17" s="146"/>
      <c r="V17" s="146"/>
      <c r="W17" s="146"/>
      <c r="X17" s="146"/>
      <c r="Y17" s="146"/>
      <c r="Z17" s="146"/>
      <c r="AA17" s="146"/>
      <c r="AB17" s="146"/>
      <c r="AC17" s="146"/>
      <c r="AD17" s="146"/>
      <c r="AE17" s="146"/>
      <c r="AF17" s="146"/>
      <c r="AG17" s="146"/>
      <c r="AH17" s="146"/>
      <c r="AI17" s="146"/>
      <c r="AJ17" s="146"/>
    </row>
    <row r="18" ht="15.75" customHeight="1">
      <c r="A18" s="75"/>
      <c r="B18" s="77"/>
      <c r="C18" s="147"/>
      <c r="D18" s="148"/>
      <c r="E18" s="149"/>
      <c r="F18" s="150"/>
      <c r="G18" s="79"/>
      <c r="H18" s="79"/>
      <c r="I18" s="79"/>
      <c r="J18" s="79"/>
      <c r="K18" s="79"/>
      <c r="L18" s="79"/>
      <c r="M18" s="79"/>
      <c r="N18" s="79"/>
      <c r="O18" s="140"/>
      <c r="P18" s="140"/>
      <c r="Q18" s="140"/>
      <c r="R18" s="140"/>
      <c r="S18" s="140"/>
      <c r="T18" s="140"/>
      <c r="U18" s="140"/>
      <c r="V18" s="140"/>
      <c r="W18" s="140"/>
      <c r="X18" s="140"/>
      <c r="Y18" s="140"/>
      <c r="Z18" s="140"/>
      <c r="AA18" s="140"/>
      <c r="AB18" s="140"/>
      <c r="AC18" s="140"/>
      <c r="AD18" s="140"/>
      <c r="AE18" s="140"/>
      <c r="AF18" s="140"/>
      <c r="AG18" s="140"/>
      <c r="AH18" s="140"/>
      <c r="AI18" s="140"/>
      <c r="AJ18" s="140"/>
    </row>
    <row r="19" ht="15.75" customHeight="1">
      <c r="A19" s="5" t="s">
        <v>145</v>
      </c>
      <c r="B19" s="11" t="s">
        <v>19</v>
      </c>
      <c r="C19" s="9" t="s">
        <v>204</v>
      </c>
      <c r="D19" s="21" t="s">
        <v>220</v>
      </c>
      <c r="E19" s="21" t="s">
        <v>221</v>
      </c>
      <c r="F19" s="125"/>
      <c r="G19" s="151">
        <v>1.0</v>
      </c>
      <c r="H19" s="151">
        <v>2.0</v>
      </c>
      <c r="I19" s="151">
        <v>3.0</v>
      </c>
      <c r="J19" s="151">
        <v>4.0</v>
      </c>
      <c r="K19" s="151">
        <v>5.0</v>
      </c>
      <c r="L19" s="151">
        <v>6.0</v>
      </c>
      <c r="M19" s="151">
        <v>7.0</v>
      </c>
      <c r="N19" s="151">
        <v>8.0</v>
      </c>
      <c r="O19" s="151">
        <v>9.0</v>
      </c>
      <c r="P19" s="151">
        <v>10.0</v>
      </c>
      <c r="Q19" s="151">
        <v>11.0</v>
      </c>
      <c r="R19" s="151">
        <v>12.0</v>
      </c>
      <c r="S19" s="151">
        <v>13.0</v>
      </c>
      <c r="T19" s="151">
        <v>14.0</v>
      </c>
      <c r="U19" s="151">
        <v>15.0</v>
      </c>
      <c r="V19" s="151">
        <v>16.0</v>
      </c>
      <c r="W19" s="151">
        <v>17.0</v>
      </c>
      <c r="X19" s="151">
        <v>18.0</v>
      </c>
      <c r="Y19" s="151">
        <v>19.0</v>
      </c>
      <c r="Z19" s="151">
        <v>20.0</v>
      </c>
      <c r="AA19" s="151">
        <v>21.0</v>
      </c>
      <c r="AB19" s="151">
        <v>22.0</v>
      </c>
      <c r="AC19" s="151">
        <v>23.0</v>
      </c>
      <c r="AD19" s="151">
        <v>24.0</v>
      </c>
      <c r="AE19" s="151">
        <v>25.0</v>
      </c>
      <c r="AF19" s="151">
        <v>26.0</v>
      </c>
      <c r="AG19" s="151">
        <v>27.0</v>
      </c>
      <c r="AH19" s="151">
        <v>28.0</v>
      </c>
      <c r="AI19" s="151">
        <v>29.0</v>
      </c>
      <c r="AJ19" s="151">
        <v>30.0</v>
      </c>
    </row>
    <row r="20" ht="15.75" customHeight="1">
      <c r="A20" s="28" t="s">
        <v>147</v>
      </c>
      <c r="B20" s="32">
        <f>'Raw Values'!E20</f>
        <v>0.08</v>
      </c>
      <c r="C20" s="34">
        <f>'Raw Values'!U20</f>
        <v>2.88</v>
      </c>
      <c r="D20" s="43">
        <f>'Raw Values'!AA20</f>
        <v>0.236837</v>
      </c>
      <c r="E20" s="43" t="str">
        <f>'Firing Inaccuracy(Crouching) Ra'!E20</f>
        <v>N/A</v>
      </c>
      <c r="F20" s="130"/>
      <c r="G20" s="39">
        <f>'Firing Inaccuracy(Crouching) Ra'!G20+Analysis!$B20</f>
        <v>11.5</v>
      </c>
      <c r="H20" s="39">
        <f>'Firing Inaccuracy(Crouching) Ra'!H20+Analysis!$B20</f>
        <v>12.82314497</v>
      </c>
      <c r="I20" s="39">
        <f>'Firing Inaccuracy(Crouching) Ra'!I20+Analysis!$B20</f>
        <v>13.43103129</v>
      </c>
      <c r="J20" s="39">
        <f>'Firing Inaccuracy(Crouching) Ra'!J20+Analysis!$B20</f>
        <v>13.71030966</v>
      </c>
      <c r="K20" s="39">
        <f>'Firing Inaccuracy(Crouching) Ra'!K20+Analysis!$B20</f>
        <v>13.83861722</v>
      </c>
      <c r="L20" s="39">
        <f>'Firing Inaccuracy(Crouching) Ra'!L20+Analysis!$B20</f>
        <v>13.89756497</v>
      </c>
      <c r="M20" s="39">
        <f>'Firing Inaccuracy(Crouching) Ra'!M20+Analysis!$B20</f>
        <v>13.92464706</v>
      </c>
      <c r="N20" s="39">
        <f>'Firing Inaccuracy(Crouching) Ra'!N20+Analysis!$B20</f>
        <v>13.93708925</v>
      </c>
      <c r="O20" s="39">
        <f>'Firing Inaccuracy(Crouching) Ra'!O20+Analysis!$B20</f>
        <v>13.94280551</v>
      </c>
      <c r="P20" s="39">
        <f>'Firing Inaccuracy(Crouching) Ra'!P20+Analysis!$B20</f>
        <v>13.94543171</v>
      </c>
      <c r="Q20" s="39">
        <f>'Firing Inaccuracy(Crouching) Ra'!Q20+Analysis!$B20</f>
        <v>13.94663825</v>
      </c>
      <c r="R20" s="39">
        <f>'Firing Inaccuracy(Crouching) Ra'!R20+Analysis!$B20</f>
        <v>13.94719256</v>
      </c>
      <c r="S20" s="39">
        <f>'Firing Inaccuracy(Crouching) Ra'!S20+Analysis!$B20</f>
        <v>13.94744723</v>
      </c>
      <c r="T20" s="39">
        <f>'Firing Inaccuracy(Crouching) Ra'!T20+Analysis!$B20</f>
        <v>13.94756423</v>
      </c>
      <c r="U20" s="39">
        <f>'Firing Inaccuracy(Crouching) Ra'!U20+Analysis!$B20</f>
        <v>13.94761798</v>
      </c>
      <c r="V20" s="39">
        <f>'Firing Inaccuracy(Crouching) Ra'!V20+Analysis!$B20</f>
        <v>13.94764268</v>
      </c>
      <c r="W20" s="39">
        <f>'Firing Inaccuracy(Crouching) Ra'!W20+Analysis!$B20</f>
        <v>13.94765402</v>
      </c>
      <c r="X20" s="39">
        <f>'Firing Inaccuracy(Crouching) Ra'!X20+Analysis!$B20</f>
        <v>13.94765924</v>
      </c>
      <c r="Y20" s="39">
        <f>'Firing Inaccuracy(Crouching) Ra'!Y20+Analysis!$B20</f>
        <v>13.94766163</v>
      </c>
      <c r="Z20" s="39">
        <f>'Firing Inaccuracy(Crouching) Ra'!Z20+Analysis!$B20</f>
        <v>13.94766273</v>
      </c>
      <c r="AA20" s="39">
        <f>'Firing Inaccuracy(Crouching) Ra'!AA20+Analysis!$B20</f>
        <v>13.94766324</v>
      </c>
      <c r="AB20" s="39">
        <f>'Firing Inaccuracy(Crouching) Ra'!AB20+Analysis!$B20</f>
        <v>13.94766347</v>
      </c>
      <c r="AC20" s="39">
        <f>'Firing Inaccuracy(Crouching) Ra'!AC20+Analysis!$B20</f>
        <v>13.94766358</v>
      </c>
      <c r="AD20" s="39">
        <f>'Firing Inaccuracy(Crouching) Ra'!AD20+Analysis!$B20</f>
        <v>13.94766363</v>
      </c>
      <c r="AE20" s="39">
        <f>'Firing Inaccuracy(Crouching) Ra'!AE20+Analysis!$B20</f>
        <v>13.94766365</v>
      </c>
      <c r="AF20" s="39">
        <f>'Firing Inaccuracy(Crouching) Ra'!AF20+Analysis!$B20</f>
        <v>13.94766366</v>
      </c>
      <c r="AG20" s="39">
        <f>'Firing Inaccuracy(Crouching) Ra'!AG20+Analysis!$B20</f>
        <v>13.94766366</v>
      </c>
      <c r="AH20" s="39">
        <f>'Firing Inaccuracy(Crouching) Ra'!AH20+Analysis!$B20</f>
        <v>13.94766367</v>
      </c>
      <c r="AI20" s="39">
        <f>'Firing Inaccuracy(Crouching) Ra'!AI20+Analysis!$B20</f>
        <v>13.94766367</v>
      </c>
      <c r="AJ20" s="39">
        <f>'Firing Inaccuracy(Crouching) Ra'!AJ20+Analysis!$B20</f>
        <v>13.94766367</v>
      </c>
    </row>
    <row r="21" ht="15.75" customHeight="1">
      <c r="A21" s="66" t="s">
        <v>150</v>
      </c>
      <c r="B21" s="32">
        <f>'Raw Values'!E21</f>
        <v>0.075</v>
      </c>
      <c r="C21" s="34">
        <f>'Raw Values'!U21</f>
        <v>4.76</v>
      </c>
      <c r="D21" s="43">
        <f>'Raw Values'!AA21</f>
        <v>0.285521</v>
      </c>
      <c r="E21" s="43" t="str">
        <f>'Firing Inaccuracy(Crouching) Ra'!E21</f>
        <v>N/A</v>
      </c>
      <c r="F21" s="130"/>
      <c r="G21" s="39">
        <f>'Firing Inaccuracy(Crouching) Ra'!G21+Analysis!$B21</f>
        <v>10.58</v>
      </c>
      <c r="H21" s="39">
        <f>'Firing Inaccuracy(Crouching) Ra'!H21+Analysis!$B21</f>
        <v>13.17973602</v>
      </c>
      <c r="I21" s="39">
        <f>'Firing Inaccuracy(Crouching) Ra'!I21+Analysis!$B21</f>
        <v>14.59961572</v>
      </c>
      <c r="J21" s="39">
        <f>'Firing Inaccuracy(Crouching) Ra'!J21+Analysis!$B21</f>
        <v>15.37510151</v>
      </c>
      <c r="K21" s="39">
        <f>'Firing Inaccuracy(Crouching) Ra'!K21+Analysis!$B21</f>
        <v>15.79864319</v>
      </c>
      <c r="L21" s="39">
        <f>'Firing Inaccuracy(Crouching) Ra'!L21+Analysis!$B21</f>
        <v>16.02996599</v>
      </c>
      <c r="M21" s="39">
        <f>'Firing Inaccuracy(Crouching) Ra'!M21+Analysis!$B21</f>
        <v>16.15630595</v>
      </c>
      <c r="N21" s="39">
        <f>'Firing Inaccuracy(Crouching) Ra'!N21+Analysis!$B21</f>
        <v>16.22530817</v>
      </c>
      <c r="O21" s="39">
        <f>'Firing Inaccuracy(Crouching) Ra'!O21+Analysis!$B21</f>
        <v>16.26299463</v>
      </c>
      <c r="P21" s="39">
        <f>'Firing Inaccuracy(Crouching) Ra'!P21+Analysis!$B21</f>
        <v>16.28357758</v>
      </c>
      <c r="Q21" s="39">
        <f>'Firing Inaccuracy(Crouching) Ra'!Q21+Analysis!$B21</f>
        <v>16.29481923</v>
      </c>
      <c r="R21" s="39">
        <f>'Firing Inaccuracy(Crouching) Ra'!R21+Analysis!$B21</f>
        <v>16.300959</v>
      </c>
      <c r="S21" s="39">
        <f>'Firing Inaccuracy(Crouching) Ra'!S21+Analysis!$B21</f>
        <v>16.30431231</v>
      </c>
      <c r="T21" s="39">
        <f>'Firing Inaccuracy(Crouching) Ra'!T21+Analysis!$B21</f>
        <v>16.30614377</v>
      </c>
      <c r="U21" s="39">
        <f>'Firing Inaccuracy(Crouching) Ra'!U21+Analysis!$B21</f>
        <v>16.30714405</v>
      </c>
      <c r="V21" s="39">
        <f>'Firing Inaccuracy(Crouching) Ra'!V21+Analysis!$B21</f>
        <v>16.30769036</v>
      </c>
      <c r="W21" s="39">
        <f>'Firing Inaccuracy(Crouching) Ra'!W21+Analysis!$B21</f>
        <v>16.30798874</v>
      </c>
      <c r="X21" s="39">
        <f>'Firing Inaccuracy(Crouching) Ra'!X21+Analysis!$B21</f>
        <v>16.3081517</v>
      </c>
      <c r="Y21" s="39">
        <f>'Firing Inaccuracy(Crouching) Ra'!Y21+Analysis!$B21</f>
        <v>16.3082407</v>
      </c>
      <c r="Z21" s="39">
        <f>'Firing Inaccuracy(Crouching) Ra'!Z21+Analysis!$B21</f>
        <v>16.30828931</v>
      </c>
      <c r="AA21" s="39">
        <f>'Firing Inaccuracy(Crouching) Ra'!AA21+Analysis!$B21</f>
        <v>16.30831586</v>
      </c>
      <c r="AB21" s="39">
        <f>'Firing Inaccuracy(Crouching) Ra'!AB21+Analysis!$B21</f>
        <v>16.30833036</v>
      </c>
      <c r="AC21" s="39">
        <f>'Firing Inaccuracy(Crouching) Ra'!AC21+Analysis!$B21</f>
        <v>16.30833828</v>
      </c>
      <c r="AD21" s="39">
        <f>'Firing Inaccuracy(Crouching) Ra'!AD21+Analysis!$B21</f>
        <v>16.30834261</v>
      </c>
      <c r="AE21" s="39">
        <f>'Firing Inaccuracy(Crouching) Ra'!AE21+Analysis!$B21</f>
        <v>16.30834497</v>
      </c>
      <c r="AF21" s="39">
        <f>'Firing Inaccuracy(Crouching) Ra'!AF21+Analysis!$B21</f>
        <v>16.30834626</v>
      </c>
      <c r="AG21" s="39">
        <f>'Firing Inaccuracy(Crouching) Ra'!AG21+Analysis!$B21</f>
        <v>16.30834696</v>
      </c>
      <c r="AH21" s="39">
        <f>'Firing Inaccuracy(Crouching) Ra'!AH21+Analysis!$B21</f>
        <v>16.30834735</v>
      </c>
      <c r="AI21" s="39">
        <f>'Firing Inaccuracy(Crouching) Ra'!AI21+Analysis!$B21</f>
        <v>16.30834756</v>
      </c>
      <c r="AJ21" s="39">
        <f>'Firing Inaccuracy(Crouching) Ra'!AJ21+Analysis!$B21</f>
        <v>16.30834767</v>
      </c>
    </row>
    <row r="22" ht="15.75" customHeight="1">
      <c r="A22" s="28" t="s">
        <v>152</v>
      </c>
      <c r="B22" s="32">
        <f>'Raw Values'!E22</f>
        <v>0.08</v>
      </c>
      <c r="C22" s="34">
        <f>'Raw Values'!U22</f>
        <v>2.18</v>
      </c>
      <c r="D22" s="43">
        <f>'Raw Values'!AA22</f>
        <v>0.312494</v>
      </c>
      <c r="E22" s="43" t="str">
        <f>'Firing Inaccuracy(Crouching) Ra'!E22</f>
        <v>N/A</v>
      </c>
      <c r="F22" s="130"/>
      <c r="G22" s="39">
        <f>'Firing Inaccuracy(Crouching) Ra'!G22+Analysis!$B22</f>
        <v>6.52</v>
      </c>
      <c r="H22" s="39">
        <f>'Firing Inaccuracy(Crouching) Ra'!H22+Analysis!$B22</f>
        <v>7.72907037</v>
      </c>
      <c r="I22" s="39">
        <f>'Firing Inaccuracy(Crouching) Ra'!I22+Analysis!$B22</f>
        <v>8.399644297</v>
      </c>
      <c r="J22" s="39">
        <f>'Firing Inaccuracy(Crouching) Ra'!J22+Analysis!$B22</f>
        <v>8.771557629</v>
      </c>
      <c r="K22" s="39">
        <f>'Firing Inaccuracy(Crouching) Ra'!K22+Analysis!$B22</f>
        <v>8.977827992</v>
      </c>
      <c r="L22" s="39">
        <f>'Firing Inaccuracy(Crouching) Ra'!L22+Analysis!$B22</f>
        <v>9.092229544</v>
      </c>
      <c r="M22" s="39">
        <f>'Firing Inaccuracy(Crouching) Ra'!M22+Analysis!$B22</f>
        <v>9.155678869</v>
      </c>
      <c r="N22" s="39">
        <f>'Firing Inaccuracy(Crouching) Ra'!N22+Analysis!$B22</f>
        <v>9.190869097</v>
      </c>
      <c r="O22" s="39">
        <f>'Firing Inaccuracy(Crouching) Ra'!O22+Analysis!$B22</f>
        <v>9.210386282</v>
      </c>
      <c r="P22" s="39">
        <f>'Firing Inaccuracy(Crouching) Ra'!P22+Analysis!$B22</f>
        <v>9.221210892</v>
      </c>
      <c r="Q22" s="39">
        <f>'Firing Inaccuracy(Crouching) Ra'!Q22+Analysis!$B22</f>
        <v>9.227214431</v>
      </c>
      <c r="R22" s="39">
        <f>'Firing Inaccuracy(Crouching) Ra'!R22+Analysis!$B22</f>
        <v>9.23054411</v>
      </c>
      <c r="S22" s="39">
        <f>'Firing Inaccuracy(Crouching) Ra'!S22+Analysis!$B22</f>
        <v>9.232390815</v>
      </c>
      <c r="T22" s="39">
        <f>'Firing Inaccuracy(Crouching) Ra'!T22+Analysis!$B22</f>
        <v>9.233415034</v>
      </c>
      <c r="U22" s="39">
        <f>'Firing Inaccuracy(Crouching) Ra'!U22+Analysis!$B22</f>
        <v>9.233983085</v>
      </c>
      <c r="V22" s="39">
        <f>'Firing Inaccuracy(Crouching) Ra'!V22+Analysis!$B22</f>
        <v>9.234298138</v>
      </c>
      <c r="W22" s="39">
        <f>'Firing Inaccuracy(Crouching) Ra'!W22+Analysis!$B22</f>
        <v>9.234472872</v>
      </c>
      <c r="X22" s="39">
        <f>'Firing Inaccuracy(Crouching) Ra'!X22+Analysis!$B22</f>
        <v>9.234569783</v>
      </c>
      <c r="Y22" s="39">
        <f>'Firing Inaccuracy(Crouching) Ra'!Y22+Analysis!$B22</f>
        <v>9.234623531</v>
      </c>
      <c r="Z22" s="39">
        <f>'Firing Inaccuracy(Crouching) Ra'!Z22+Analysis!$B22</f>
        <v>9.234653341</v>
      </c>
      <c r="AA22" s="39">
        <f>'Firing Inaccuracy(Crouching) Ra'!AA22+Analysis!$B22</f>
        <v>9.234669875</v>
      </c>
      <c r="AB22" s="39">
        <f>'Firing Inaccuracy(Crouching) Ra'!AB22+Analysis!$B22</f>
        <v>9.234679044</v>
      </c>
      <c r="AC22" s="39">
        <f>'Firing Inaccuracy(Crouching) Ra'!AC22+Analysis!$B22</f>
        <v>9.23468413</v>
      </c>
      <c r="AD22" s="39">
        <f>'Firing Inaccuracy(Crouching) Ra'!AD22+Analysis!$B22</f>
        <v>9.234686951</v>
      </c>
      <c r="AE22" s="39">
        <f>'Firing Inaccuracy(Crouching) Ra'!AE22+Analysis!$B22</f>
        <v>9.234688515</v>
      </c>
      <c r="AF22" s="39">
        <f>'Firing Inaccuracy(Crouching) Ra'!AF22+Analysis!$B22</f>
        <v>9.234689383</v>
      </c>
      <c r="AG22" s="39">
        <f>'Firing Inaccuracy(Crouching) Ra'!AG22+Analysis!$B22</f>
        <v>9.234689864</v>
      </c>
      <c r="AH22" s="39">
        <f>'Firing Inaccuracy(Crouching) Ra'!AH22+Analysis!$B22</f>
        <v>9.234690131</v>
      </c>
      <c r="AI22" s="39">
        <f>'Firing Inaccuracy(Crouching) Ra'!AI22+Analysis!$B22</f>
        <v>9.234690279</v>
      </c>
      <c r="AJ22" s="39">
        <f>'Firing Inaccuracy(Crouching) Ra'!AJ22+Analysis!$B22</f>
        <v>9.234690361</v>
      </c>
    </row>
    <row r="23" ht="15.75" customHeight="1">
      <c r="A23" s="28" t="s">
        <v>154</v>
      </c>
      <c r="B23" s="32">
        <f>'Raw Values'!E23</f>
        <v>0.08</v>
      </c>
      <c r="C23" s="34">
        <f>'Raw Values'!U23</f>
        <v>2.18</v>
      </c>
      <c r="D23" s="43">
        <f>'Raw Values'!AA23</f>
        <v>0.312494</v>
      </c>
      <c r="E23" s="43" t="str">
        <f>'Firing Inaccuracy(Crouching) Ra'!E23</f>
        <v>N/A</v>
      </c>
      <c r="F23" s="130"/>
      <c r="G23" s="39">
        <f>'Firing Inaccuracy(Crouching) Ra'!G23+Analysis!$B23</f>
        <v>6.52</v>
      </c>
      <c r="H23" s="39">
        <f>'Firing Inaccuracy(Crouching) Ra'!H23+Analysis!$B23</f>
        <v>7.72907037</v>
      </c>
      <c r="I23" s="39">
        <f>'Firing Inaccuracy(Crouching) Ra'!I23+Analysis!$B23</f>
        <v>8.399644297</v>
      </c>
      <c r="J23" s="39">
        <f>'Firing Inaccuracy(Crouching) Ra'!J23+Analysis!$B23</f>
        <v>8.771557629</v>
      </c>
      <c r="K23" s="39">
        <f>'Firing Inaccuracy(Crouching) Ra'!K23+Analysis!$B23</f>
        <v>8.977827992</v>
      </c>
      <c r="L23" s="39">
        <f>'Firing Inaccuracy(Crouching) Ra'!L23+Analysis!$B23</f>
        <v>9.092229544</v>
      </c>
      <c r="M23" s="39">
        <f>'Firing Inaccuracy(Crouching) Ra'!M23+Analysis!$B23</f>
        <v>9.155678869</v>
      </c>
      <c r="N23" s="39">
        <f>'Firing Inaccuracy(Crouching) Ra'!N23+Analysis!$B23</f>
        <v>9.190869097</v>
      </c>
      <c r="O23" s="39">
        <f>'Firing Inaccuracy(Crouching) Ra'!O23+Analysis!$B23</f>
        <v>9.210386282</v>
      </c>
      <c r="P23" s="39">
        <f>'Firing Inaccuracy(Crouching) Ra'!P23+Analysis!$B23</f>
        <v>9.221210892</v>
      </c>
      <c r="Q23" s="39">
        <f>'Firing Inaccuracy(Crouching) Ra'!Q23+Analysis!$B23</f>
        <v>9.227214431</v>
      </c>
      <c r="R23" s="39">
        <f>'Firing Inaccuracy(Crouching) Ra'!R23+Analysis!$B23</f>
        <v>9.23054411</v>
      </c>
      <c r="S23" s="39">
        <f>'Firing Inaccuracy(Crouching) Ra'!S23+Analysis!$B23</f>
        <v>9.232390815</v>
      </c>
      <c r="T23" s="39">
        <f>'Firing Inaccuracy(Crouching) Ra'!T23+Analysis!$B23</f>
        <v>9.233415034</v>
      </c>
      <c r="U23" s="39">
        <f>'Firing Inaccuracy(Crouching) Ra'!U23+Analysis!$B23</f>
        <v>9.233983085</v>
      </c>
      <c r="V23" s="39">
        <f>'Firing Inaccuracy(Crouching) Ra'!V23+Analysis!$B23</f>
        <v>9.234298138</v>
      </c>
      <c r="W23" s="39">
        <f>'Firing Inaccuracy(Crouching) Ra'!W23+Analysis!$B23</f>
        <v>9.234472872</v>
      </c>
      <c r="X23" s="39">
        <f>'Firing Inaccuracy(Crouching) Ra'!X23+Analysis!$B23</f>
        <v>9.234569783</v>
      </c>
      <c r="Y23" s="39">
        <f>'Firing Inaccuracy(Crouching) Ra'!Y23+Analysis!$B23</f>
        <v>9.234623531</v>
      </c>
      <c r="Z23" s="39">
        <f>'Firing Inaccuracy(Crouching) Ra'!Z23+Analysis!$B23</f>
        <v>9.234653341</v>
      </c>
      <c r="AA23" s="39">
        <f>'Firing Inaccuracy(Crouching) Ra'!AA23+Analysis!$B23</f>
        <v>9.234669875</v>
      </c>
      <c r="AB23" s="39">
        <f>'Firing Inaccuracy(Crouching) Ra'!AB23+Analysis!$B23</f>
        <v>9.234679044</v>
      </c>
      <c r="AC23" s="39">
        <f>'Firing Inaccuracy(Crouching) Ra'!AC23+Analysis!$B23</f>
        <v>9.23468413</v>
      </c>
      <c r="AD23" s="39">
        <f>'Firing Inaccuracy(Crouching) Ra'!AD23+Analysis!$B23</f>
        <v>9.234686951</v>
      </c>
      <c r="AE23" s="39">
        <f>'Firing Inaccuracy(Crouching) Ra'!AE23+Analysis!$B23</f>
        <v>9.234688515</v>
      </c>
      <c r="AF23" s="39">
        <f>'Firing Inaccuracy(Crouching) Ra'!AF23+Analysis!$B23</f>
        <v>9.234689383</v>
      </c>
      <c r="AG23" s="39">
        <f>'Firing Inaccuracy(Crouching) Ra'!AG23+Analysis!$B23</f>
        <v>9.234689864</v>
      </c>
      <c r="AH23" s="39">
        <f>'Firing Inaccuracy(Crouching) Ra'!AH23+Analysis!$B23</f>
        <v>9.234690131</v>
      </c>
      <c r="AI23" s="39">
        <f>'Firing Inaccuracy(Crouching) Ra'!AI23+Analysis!$B23</f>
        <v>9.234690279</v>
      </c>
      <c r="AJ23" s="39">
        <f>'Firing Inaccuracy(Crouching) Ra'!AJ23+Analysis!$B23</f>
        <v>9.234690361</v>
      </c>
    </row>
    <row r="24" ht="15.75" customHeight="1">
      <c r="A24" s="61" t="s">
        <v>156</v>
      </c>
      <c r="B24" s="32">
        <f>'Raw Values'!E24</f>
        <v>0.07</v>
      </c>
      <c r="C24" s="34">
        <f>'Raw Values'!U24</f>
        <v>3.7</v>
      </c>
      <c r="D24" s="43">
        <f>'Raw Values'!AA24</f>
        <v>0.184207</v>
      </c>
      <c r="E24" s="43" t="str">
        <f>'Firing Inaccuracy(Crouching) Ra'!E24</f>
        <v>N/A</v>
      </c>
      <c r="F24" s="130"/>
      <c r="G24" s="39">
        <f>'Firing Inaccuracy(Crouching) Ra'!G24+Analysis!$B24</f>
        <v>6.1</v>
      </c>
      <c r="H24" s="39">
        <f>'Firing Inaccuracy(Crouching) Ra'!H24+Analysis!$B24</f>
        <v>7.642390884</v>
      </c>
      <c r="I24" s="39">
        <f>'Firing Inaccuracy(Crouching) Ra'!I24+Analysis!$B24</f>
        <v>8.285355651</v>
      </c>
      <c r="J24" s="39">
        <f>'Firing Inaccuracy(Crouching) Ra'!J24+Analysis!$B24</f>
        <v>8.553383487</v>
      </c>
      <c r="K24" s="39">
        <f>'Firing Inaccuracy(Crouching) Ra'!K24+Analysis!$B24</f>
        <v>8.665114215</v>
      </c>
      <c r="L24" s="39">
        <f>'Firing Inaccuracy(Crouching) Ra'!L24+Analysis!$B24</f>
        <v>8.711690554</v>
      </c>
      <c r="M24" s="39">
        <f>'Firing Inaccuracy(Crouching) Ra'!M24+Analysis!$B24</f>
        <v>8.731106478</v>
      </c>
      <c r="N24" s="39">
        <f>'Firing Inaccuracy(Crouching) Ra'!N24+Analysis!$B24</f>
        <v>8.739200247</v>
      </c>
      <c r="O24" s="39">
        <f>'Firing Inaccuracy(Crouching) Ra'!O24+Analysis!$B24</f>
        <v>8.742574235</v>
      </c>
      <c r="P24" s="39">
        <f>'Firing Inaccuracy(Crouching) Ra'!P24+Analysis!$B24</f>
        <v>8.743980724</v>
      </c>
      <c r="Q24" s="39">
        <f>'Firing Inaccuracy(Crouching) Ra'!Q24+Analysis!$B24</f>
        <v>8.744567036</v>
      </c>
      <c r="R24" s="39">
        <f>'Firing Inaccuracy(Crouching) Ra'!R24+Analysis!$B24</f>
        <v>8.744811448</v>
      </c>
      <c r="S24" s="39">
        <f>'Firing Inaccuracy(Crouching) Ra'!S24+Analysis!$B24</f>
        <v>8.744913334</v>
      </c>
      <c r="T24" s="39">
        <f>'Firing Inaccuracy(Crouching) Ra'!T24+Analysis!$B24</f>
        <v>8.744955806</v>
      </c>
      <c r="U24" s="39">
        <f>'Firing Inaccuracy(Crouching) Ra'!U24+Analysis!$B24</f>
        <v>8.744973512</v>
      </c>
      <c r="V24" s="39">
        <f>'Firing Inaccuracy(Crouching) Ra'!V24+Analysis!$B24</f>
        <v>8.744980892</v>
      </c>
      <c r="W24" s="39">
        <f>'Firing Inaccuracy(Crouching) Ra'!W24+Analysis!$B24</f>
        <v>8.744983969</v>
      </c>
      <c r="X24" s="39">
        <f>'Firing Inaccuracy(Crouching) Ra'!X24+Analysis!$B24</f>
        <v>8.744985251</v>
      </c>
      <c r="Y24" s="39">
        <f>'Firing Inaccuracy(Crouching) Ra'!Y24+Analysis!$B24</f>
        <v>8.744985786</v>
      </c>
      <c r="Z24" s="39">
        <f>'Firing Inaccuracy(Crouching) Ra'!Z24+Analysis!$B24</f>
        <v>8.744986009</v>
      </c>
      <c r="AA24" s="39">
        <f>'Firing Inaccuracy(Crouching) Ra'!AA24+Analysis!$B24</f>
        <v>8.744986102</v>
      </c>
      <c r="AB24" s="39">
        <f>'Firing Inaccuracy(Crouching) Ra'!AB24+Analysis!$B24</f>
        <v>8.744986141</v>
      </c>
      <c r="AC24" s="39">
        <f>'Firing Inaccuracy(Crouching) Ra'!AC24+Analysis!$B24</f>
        <v>8.744986157</v>
      </c>
      <c r="AD24" s="39">
        <f>'Firing Inaccuracy(Crouching) Ra'!AD24+Analysis!$B24</f>
        <v>8.744986163</v>
      </c>
      <c r="AE24" s="39">
        <f>'Firing Inaccuracy(Crouching) Ra'!AE24+Analysis!$B24</f>
        <v>8.744986166</v>
      </c>
      <c r="AF24" s="39">
        <f>'Firing Inaccuracy(Crouching) Ra'!AF24+Analysis!$B24</f>
        <v>8.744986167</v>
      </c>
      <c r="AG24" s="39">
        <f>'Firing Inaccuracy(Crouching) Ra'!AG24+Analysis!$B24</f>
        <v>8.744986168</v>
      </c>
      <c r="AH24" s="39">
        <f>'Firing Inaccuracy(Crouching) Ra'!AH24+Analysis!$B24</f>
        <v>8.744986168</v>
      </c>
      <c r="AI24" s="39">
        <f>'Firing Inaccuracy(Crouching) Ra'!AI24+Analysis!$B24</f>
        <v>8.744986168</v>
      </c>
      <c r="AJ24" s="39">
        <f>'Firing Inaccuracy(Crouching) Ra'!AJ24+Analysis!$B24</f>
        <v>8.744986168</v>
      </c>
    </row>
    <row r="25" ht="15.75" customHeight="1">
      <c r="A25" s="28" t="s">
        <v>158</v>
      </c>
      <c r="B25" s="32">
        <f>'Raw Values'!E25</f>
        <v>0.07</v>
      </c>
      <c r="C25" s="34">
        <f>'Raw Values'!U25</f>
        <v>2.85</v>
      </c>
      <c r="D25" s="43">
        <f>'Raw Values'!AA25</f>
        <v>0.265784</v>
      </c>
      <c r="E25" s="43" t="str">
        <f>'Firing Inaccuracy(Crouching) Ra'!E25</f>
        <v>N/A</v>
      </c>
      <c r="F25" s="130"/>
      <c r="G25" s="39">
        <f>'Firing Inaccuracy(Crouching) Ra'!G25+Analysis!$B25</f>
        <v>11.24</v>
      </c>
      <c r="H25" s="39">
        <f>'Firing Inaccuracy(Crouching) Ra'!H25+Analysis!$B25</f>
        <v>12.79407903</v>
      </c>
      <c r="I25" s="39">
        <f>'Firing Inaccuracy(Crouching) Ra'!I25+Analysis!$B25</f>
        <v>13.64150416</v>
      </c>
      <c r="J25" s="39">
        <f>'Firing Inaccuracy(Crouching) Ra'!J25+Analysis!$B25</f>
        <v>14.10359736</v>
      </c>
      <c r="K25" s="39">
        <f>'Firing Inaccuracy(Crouching) Ra'!K25+Analysis!$B25</f>
        <v>14.35557257</v>
      </c>
      <c r="L25" s="39">
        <f>'Firing Inaccuracy(Crouching) Ra'!L25+Analysis!$B25</f>
        <v>14.49297236</v>
      </c>
      <c r="M25" s="39">
        <f>'Firing Inaccuracy(Crouching) Ra'!M25+Analysis!$B25</f>
        <v>14.56789521</v>
      </c>
      <c r="N25" s="39">
        <f>'Firing Inaccuracy(Crouching) Ra'!N25+Analysis!$B25</f>
        <v>14.60874996</v>
      </c>
      <c r="O25" s="39">
        <f>'Firing Inaccuracy(Crouching) Ra'!O25+Analysis!$B25</f>
        <v>14.63102768</v>
      </c>
      <c r="P25" s="39">
        <f>'Firing Inaccuracy(Crouching) Ra'!P25+Analysis!$B25</f>
        <v>14.64317552</v>
      </c>
      <c r="Q25" s="39">
        <f>'Firing Inaccuracy(Crouching) Ra'!Q25+Analysis!$B25</f>
        <v>14.64979962</v>
      </c>
      <c r="R25" s="39">
        <f>'Firing Inaccuracy(Crouching) Ra'!R25+Analysis!$B25</f>
        <v>14.65341169</v>
      </c>
      <c r="S25" s="39">
        <f>'Firing Inaccuracy(Crouching) Ra'!S25+Analysis!$B25</f>
        <v>14.65538131</v>
      </c>
      <c r="T25" s="39">
        <f>'Firing Inaccuracy(Crouching) Ra'!T25+Analysis!$B25</f>
        <v>14.65645533</v>
      </c>
      <c r="U25" s="39">
        <f>'Firing Inaccuracy(Crouching) Ra'!U25+Analysis!$B25</f>
        <v>14.65704098</v>
      </c>
      <c r="V25" s="39">
        <f>'Firing Inaccuracy(Crouching) Ra'!V25+Analysis!$B25</f>
        <v>14.65736033</v>
      </c>
      <c r="W25" s="39">
        <f>'Firing Inaccuracy(Crouching) Ra'!W25+Analysis!$B25</f>
        <v>14.65753447</v>
      </c>
      <c r="X25" s="39">
        <f>'Firing Inaccuracy(Crouching) Ra'!X25+Analysis!$B25</f>
        <v>14.65762943</v>
      </c>
      <c r="Y25" s="39">
        <f>'Firing Inaccuracy(Crouching) Ra'!Y25+Analysis!$B25</f>
        <v>14.65768121</v>
      </c>
      <c r="Z25" s="39">
        <f>'Firing Inaccuracy(Crouching) Ra'!Z25+Analysis!$B25</f>
        <v>14.65770944</v>
      </c>
      <c r="AA25" s="39">
        <f>'Firing Inaccuracy(Crouching) Ra'!AA25+Analysis!$B25</f>
        <v>14.65772484</v>
      </c>
      <c r="AB25" s="39">
        <f>'Firing Inaccuracy(Crouching) Ra'!AB25+Analysis!$B25</f>
        <v>14.65773324</v>
      </c>
      <c r="AC25" s="39">
        <f>'Firing Inaccuracy(Crouching) Ra'!AC25+Analysis!$B25</f>
        <v>14.65773781</v>
      </c>
      <c r="AD25" s="39">
        <f>'Firing Inaccuracy(Crouching) Ra'!AD25+Analysis!$B25</f>
        <v>14.65774031</v>
      </c>
      <c r="AE25" s="39">
        <f>'Firing Inaccuracy(Crouching) Ra'!AE25+Analysis!$B25</f>
        <v>14.65774167</v>
      </c>
      <c r="AF25" s="39">
        <f>'Firing Inaccuracy(Crouching) Ra'!AF25+Analysis!$B25</f>
        <v>14.65774241</v>
      </c>
      <c r="AG25" s="39">
        <f>'Firing Inaccuracy(Crouching) Ra'!AG25+Analysis!$B25</f>
        <v>14.65774282</v>
      </c>
      <c r="AH25" s="39">
        <f>'Firing Inaccuracy(Crouching) Ra'!AH25+Analysis!$B25</f>
        <v>14.65774304</v>
      </c>
      <c r="AI25" s="39">
        <f>'Firing Inaccuracy(Crouching) Ra'!AI25+Analysis!$B25</f>
        <v>14.65774316</v>
      </c>
      <c r="AJ25" s="39">
        <f>'Firing Inaccuracy(Crouching) Ra'!AJ25+Analysis!$B25</f>
        <v>14.65774322</v>
      </c>
    </row>
    <row r="26" ht="15.75" customHeight="1">
      <c r="A26" s="28" t="s">
        <v>160</v>
      </c>
      <c r="B26" s="32">
        <f>'Raw Values'!E26</f>
        <v>0.09</v>
      </c>
      <c r="C26" s="34">
        <f>'Raw Values'!U26</f>
        <v>3.42</v>
      </c>
      <c r="D26" s="43">
        <f>'Raw Values'!AA26</f>
        <v>0.249995</v>
      </c>
      <c r="E26" s="43" t="str">
        <f>'Firing Inaccuracy(Crouching) Ra'!E26</f>
        <v>N/A</v>
      </c>
      <c r="F26" s="130"/>
      <c r="G26" s="39">
        <f>'Firing Inaccuracy(Crouching) Ra'!G26+Analysis!$B26</f>
        <v>11.07</v>
      </c>
      <c r="H26" s="39">
        <f>'Firing Inaccuracy(Crouching) Ra'!H26+Analysis!$B26</f>
        <v>12.5628594</v>
      </c>
      <c r="I26" s="39">
        <f>'Firing Inaccuracy(Crouching) Ra'!I26+Analysis!$B26</f>
        <v>13.21450535</v>
      </c>
      <c r="J26" s="39">
        <f>'Firing Inaccuracy(Crouching) Ra'!J26+Analysis!$B26</f>
        <v>13.49895442</v>
      </c>
      <c r="K26" s="39">
        <f>'Firing Inaccuracy(Crouching) Ra'!K26+Analysis!$B26</f>
        <v>13.62311888</v>
      </c>
      <c r="L26" s="39">
        <f>'Firing Inaccuracy(Crouching) Ra'!L26+Analysis!$B26</f>
        <v>13.67731773</v>
      </c>
      <c r="M26" s="39">
        <f>'Firing Inaccuracy(Crouching) Ra'!M26+Analysis!$B26</f>
        <v>13.700976</v>
      </c>
      <c r="N26" s="39">
        <f>'Firing Inaccuracy(Crouching) Ra'!N26+Analysis!$B26</f>
        <v>13.71130303</v>
      </c>
      <c r="O26" s="39">
        <f>'Firing Inaccuracy(Crouching) Ra'!O26+Analysis!$B26</f>
        <v>13.71581087</v>
      </c>
      <c r="P26" s="39">
        <f>'Firing Inaccuracy(Crouching) Ra'!P26+Analysis!$B26</f>
        <v>13.71777858</v>
      </c>
      <c r="Q26" s="39">
        <f>'Firing Inaccuracy(Crouching) Ra'!Q26+Analysis!$B26</f>
        <v>13.71863751</v>
      </c>
      <c r="R26" s="39">
        <f>'Firing Inaccuracy(Crouching) Ra'!R26+Analysis!$B26</f>
        <v>13.71901243</v>
      </c>
      <c r="S26" s="39">
        <f>'Firing Inaccuracy(Crouching) Ra'!S26+Analysis!$B26</f>
        <v>13.71917609</v>
      </c>
      <c r="T26" s="39">
        <f>'Firing Inaccuracy(Crouching) Ra'!T26+Analysis!$B26</f>
        <v>13.71924753</v>
      </c>
      <c r="U26" s="39">
        <f>'Firing Inaccuracy(Crouching) Ra'!U26+Analysis!$B26</f>
        <v>13.71927871</v>
      </c>
      <c r="V26" s="39">
        <f>'Firing Inaccuracy(Crouching) Ra'!V26+Analysis!$B26</f>
        <v>13.71929233</v>
      </c>
      <c r="W26" s="39">
        <f>'Firing Inaccuracy(Crouching) Ra'!W26+Analysis!$B26</f>
        <v>13.71929827</v>
      </c>
      <c r="X26" s="39">
        <f>'Firing Inaccuracy(Crouching) Ra'!X26+Analysis!$B26</f>
        <v>13.71930086</v>
      </c>
      <c r="Y26" s="39">
        <f>'Firing Inaccuracy(Crouching) Ra'!Y26+Analysis!$B26</f>
        <v>13.71930199</v>
      </c>
      <c r="Z26" s="39">
        <f>'Firing Inaccuracy(Crouching) Ra'!Z26+Analysis!$B26</f>
        <v>13.71930249</v>
      </c>
      <c r="AA26" s="39">
        <f>'Firing Inaccuracy(Crouching) Ra'!AA26+Analysis!$B26</f>
        <v>13.7193027</v>
      </c>
      <c r="AB26" s="39">
        <f>'Firing Inaccuracy(Crouching) Ra'!AB26+Analysis!$B26</f>
        <v>13.7193028</v>
      </c>
      <c r="AC26" s="39">
        <f>'Firing Inaccuracy(Crouching) Ra'!AC26+Analysis!$B26</f>
        <v>13.71930284</v>
      </c>
      <c r="AD26" s="39">
        <f>'Firing Inaccuracy(Crouching) Ra'!AD26+Analysis!$B26</f>
        <v>13.71930286</v>
      </c>
      <c r="AE26" s="39">
        <f>'Firing Inaccuracy(Crouching) Ra'!AE26+Analysis!$B26</f>
        <v>13.71930286</v>
      </c>
      <c r="AF26" s="41"/>
      <c r="AG26" s="41"/>
      <c r="AH26" s="41"/>
      <c r="AI26" s="41"/>
      <c r="AJ26" s="41"/>
    </row>
    <row r="27" ht="15.75" customHeight="1">
      <c r="A27" s="75"/>
      <c r="B27" s="77"/>
      <c r="C27" s="147"/>
      <c r="D27" s="148"/>
      <c r="E27" s="149"/>
      <c r="F27" s="150"/>
      <c r="G27" s="79"/>
      <c r="H27" s="79"/>
      <c r="I27" s="79"/>
      <c r="J27" s="79"/>
      <c r="K27" s="79"/>
      <c r="L27" s="79"/>
      <c r="M27" s="79"/>
      <c r="N27" s="79"/>
      <c r="O27" s="79"/>
      <c r="P27" s="79"/>
      <c r="Q27" s="79"/>
      <c r="R27" s="79"/>
      <c r="S27" s="79"/>
      <c r="T27" s="79"/>
      <c r="U27" s="79"/>
      <c r="V27" s="79"/>
      <c r="W27" s="79"/>
      <c r="X27" s="79"/>
      <c r="Y27" s="79"/>
      <c r="Z27" s="79"/>
      <c r="AA27" s="79"/>
      <c r="AB27" s="79"/>
      <c r="AC27" s="79"/>
      <c r="AD27" s="79"/>
      <c r="AE27" s="79"/>
      <c r="AF27" s="79"/>
      <c r="AG27" s="79"/>
      <c r="AH27" s="79"/>
      <c r="AI27" s="79"/>
      <c r="AJ27" s="79"/>
    </row>
    <row r="28" ht="15.75" customHeight="1">
      <c r="A28" s="5" t="s">
        <v>161</v>
      </c>
      <c r="B28" s="11" t="s">
        <v>19</v>
      </c>
      <c r="C28" s="9" t="s">
        <v>204</v>
      </c>
      <c r="D28" s="21" t="s">
        <v>220</v>
      </c>
      <c r="E28" s="21" t="s">
        <v>221</v>
      </c>
      <c r="F28" s="125"/>
      <c r="G28" s="127">
        <v>1.0</v>
      </c>
      <c r="H28" s="127">
        <v>2.0</v>
      </c>
      <c r="I28" s="127">
        <v>3.0</v>
      </c>
      <c r="J28" s="127">
        <v>4.0</v>
      </c>
      <c r="K28" s="127">
        <v>5.0</v>
      </c>
      <c r="L28" s="127">
        <v>6.0</v>
      </c>
      <c r="M28" s="127">
        <v>7.0</v>
      </c>
      <c r="N28" s="127">
        <v>8.0</v>
      </c>
      <c r="O28" s="127">
        <v>9.0</v>
      </c>
      <c r="P28" s="127">
        <v>10.0</v>
      </c>
      <c r="Q28" s="127">
        <v>11.0</v>
      </c>
      <c r="R28" s="127">
        <v>12.0</v>
      </c>
      <c r="S28" s="127">
        <v>13.0</v>
      </c>
      <c r="T28" s="127">
        <v>14.0</v>
      </c>
      <c r="U28" s="127">
        <v>15.0</v>
      </c>
      <c r="V28" s="127">
        <v>16.0</v>
      </c>
      <c r="W28" s="127">
        <v>17.0</v>
      </c>
      <c r="X28" s="127">
        <v>18.0</v>
      </c>
      <c r="Y28" s="127">
        <v>19.0</v>
      </c>
      <c r="Z28" s="127">
        <v>20.0</v>
      </c>
      <c r="AA28" s="127">
        <v>21.0</v>
      </c>
      <c r="AB28" s="127">
        <v>22.0</v>
      </c>
      <c r="AC28" s="127">
        <v>23.0</v>
      </c>
      <c r="AD28" s="127">
        <v>24.0</v>
      </c>
      <c r="AE28" s="127">
        <v>25.0</v>
      </c>
      <c r="AF28" s="127">
        <v>26.0</v>
      </c>
      <c r="AG28" s="127">
        <v>27.0</v>
      </c>
      <c r="AH28" s="127">
        <v>28.0</v>
      </c>
      <c r="AI28" s="127">
        <v>29.0</v>
      </c>
      <c r="AJ28" s="127">
        <v>30.0</v>
      </c>
    </row>
    <row r="29" ht="15.75" customHeight="1">
      <c r="A29" s="66" t="s">
        <v>164</v>
      </c>
      <c r="B29" s="32">
        <f>'Raw Values'!E29</f>
        <v>0.1</v>
      </c>
      <c r="C29" s="34">
        <f>'Raw Values'!U29</f>
        <v>7.8</v>
      </c>
      <c r="D29" s="43">
        <f>'Raw Values'!AA29</f>
        <v>0.305257</v>
      </c>
      <c r="E29" s="43">
        <f>'Firing Inaccuracy(Crouching) Ra'!E29</f>
        <v>0.419728</v>
      </c>
      <c r="F29" s="130"/>
      <c r="G29" s="39">
        <f>'Firing Inaccuracy(Crouching) Ra'!G29+Analysis!$B29</f>
        <v>5.41</v>
      </c>
      <c r="H29" s="39">
        <f>'Firing Inaccuracy(Crouching) Ra'!H29+Analysis!$B29</f>
        <v>9.078612044</v>
      </c>
      <c r="I29" s="39">
        <f>'Firing Inaccuracy(Crouching) Ra'!I29+Analysis!$B29</f>
        <v>10.80408824</v>
      </c>
      <c r="J29" s="39">
        <f>'Firing Inaccuracy(Crouching) Ra'!J29+Analysis!$B29</f>
        <v>12.15816456</v>
      </c>
      <c r="K29" s="39">
        <f>'Firing Inaccuracy(Crouching) Ra'!K29+Analysis!$B29</f>
        <v>13.36671461</v>
      </c>
      <c r="L29" s="39">
        <f>'Firing Inaccuracy(Crouching) Ra'!L29+Analysis!$B29</f>
        <v>14.51366223</v>
      </c>
      <c r="M29" s="39">
        <f>'Firing Inaccuracy(Crouching) Ra'!M29+Analysis!$B29</f>
        <v>15.17632726</v>
      </c>
      <c r="N29" s="39">
        <f>'Firing Inaccuracy(Crouching) Ra'!N29+Analysis!$B29</f>
        <v>15.55919125</v>
      </c>
      <c r="O29" s="39">
        <f>'Firing Inaccuracy(Crouching) Ra'!O29+Analysis!$B29</f>
        <v>15.78039627</v>
      </c>
      <c r="P29" s="39">
        <f>'Firing Inaccuracy(Crouching) Ra'!P29+Analysis!$B29</f>
        <v>15.90820057</v>
      </c>
      <c r="Q29" s="39">
        <f>'Firing Inaccuracy(Crouching) Ra'!Q29+Analysis!$B29</f>
        <v>15.98204129</v>
      </c>
      <c r="R29" s="39">
        <f>'Firing Inaccuracy(Crouching) Ra'!R29+Analysis!$B29</f>
        <v>16.0247038</v>
      </c>
      <c r="S29" s="39">
        <f>'Firing Inaccuracy(Crouching) Ra'!S29+Analysis!$B29</f>
        <v>16.04935266</v>
      </c>
      <c r="T29" s="39">
        <f>'Firing Inaccuracy(Crouching) Ra'!T29+Analysis!$B29</f>
        <v>16.06359388</v>
      </c>
      <c r="U29" s="39">
        <f>'Firing Inaccuracy(Crouching) Ra'!U29+Analysis!$B29</f>
        <v>16.07182195</v>
      </c>
      <c r="V29" s="39">
        <f>'Firing Inaccuracy(Crouching) Ra'!V29+Analysis!$B29</f>
        <v>16.07657583</v>
      </c>
      <c r="W29" s="39">
        <f>'Firing Inaccuracy(Crouching) Ra'!W29+Analysis!$B29</f>
        <v>16.07932245</v>
      </c>
      <c r="X29" s="39">
        <f>'Firing Inaccuracy(Crouching) Ra'!X29+Analysis!$B29</f>
        <v>16.08090935</v>
      </c>
      <c r="Y29" s="39">
        <f>'Firing Inaccuracy(Crouching) Ra'!Y29+Analysis!$B29</f>
        <v>16.0818262</v>
      </c>
      <c r="Z29" s="39">
        <f>'Firing Inaccuracy(Crouching) Ra'!Z29+Analysis!$B29</f>
        <v>16.08235593</v>
      </c>
      <c r="AA29" s="39">
        <f>'Firing Inaccuracy(Crouching) Ra'!AA29+Analysis!$B29</f>
        <v>16.08266198</v>
      </c>
      <c r="AB29" s="39">
        <f>'Firing Inaccuracy(Crouching) Ra'!AB29+Analysis!$B29</f>
        <v>16.08283881</v>
      </c>
      <c r="AC29" s="39">
        <f>'Firing Inaccuracy(Crouching) Ra'!AC29+Analysis!$B29</f>
        <v>16.08294098</v>
      </c>
      <c r="AD29" s="39">
        <f>'Firing Inaccuracy(Crouching) Ra'!AD29+Analysis!$B29</f>
        <v>16.083</v>
      </c>
      <c r="AE29" s="39">
        <f>'Firing Inaccuracy(Crouching) Ra'!AE29+Analysis!$B29</f>
        <v>16.08303411</v>
      </c>
      <c r="AF29" s="39">
        <f>'Firing Inaccuracy(Crouching) Ra'!AF29+Analysis!$B29</f>
        <v>16.08305381</v>
      </c>
      <c r="AG29" s="39">
        <f>'Firing Inaccuracy(Crouching) Ra'!AG29+Analysis!$B29</f>
        <v>16.0830652</v>
      </c>
      <c r="AH29" s="39">
        <f>'Firing Inaccuracy(Crouching) Ra'!AH29+Analysis!$B29</f>
        <v>16.08307177</v>
      </c>
      <c r="AI29" s="39">
        <f>'Firing Inaccuracy(Crouching) Ra'!AI29+Analysis!$B29</f>
        <v>16.08307557</v>
      </c>
      <c r="AJ29" s="39">
        <f>'Firing Inaccuracy(Crouching) Ra'!AJ29+Analysis!$B29</f>
        <v>16.08307777</v>
      </c>
    </row>
    <row r="30" ht="15.75" customHeight="1">
      <c r="A30" s="61" t="s">
        <v>166</v>
      </c>
      <c r="B30" s="32">
        <f>'Raw Values'!E30</f>
        <v>0.1</v>
      </c>
      <c r="C30" s="34">
        <f>'Raw Values'!U30</f>
        <v>7.29</v>
      </c>
      <c r="D30" s="43">
        <f>'Raw Values'!AA30</f>
        <v>0.30552</v>
      </c>
      <c r="E30" s="43" t="str">
        <f>'Firing Inaccuracy(Crouching) Ra'!E30</f>
        <v>N/A</v>
      </c>
      <c r="F30" s="130"/>
      <c r="G30" s="39">
        <f>'Firing Inaccuracy(Crouching) Ra'!G30+Analysis!$B30</f>
        <v>3.38</v>
      </c>
      <c r="H30" s="39">
        <f>'Firing Inaccuracy(Crouching) Ra'!H30+Analysis!$B30</f>
        <v>6.810968367</v>
      </c>
      <c r="I30" s="39">
        <f>'Firing Inaccuracy(Crouching) Ra'!I30+Analysis!$B30</f>
        <v>8.425720622</v>
      </c>
      <c r="J30" s="39">
        <f>'Firing Inaccuracy(Crouching) Ra'!J30+Analysis!$B30</f>
        <v>9.185688236</v>
      </c>
      <c r="K30" s="39">
        <f>'Firing Inaccuracy(Crouching) Ra'!K30+Analysis!$B30</f>
        <v>9.543359682</v>
      </c>
      <c r="L30" s="39">
        <f>'Firing Inaccuracy(Crouching) Ra'!L30+Analysis!$B30</f>
        <v>9.711694308</v>
      </c>
      <c r="M30" s="39">
        <f>'Firing Inaccuracy(Crouching) Ra'!M30+Analysis!$B30</f>
        <v>9.79091938</v>
      </c>
      <c r="N30" s="39">
        <f>'Firing Inaccuracy(Crouching) Ra'!N30+Analysis!$B30</f>
        <v>9.828205897</v>
      </c>
      <c r="O30" s="39">
        <f>'Firing Inaccuracy(Crouching) Ra'!O30+Analysis!$B30</f>
        <v>9.845754438</v>
      </c>
      <c r="P30" s="39">
        <f>'Firing Inaccuracy(Crouching) Ra'!P30+Analysis!$B30</f>
        <v>9.85401349</v>
      </c>
      <c r="Q30" s="39">
        <f>'Firing Inaccuracy(Crouching) Ra'!Q30+Analysis!$B30</f>
        <v>9.857900534</v>
      </c>
      <c r="R30" s="39">
        <f>'Firing Inaccuracy(Crouching) Ra'!R30+Analysis!$B30</f>
        <v>9.859729933</v>
      </c>
      <c r="S30" s="39">
        <f>'Firing Inaccuracy(Crouching) Ra'!S30+Analysis!$B30</f>
        <v>9.860590923</v>
      </c>
      <c r="T30" s="39">
        <f>'Firing Inaccuracy(Crouching) Ra'!T30+Analysis!$B30</f>
        <v>9.860996139</v>
      </c>
      <c r="U30" s="39">
        <f>'Firing Inaccuracy(Crouching) Ra'!U30+Analysis!$B30</f>
        <v>9.86118685</v>
      </c>
      <c r="V30" s="39">
        <f>'Firing Inaccuracy(Crouching) Ra'!V30+Analysis!$B30</f>
        <v>9.861276606</v>
      </c>
      <c r="W30" s="39">
        <f>'Firing Inaccuracy(Crouching) Ra'!W30+Analysis!$B30</f>
        <v>9.861318849</v>
      </c>
      <c r="X30" s="39">
        <f>'Firing Inaccuracy(Crouching) Ra'!X30+Analysis!$B30</f>
        <v>9.861338731</v>
      </c>
      <c r="Y30" s="39">
        <f>'Firing Inaccuracy(Crouching) Ra'!Y30+Analysis!$B30</f>
        <v>9.861348088</v>
      </c>
      <c r="Z30" s="39">
        <f>'Firing Inaccuracy(Crouching) Ra'!Z30+Analysis!$B30</f>
        <v>9.861352491</v>
      </c>
      <c r="AA30" s="39">
        <f>'Firing Inaccuracy(Crouching) Ra'!AA30+Analysis!$B30</f>
        <v>9.861354564</v>
      </c>
      <c r="AB30" s="39">
        <f>'Firing Inaccuracy(Crouching) Ra'!AB30+Analysis!$B30</f>
        <v>9.861355539</v>
      </c>
      <c r="AC30" s="39">
        <f>'Firing Inaccuracy(Crouching) Ra'!AC30+Analysis!$B30</f>
        <v>9.861355998</v>
      </c>
      <c r="AD30" s="39">
        <f>'Firing Inaccuracy(Crouching) Ra'!AD30+Analysis!$B30</f>
        <v>9.861356215</v>
      </c>
      <c r="AE30" s="39">
        <f>'Firing Inaccuracy(Crouching) Ra'!AE30+Analysis!$B30</f>
        <v>9.861356316</v>
      </c>
      <c r="AF30" s="39">
        <f>'Firing Inaccuracy(Crouching) Ra'!AF30+Analysis!$B30</f>
        <v>9.861356364</v>
      </c>
      <c r="AG30" s="39">
        <f>'Firing Inaccuracy(Crouching) Ra'!AG30+Analysis!$B30</f>
        <v>9.861356387</v>
      </c>
      <c r="AH30" s="39">
        <f>'Firing Inaccuracy(Crouching) Ra'!AH30+Analysis!$B30</f>
        <v>9.861356397</v>
      </c>
      <c r="AI30" s="39">
        <f>'Firing Inaccuracy(Crouching) Ra'!AI30+Analysis!$B30</f>
        <v>9.861356402</v>
      </c>
      <c r="AJ30" s="39">
        <f>'Firing Inaccuracy(Crouching) Ra'!AJ30+Analysis!$B30</f>
        <v>9.861356405</v>
      </c>
    </row>
    <row r="31" ht="15.75" customHeight="1">
      <c r="A31" s="61" t="s">
        <v>168</v>
      </c>
      <c r="B31" s="32">
        <f>'Raw Values'!E31</f>
        <v>0.09</v>
      </c>
      <c r="C31" s="34">
        <f>'Raw Values'!U31</f>
        <v>6.05</v>
      </c>
      <c r="D31" s="43">
        <f>'Raw Values'!AA31</f>
        <v>0.12</v>
      </c>
      <c r="E31" s="43">
        <f>'Firing Inaccuracy(Crouching) Ra'!E31</f>
        <v>0.48</v>
      </c>
      <c r="F31" s="130"/>
      <c r="G31" s="39">
        <f>'Firing Inaccuracy(Crouching) Ra'!G31+Analysis!$B31</f>
        <v>7.99</v>
      </c>
      <c r="H31" s="39">
        <f>'Firing Inaccuracy(Crouching) Ra'!H31+Analysis!$B31</f>
        <v>9.065859043</v>
      </c>
      <c r="I31" s="39">
        <f>'Firing Inaccuracy(Crouching) Ra'!I31+Analysis!$B31</f>
        <v>9.257176842</v>
      </c>
      <c r="J31" s="39">
        <f>'Firing Inaccuracy(Crouching) Ra'!J31+Analysis!$B31</f>
        <v>11.07562789</v>
      </c>
      <c r="K31" s="39">
        <f>'Firing Inaccuracy(Crouching) Ra'!K31+Analysis!$B31</f>
        <v>13.12734109</v>
      </c>
      <c r="L31" s="39">
        <f>'Firing Inaccuracy(Crouching) Ra'!L31+Analysis!$B31</f>
        <v>15.25485381</v>
      </c>
      <c r="M31" s="39">
        <f>'Firing Inaccuracy(Crouching) Ra'!M31+Analysis!$B31</f>
        <v>16.63642149</v>
      </c>
      <c r="N31" s="39">
        <f>'Firing Inaccuracy(Crouching) Ra'!N31+Analysis!$B31</f>
        <v>17.53358617</v>
      </c>
      <c r="O31" s="39">
        <f>'Firing Inaccuracy(Crouching) Ra'!O31+Analysis!$B31</f>
        <v>18.11618843</v>
      </c>
      <c r="P31" s="39">
        <f>'Firing Inaccuracy(Crouching) Ra'!P31+Analysis!$B31</f>
        <v>18.49451963</v>
      </c>
      <c r="Q31" s="39">
        <f>'Firing Inaccuracy(Crouching) Ra'!Q31+Analysis!$B31</f>
        <v>18.74020097</v>
      </c>
      <c r="R31" s="39">
        <f>'Firing Inaccuracy(Crouching) Ra'!R31+Analysis!$B31</f>
        <v>18.89974192</v>
      </c>
      <c r="S31" s="39">
        <f>'Firing Inaccuracy(Crouching) Ra'!S31+Analysis!$B31</f>
        <v>19.00334488</v>
      </c>
      <c r="T31" s="39">
        <f>'Firing Inaccuracy(Crouching) Ra'!T31+Analysis!$B31</f>
        <v>19.07062274</v>
      </c>
      <c r="U31" s="39">
        <f>'Firing Inaccuracy(Crouching) Ra'!U31+Analysis!$B31</f>
        <v>19.11431174</v>
      </c>
      <c r="V31" s="39">
        <f>'Firing Inaccuracy(Crouching) Ra'!V31+Analysis!$B31</f>
        <v>19.14268258</v>
      </c>
      <c r="W31" s="39">
        <f>'Firing Inaccuracy(Crouching) Ra'!W31+Analysis!$B31</f>
        <v>19.16110608</v>
      </c>
      <c r="X31" s="39">
        <f>'Firing Inaccuracy(Crouching) Ra'!X31+Analysis!$B31</f>
        <v>19.17306996</v>
      </c>
      <c r="Y31" s="39">
        <f>'Firing Inaccuracy(Crouching) Ra'!Y31+Analysis!$B31</f>
        <v>19.18083909</v>
      </c>
      <c r="Z31" s="39">
        <f>'Firing Inaccuracy(Crouching) Ra'!Z31+Analysis!$B31</f>
        <v>19.18588422</v>
      </c>
      <c r="AA31" s="39">
        <f>'Firing Inaccuracy(Crouching) Ra'!AA31+Analysis!$B31</f>
        <v>19.18916043</v>
      </c>
      <c r="AB31" s="39">
        <f>'Firing Inaccuracy(Crouching) Ra'!AB31+Analysis!$B31</f>
        <v>19.19128794</v>
      </c>
      <c r="AC31" s="39">
        <f>'Firing Inaccuracy(Crouching) Ra'!AC31+Analysis!$B31</f>
        <v>19.19266951</v>
      </c>
      <c r="AD31" s="39">
        <f>'Firing Inaccuracy(Crouching) Ra'!AD31+Analysis!$B31</f>
        <v>19.19356668</v>
      </c>
      <c r="AE31" s="39">
        <f>'Firing Inaccuracy(Crouching) Ra'!AE31+Analysis!$B31</f>
        <v>19.19414928</v>
      </c>
      <c r="AF31" s="41"/>
      <c r="AG31" s="41"/>
      <c r="AH31" s="41"/>
      <c r="AI31" s="41"/>
      <c r="AJ31" s="41"/>
    </row>
    <row r="32" ht="15.75" customHeight="1">
      <c r="A32" s="66" t="s">
        <v>170</v>
      </c>
      <c r="B32" s="32">
        <f>'Raw Values'!E32</f>
        <v>0.09</v>
      </c>
      <c r="C32" s="34">
        <f>'Raw Values'!U32</f>
        <v>7</v>
      </c>
      <c r="D32" s="43">
        <f>'Raw Values'!AA32</f>
        <v>0.15</v>
      </c>
      <c r="E32" s="43">
        <f>'Firing Inaccuracy(Crouching) Ra'!E32</f>
        <v>0.47</v>
      </c>
      <c r="F32" s="130"/>
      <c r="G32" s="39">
        <f>'Firing Inaccuracy(Crouching) Ra'!G32+Analysis!$B32</f>
        <v>7.18</v>
      </c>
      <c r="H32" s="39">
        <f>'Firing Inaccuracy(Crouching) Ra'!H32+Analysis!$B32</f>
        <v>8.938320502</v>
      </c>
      <c r="I32" s="39">
        <f>'Firing Inaccuracy(Crouching) Ra'!I32+Analysis!$B32</f>
        <v>9.379990643</v>
      </c>
      <c r="J32" s="39">
        <f>'Firing Inaccuracy(Crouching) Ra'!J32+Analysis!$B32</f>
        <v>11.28334502</v>
      </c>
      <c r="K32" s="39">
        <f>'Firing Inaccuracy(Crouching) Ra'!K32+Analysis!$B32</f>
        <v>13.45693184</v>
      </c>
      <c r="L32" s="39">
        <f>'Firing Inaccuracy(Crouching) Ra'!L32+Analysis!$B32</f>
        <v>15.72295983</v>
      </c>
      <c r="M32" s="39">
        <f>'Firing Inaccuracy(Crouching) Ra'!M32+Analysis!$B32</f>
        <v>17.18102154</v>
      </c>
      <c r="N32" s="39">
        <f>'Firing Inaccuracy(Crouching) Ra'!N32+Analysis!$B32</f>
        <v>18.11920235</v>
      </c>
      <c r="O32" s="39">
        <f>'Firing Inaccuracy(Crouching) Ra'!O32+Analysis!$B32</f>
        <v>18.722869</v>
      </c>
      <c r="P32" s="39">
        <f>'Firing Inaccuracy(Crouching) Ra'!P32+Analysis!$B32</f>
        <v>19.11129458</v>
      </c>
      <c r="Q32" s="39">
        <f>'Firing Inaccuracy(Crouching) Ra'!Q32+Analysis!$B32</f>
        <v>19.36122462</v>
      </c>
      <c r="R32" s="39">
        <f>'Firing Inaccuracy(Crouching) Ra'!R32+Analysis!$B32</f>
        <v>19.52204057</v>
      </c>
      <c r="S32" s="39">
        <f>'Firing Inaccuracy(Crouching) Ra'!S32+Analysis!$B32</f>
        <v>19.62551659</v>
      </c>
      <c r="T32" s="39">
        <f>'Firing Inaccuracy(Crouching) Ra'!T32+Analysis!$B32</f>
        <v>19.6920976</v>
      </c>
      <c r="U32" s="39">
        <f>'Firing Inaccuracy(Crouching) Ra'!U32+Analysis!$B32</f>
        <v>19.73493874</v>
      </c>
      <c r="V32" s="39">
        <f>'Firing Inaccuracy(Crouching) Ra'!V32+Analysis!$B32</f>
        <v>19.76250461</v>
      </c>
      <c r="W32" s="39">
        <f>'Firing Inaccuracy(Crouching) Ra'!W32+Analysis!$B32</f>
        <v>19.78024169</v>
      </c>
      <c r="X32" s="39">
        <f>'Firing Inaccuracy(Crouching) Ra'!X32+Analysis!$B32</f>
        <v>19.79165451</v>
      </c>
      <c r="Y32" s="39">
        <f>'Firing Inaccuracy(Crouching) Ra'!Y32+Analysis!$B32</f>
        <v>19.79899802</v>
      </c>
      <c r="Z32" s="39">
        <f>'Firing Inaccuracy(Crouching) Ra'!Z32+Analysis!$B32</f>
        <v>19.80372315</v>
      </c>
      <c r="AA32" s="39">
        <f>'Firing Inaccuracy(Crouching) Ra'!AA32+Analysis!$B32</f>
        <v>19.80676351</v>
      </c>
      <c r="AB32" s="39">
        <f>'Firing Inaccuracy(Crouching) Ra'!AB32+Analysis!$B32</f>
        <v>19.80871981</v>
      </c>
      <c r="AC32" s="39">
        <f>'Firing Inaccuracy(Crouching) Ra'!AC32+Analysis!$B32</f>
        <v>19.80997858</v>
      </c>
      <c r="AD32" s="39">
        <f>'Firing Inaccuracy(Crouching) Ra'!AD32+Analysis!$B32</f>
        <v>19.81078853</v>
      </c>
      <c r="AE32" s="39">
        <f>'Firing Inaccuracy(Crouching) Ra'!AE32+Analysis!$B32</f>
        <v>19.81130969</v>
      </c>
      <c r="AF32" s="39">
        <f>'Firing Inaccuracy(Crouching) Ra'!AF32+Analysis!$B32</f>
        <v>19.81164502</v>
      </c>
      <c r="AG32" s="39">
        <f>'Firing Inaccuracy(Crouching) Ra'!AG32+Analysis!$B32</f>
        <v>19.81186079</v>
      </c>
      <c r="AH32" s="39">
        <f>'Firing Inaccuracy(Crouching) Ra'!AH32+Analysis!$B32</f>
        <v>19.81199962</v>
      </c>
      <c r="AI32" s="39">
        <f>'Firing Inaccuracy(Crouching) Ra'!AI32+Analysis!$B32</f>
        <v>19.81208896</v>
      </c>
      <c r="AJ32" s="39">
        <f>'Firing Inaccuracy(Crouching) Ra'!AJ32+Analysis!$B32</f>
        <v>19.81214644</v>
      </c>
    </row>
    <row r="33" ht="15.75" customHeight="1">
      <c r="A33" s="61" t="s">
        <v>171</v>
      </c>
      <c r="B33" s="32">
        <f>'Raw Values'!E33</f>
        <v>0.09</v>
      </c>
      <c r="C33" s="34">
        <f>'Raw Values'!U33</f>
        <v>7</v>
      </c>
      <c r="D33" s="43">
        <f>'Raw Values'!AA33</f>
        <v>0.2421</v>
      </c>
      <c r="E33" s="43">
        <f>'Firing Inaccuracy(Crouching) Ra'!E33</f>
        <v>0.332888</v>
      </c>
      <c r="F33" s="130"/>
      <c r="G33" s="39">
        <f>'Firing Inaccuracy(Crouching) Ra'!G33+Analysis!$B33</f>
        <v>4.7</v>
      </c>
      <c r="H33" s="39">
        <f>'Firing Inaccuracy(Crouching) Ra'!H33+Analysis!$B33</f>
        <v>7.674067548</v>
      </c>
      <c r="I33" s="39">
        <f>'Firing Inaccuracy(Crouching) Ra'!I33+Analysis!$B33</f>
        <v>8.937650088</v>
      </c>
      <c r="J33" s="39">
        <f>'Firing Inaccuracy(Crouching) Ra'!J33+Analysis!$B33</f>
        <v>9.950899924</v>
      </c>
      <c r="K33" s="39">
        <f>'Firing Inaccuracy(Crouching) Ra'!K33+Analysis!$B33</f>
        <v>10.87689971</v>
      </c>
      <c r="L33" s="39">
        <f>'Firing Inaccuracy(Crouching) Ra'!L33+Analysis!$B33</f>
        <v>11.77053112</v>
      </c>
      <c r="M33" s="39">
        <f>'Firing Inaccuracy(Crouching) Ra'!M33+Analysis!$B33</f>
        <v>12.25004062</v>
      </c>
      <c r="N33" s="39">
        <f>'Firing Inaccuracy(Crouching) Ra'!N33+Analysis!$B33</f>
        <v>12.50733839</v>
      </c>
      <c r="O33" s="39">
        <f>'Firing Inaccuracy(Crouching) Ra'!O33+Analysis!$B33</f>
        <v>12.6454006</v>
      </c>
      <c r="P33" s="39">
        <f>'Firing Inaccuracy(Crouching) Ra'!P33+Analysis!$B33</f>
        <v>12.71948276</v>
      </c>
      <c r="Q33" s="39">
        <f>'Firing Inaccuracy(Crouching) Ra'!Q33+Analysis!$B33</f>
        <v>12.75923416</v>
      </c>
      <c r="R33" s="39">
        <f>'Firing Inaccuracy(Crouching) Ra'!R33+Analysis!$B33</f>
        <v>12.78056417</v>
      </c>
      <c r="S33" s="39">
        <f>'Firing Inaccuracy(Crouching) Ra'!S33+Analysis!$B33</f>
        <v>12.79200955</v>
      </c>
      <c r="T33" s="39">
        <f>'Firing Inaccuracy(Crouching) Ra'!T33+Analysis!$B33</f>
        <v>12.79815097</v>
      </c>
      <c r="U33" s="39">
        <f>'Firing Inaccuracy(Crouching) Ra'!U33+Analysis!$B33</f>
        <v>12.80144636</v>
      </c>
      <c r="V33" s="39">
        <f>'Firing Inaccuracy(Crouching) Ra'!V33+Analysis!$B33</f>
        <v>12.80321462</v>
      </c>
      <c r="W33" s="39">
        <f>'Firing Inaccuracy(Crouching) Ra'!W33+Analysis!$B33</f>
        <v>12.80416345</v>
      </c>
      <c r="X33" s="39">
        <f>'Firing Inaccuracy(Crouching) Ra'!X33+Analysis!$B33</f>
        <v>12.80467257</v>
      </c>
      <c r="Y33" s="39">
        <f>'Firing Inaccuracy(Crouching) Ra'!Y33+Analysis!$B33</f>
        <v>12.80494576</v>
      </c>
      <c r="Z33" s="39">
        <f>'Firing Inaccuracy(Crouching) Ra'!Z33+Analysis!$B33</f>
        <v>12.80509235</v>
      </c>
      <c r="AA33" s="39">
        <f>'Firing Inaccuracy(Crouching) Ra'!AA33+Analysis!$B33</f>
        <v>12.80517101</v>
      </c>
      <c r="AB33" s="39">
        <f>'Firing Inaccuracy(Crouching) Ra'!AB33+Analysis!$B33</f>
        <v>12.80521321</v>
      </c>
      <c r="AC33" s="39">
        <f>'Firing Inaccuracy(Crouching) Ra'!AC33+Analysis!$B33</f>
        <v>12.80523586</v>
      </c>
      <c r="AD33" s="39">
        <f>'Firing Inaccuracy(Crouching) Ra'!AD33+Analysis!$B33</f>
        <v>12.80524801</v>
      </c>
      <c r="AE33" s="39">
        <f>'Firing Inaccuracy(Crouching) Ra'!AE33+Analysis!$B33</f>
        <v>12.80525453</v>
      </c>
      <c r="AF33" s="39">
        <f>'Firing Inaccuracy(Crouching) Ra'!AF33+Analysis!$B33</f>
        <v>12.80525803</v>
      </c>
      <c r="AG33" s="39">
        <f>'Firing Inaccuracy(Crouching) Ra'!AG33+Analysis!$B33</f>
        <v>12.80525991</v>
      </c>
      <c r="AH33" s="39">
        <f>'Firing Inaccuracy(Crouching) Ra'!AH33+Analysis!$B33</f>
        <v>12.80526092</v>
      </c>
      <c r="AI33" s="39">
        <f>'Firing Inaccuracy(Crouching) Ra'!AI33+Analysis!$B33</f>
        <v>12.80526146</v>
      </c>
      <c r="AJ33" s="39">
        <f>'Firing Inaccuracy(Crouching) Ra'!AJ33+Analysis!$B33</f>
        <v>12.80526175</v>
      </c>
    </row>
    <row r="34" ht="15.75" customHeight="1">
      <c r="A34" s="61" t="s">
        <v>173</v>
      </c>
      <c r="B34" s="32">
        <f>'Raw Values'!E34</f>
        <v>0.1</v>
      </c>
      <c r="C34" s="34">
        <f>'Raw Values'!AK34</f>
        <v>7</v>
      </c>
      <c r="D34" s="43">
        <f>'Raw Values'!AA34</f>
        <v>0.2421</v>
      </c>
      <c r="E34" s="43">
        <f>'Firing Inaccuracy(Crouching) Ra'!E34</f>
        <v>0.332888</v>
      </c>
      <c r="F34" s="130"/>
      <c r="G34" s="39">
        <f>'Firing Inaccuracy(Crouching) Ra'!G34+Analysis!$B34</f>
        <v>4.6</v>
      </c>
      <c r="H34" s="39">
        <f>'Firing Inaccuracy(Crouching) Ra'!H34+Analysis!$B34</f>
        <v>7.304242179</v>
      </c>
      <c r="I34" s="39">
        <f>'Firing Inaccuracy(Crouching) Ra'!I34+Analysis!$B34</f>
        <v>8.348945859</v>
      </c>
      <c r="J34" s="39">
        <f>'Firing Inaccuracy(Crouching) Ra'!J34+Analysis!$B34</f>
        <v>9.215389524</v>
      </c>
      <c r="K34" s="39">
        <f>'Firing Inaccuracy(Crouching) Ra'!K34+Analysis!$B34</f>
        <v>10.02740432</v>
      </c>
      <c r="L34" s="39">
        <f>'Firing Inaccuracy(Crouching) Ra'!L34+Analysis!$B34</f>
        <v>10.82270327</v>
      </c>
      <c r="M34" s="39">
        <f>'Firing Inaccuracy(Crouching) Ra'!M34+Analysis!$B34</f>
        <v>11.22092877</v>
      </c>
      <c r="N34" s="39">
        <f>'Firing Inaccuracy(Crouching) Ra'!N34+Analysis!$B34</f>
        <v>11.42032996</v>
      </c>
      <c r="O34" s="39">
        <f>'Firing Inaccuracy(Crouching) Ra'!O34+Analysis!$B34</f>
        <v>11.52017498</v>
      </c>
      <c r="P34" s="39">
        <f>'Firing Inaccuracy(Crouching) Ra'!P34+Analysis!$B34</f>
        <v>11.5701698</v>
      </c>
      <c r="Q34" s="39">
        <f>'Firing Inaccuracy(Crouching) Ra'!Q34+Analysis!$B34</f>
        <v>11.59520343</v>
      </c>
      <c r="R34" s="39">
        <f>'Firing Inaccuracy(Crouching) Ra'!R34+Analysis!$B34</f>
        <v>11.60773837</v>
      </c>
      <c r="S34" s="39">
        <f>'Firing Inaccuracy(Crouching) Ra'!S34+Analysis!$B34</f>
        <v>11.61401492</v>
      </c>
      <c r="T34" s="39">
        <f>'Firing Inaccuracy(Crouching) Ra'!T34+Analysis!$B34</f>
        <v>11.61715774</v>
      </c>
      <c r="U34" s="39">
        <f>'Firing Inaccuracy(Crouching) Ra'!U34+Analysis!$B34</f>
        <v>11.61873143</v>
      </c>
      <c r="V34" s="39">
        <f>'Firing Inaccuracy(Crouching) Ra'!V34+Analysis!$B34</f>
        <v>11.61951941</v>
      </c>
      <c r="W34" s="39">
        <f>'Firing Inaccuracy(Crouching) Ra'!W34+Analysis!$B34</f>
        <v>11.61991398</v>
      </c>
      <c r="X34" s="39">
        <f>'Firing Inaccuracy(Crouching) Ra'!X34+Analysis!$B34</f>
        <v>11.62011154</v>
      </c>
      <c r="Y34" s="39">
        <f>'Firing Inaccuracy(Crouching) Ra'!Y34+Analysis!$B34</f>
        <v>11.62021047</v>
      </c>
      <c r="Z34" s="39">
        <f>'Firing Inaccuracy(Crouching) Ra'!Z34+Analysis!$B34</f>
        <v>11.62026</v>
      </c>
      <c r="AA34" s="39">
        <f>'Firing Inaccuracy(Crouching) Ra'!AA34+Analysis!$B34</f>
        <v>11.62028481</v>
      </c>
      <c r="AB34" s="39">
        <f>'Firing Inaccuracy(Crouching) Ra'!AB34+Analysis!$B34</f>
        <v>11.62029723</v>
      </c>
      <c r="AC34" s="39">
        <f>'Firing Inaccuracy(Crouching) Ra'!AC34+Analysis!$B34</f>
        <v>11.62030345</v>
      </c>
      <c r="AD34" s="39">
        <f>'Firing Inaccuracy(Crouching) Ra'!AD34+Analysis!$B34</f>
        <v>11.62030656</v>
      </c>
      <c r="AE34" s="39">
        <f>'Firing Inaccuracy(Crouching) Ra'!AE34+Analysis!$B34</f>
        <v>11.62030812</v>
      </c>
      <c r="AF34" s="41"/>
      <c r="AG34" s="41"/>
      <c r="AH34" s="41"/>
      <c r="AI34" s="41"/>
      <c r="AJ34" s="41"/>
    </row>
    <row r="35" ht="15.75" customHeight="1">
      <c r="A35" s="66" t="s">
        <v>175</v>
      </c>
      <c r="B35" s="32">
        <f>'Raw Values'!E35</f>
        <v>0.09</v>
      </c>
      <c r="C35" s="34">
        <f>'Raw Values'!U35</f>
        <v>6.68</v>
      </c>
      <c r="D35" s="43">
        <f>'Raw Values'!AA35</f>
        <v>0.379204</v>
      </c>
      <c r="E35" s="43" t="str">
        <f>'Firing Inaccuracy(Crouching) Ra'!E35</f>
        <v>N/A</v>
      </c>
      <c r="F35" s="130"/>
      <c r="G35" s="39">
        <f>'Firing Inaccuracy(Crouching) Ra'!G35+Analysis!$B35</f>
        <v>3.34</v>
      </c>
      <c r="H35" s="39">
        <f>'Firing Inaccuracy(Crouching) Ra'!H35+Analysis!$B35</f>
        <v>7.207561193</v>
      </c>
      <c r="I35" s="39">
        <f>'Firing Inaccuracy(Crouching) Ra'!I35+Analysis!$B35</f>
        <v>9.446787179</v>
      </c>
      <c r="J35" s="39">
        <f>'Firing Inaccuracy(Crouching) Ra'!J35+Analysis!$B35</f>
        <v>10.74324579</v>
      </c>
      <c r="K35" s="39">
        <f>'Firing Inaccuracy(Crouching) Ra'!K35+Analysis!$B35</f>
        <v>11.4938645</v>
      </c>
      <c r="L35" s="39">
        <f>'Firing Inaccuracy(Crouching) Ra'!L35+Analysis!$B35</f>
        <v>11.9284549</v>
      </c>
      <c r="M35" s="39">
        <f>'Firing Inaccuracy(Crouching) Ra'!M35+Analysis!$B35</f>
        <v>12.1800724</v>
      </c>
      <c r="N35" s="39">
        <f>'Firing Inaccuracy(Crouching) Ra'!N35+Analysis!$B35</f>
        <v>12.32575295</v>
      </c>
      <c r="O35" s="39">
        <f>'Firing Inaccuracy(Crouching) Ra'!O35+Analysis!$B35</f>
        <v>12.41009853</v>
      </c>
      <c r="P35" s="39">
        <f>'Firing Inaccuracy(Crouching) Ra'!P35+Analysis!$B35</f>
        <v>12.45893261</v>
      </c>
      <c r="Q35" s="39">
        <f>'Firing Inaccuracy(Crouching) Ra'!Q35+Analysis!$B35</f>
        <v>12.48720639</v>
      </c>
      <c r="R35" s="39">
        <f>'Firing Inaccuracy(Crouching) Ra'!R35+Analysis!$B35</f>
        <v>12.50357623</v>
      </c>
      <c r="S35" s="39">
        <f>'Firing Inaccuracy(Crouching) Ra'!S35+Analysis!$B35</f>
        <v>12.51305398</v>
      </c>
      <c r="T35" s="39">
        <f>'Firing Inaccuracy(Crouching) Ra'!T35+Analysis!$B35</f>
        <v>12.51854137</v>
      </c>
      <c r="U35" s="39">
        <f>'Firing Inaccuracy(Crouching) Ra'!U35+Analysis!$B35</f>
        <v>12.52171844</v>
      </c>
      <c r="V35" s="39">
        <f>'Firing Inaccuracy(Crouching) Ra'!V35+Analysis!$B35</f>
        <v>12.52355789</v>
      </c>
      <c r="W35" s="39">
        <f>'Firing Inaccuracy(Crouching) Ra'!W35+Analysis!$B35</f>
        <v>12.52462289</v>
      </c>
      <c r="X35" s="39">
        <f>'Firing Inaccuracy(Crouching) Ra'!X35+Analysis!$B35</f>
        <v>12.52523949</v>
      </c>
      <c r="Y35" s="39">
        <f>'Firing Inaccuracy(Crouching) Ra'!Y35+Analysis!$B35</f>
        <v>12.5255965</v>
      </c>
      <c r="Z35" s="39">
        <f>'Firing Inaccuracy(Crouching) Ra'!Z35+Analysis!$B35</f>
        <v>12.52580319</v>
      </c>
      <c r="AA35" s="39">
        <f>'Firing Inaccuracy(Crouching) Ra'!AA35+Analysis!$B35</f>
        <v>12.52592286</v>
      </c>
      <c r="AB35" s="39">
        <f>'Firing Inaccuracy(Crouching) Ra'!AB35+Analysis!$B35</f>
        <v>12.52599215</v>
      </c>
      <c r="AC35" s="39">
        <f>'Firing Inaccuracy(Crouching) Ra'!AC35+Analysis!$B35</f>
        <v>12.52603226</v>
      </c>
      <c r="AD35" s="39">
        <f>'Firing Inaccuracy(Crouching) Ra'!AD35+Analysis!$B35</f>
        <v>12.52605549</v>
      </c>
      <c r="AE35" s="39">
        <f>'Firing Inaccuracy(Crouching) Ra'!AE35+Analysis!$B35</f>
        <v>12.52606894</v>
      </c>
      <c r="AF35" s="39">
        <f>'Firing Inaccuracy(Crouching) Ra'!AF35+Analysis!$B35</f>
        <v>12.52607672</v>
      </c>
      <c r="AG35" s="39">
        <f>'Firing Inaccuracy(Crouching) Ra'!AG35+Analysis!$B35</f>
        <v>12.52608123</v>
      </c>
      <c r="AH35" s="39">
        <f>'Firing Inaccuracy(Crouching) Ra'!AH35+Analysis!$B35</f>
        <v>12.52608384</v>
      </c>
      <c r="AI35" s="39">
        <f>'Firing Inaccuracy(Crouching) Ra'!AI35+Analysis!$B35</f>
        <v>12.52608535</v>
      </c>
      <c r="AJ35" s="39">
        <f>'Firing Inaccuracy(Crouching) Ra'!AJ35+Analysis!$B35</f>
        <v>12.52608623</v>
      </c>
    </row>
    <row r="36" ht="15.75" customHeight="1">
      <c r="A36" s="75"/>
      <c r="B36" s="77"/>
      <c r="C36" s="147"/>
      <c r="D36" s="148"/>
      <c r="E36" s="149"/>
      <c r="F36" s="150"/>
      <c r="G36" s="79"/>
      <c r="H36" s="79"/>
      <c r="I36" s="79"/>
      <c r="J36" s="79"/>
      <c r="K36" s="79"/>
      <c r="L36" s="79"/>
      <c r="M36" s="79"/>
      <c r="N36" s="79"/>
      <c r="O36" s="79"/>
      <c r="P36" s="79"/>
      <c r="Q36" s="79"/>
      <c r="R36" s="79"/>
      <c r="S36" s="79"/>
      <c r="T36" s="79"/>
      <c r="U36" s="79"/>
      <c r="V36" s="79"/>
      <c r="W36" s="79"/>
      <c r="X36" s="79"/>
      <c r="Y36" s="79"/>
      <c r="Z36" s="79"/>
      <c r="AA36" s="79"/>
      <c r="AB36" s="79"/>
      <c r="AC36" s="79"/>
      <c r="AD36" s="79"/>
      <c r="AE36" s="79"/>
      <c r="AF36" s="79"/>
      <c r="AG36" s="79"/>
      <c r="AH36" s="79"/>
      <c r="AI36" s="79"/>
      <c r="AJ36" s="79"/>
    </row>
    <row r="37" ht="15.75" customHeight="1">
      <c r="A37" s="5" t="s">
        <v>177</v>
      </c>
      <c r="B37" s="11" t="s">
        <v>19</v>
      </c>
      <c r="C37" s="9" t="s">
        <v>204</v>
      </c>
      <c r="D37" s="21" t="s">
        <v>220</v>
      </c>
      <c r="E37" s="21" t="s">
        <v>221</v>
      </c>
      <c r="F37" s="125"/>
      <c r="G37" s="127">
        <v>1.0</v>
      </c>
      <c r="H37" s="127">
        <v>2.0</v>
      </c>
      <c r="I37" s="127">
        <v>3.0</v>
      </c>
      <c r="J37" s="127">
        <v>4.0</v>
      </c>
      <c r="K37" s="127">
        <v>5.0</v>
      </c>
      <c r="L37" s="127">
        <v>6.0</v>
      </c>
      <c r="M37" s="127">
        <v>7.0</v>
      </c>
      <c r="N37" s="127">
        <v>8.0</v>
      </c>
      <c r="O37" s="127">
        <v>9.0</v>
      </c>
      <c r="P37" s="127">
        <v>10.0</v>
      </c>
      <c r="Q37" s="127">
        <v>11.0</v>
      </c>
      <c r="R37" s="127">
        <v>12.0</v>
      </c>
      <c r="S37" s="127">
        <v>13.0</v>
      </c>
      <c r="T37" s="127">
        <v>14.0</v>
      </c>
      <c r="U37" s="127">
        <v>15.0</v>
      </c>
      <c r="V37" s="127">
        <v>16.0</v>
      </c>
      <c r="W37" s="127">
        <v>17.0</v>
      </c>
      <c r="X37" s="127">
        <v>18.0</v>
      </c>
      <c r="Y37" s="127">
        <v>19.0</v>
      </c>
      <c r="Z37" s="127">
        <v>20.0</v>
      </c>
      <c r="AA37" s="127">
        <v>21.0</v>
      </c>
      <c r="AB37" s="127">
        <v>22.0</v>
      </c>
      <c r="AC37" s="127">
        <v>23.0</v>
      </c>
      <c r="AD37" s="127">
        <v>24.0</v>
      </c>
      <c r="AE37" s="127">
        <v>25.0</v>
      </c>
      <c r="AF37" s="127">
        <v>26.0</v>
      </c>
      <c r="AG37" s="127">
        <v>27.0</v>
      </c>
      <c r="AH37" s="127">
        <v>28.0</v>
      </c>
      <c r="AI37" s="127">
        <v>29.0</v>
      </c>
      <c r="AJ37" s="127">
        <v>30.0</v>
      </c>
    </row>
    <row r="38" ht="15.75" customHeight="1">
      <c r="A38" s="28" t="s">
        <v>179</v>
      </c>
      <c r="B38" s="32">
        <f>'Raw Values'!E38</f>
        <v>0.08</v>
      </c>
      <c r="C38" s="34">
        <f>'Raw Values'!U38</f>
        <v>3.56</v>
      </c>
      <c r="D38" s="43">
        <f>'Raw Values'!AA38</f>
        <v>0.592093</v>
      </c>
      <c r="E38" s="43" t="str">
        <f>'Firing Inaccuracy(Crouching) Ra'!E38</f>
        <v>N/A</v>
      </c>
      <c r="F38" s="130"/>
      <c r="G38" s="39">
        <f>'Firing Inaccuracy(Crouching) Ra'!G38+Analysis!$B38</f>
        <v>7.34</v>
      </c>
      <c r="H38" s="39">
        <f>'Firing Inaccuracy(Crouching) Ra'!H38+Analysis!$B38</f>
        <v>9.948171161</v>
      </c>
      <c r="I38" s="39">
        <f>'Firing Inaccuracy(Crouching) Ra'!I38+Analysis!$B38</f>
        <v>11.85900172</v>
      </c>
      <c r="J38" s="39">
        <f>'Firing Inaccuracy(Crouching) Ra'!J38+Analysis!$B38</f>
        <v>13.25893801</v>
      </c>
      <c r="K38" s="39">
        <f>'Firing Inaccuracy(Crouching) Ra'!K38+Analysis!$B38</f>
        <v>14.28457661</v>
      </c>
      <c r="L38" s="39">
        <f>'Firing Inaccuracy(Crouching) Ra'!L38+Analysis!$B38</f>
        <v>15.03599263</v>
      </c>
      <c r="M38" s="39">
        <f>'Firing Inaccuracy(Crouching) Ra'!M38+Analysis!$B38</f>
        <v>15.58650432</v>
      </c>
      <c r="N38" s="39">
        <f>'Firing Inaccuracy(Crouching) Ra'!N38+Analysis!$B38</f>
        <v>15.98982699</v>
      </c>
      <c r="O38" s="39">
        <f>'Firing Inaccuracy(Crouching) Ra'!O38+Analysis!$B38</f>
        <v>16.28531422</v>
      </c>
      <c r="P38" s="39">
        <f>'Firing Inaccuracy(Crouching) Ra'!P38+Analysis!$B38</f>
        <v>16.50179773</v>
      </c>
      <c r="Q38" s="39">
        <f>'Firing Inaccuracy(Crouching) Ra'!Q38+Analysis!$B38</f>
        <v>16.66040055</v>
      </c>
      <c r="R38" s="39">
        <f>'Firing Inaccuracy(Crouching) Ra'!R38+Analysis!$B38</f>
        <v>16.7765981</v>
      </c>
      <c r="S38" s="39">
        <f>'Firing Inaccuracy(Crouching) Ra'!S38+Analysis!$B38</f>
        <v>16.86172819</v>
      </c>
      <c r="T38" s="39">
        <f>'Firing Inaccuracy(Crouching) Ra'!T38+Analysis!$B38</f>
        <v>16.92409725</v>
      </c>
      <c r="U38" s="39">
        <f>'Firing Inaccuracy(Crouching) Ra'!U38+Analysis!$B38</f>
        <v>16.96979084</v>
      </c>
      <c r="V38" s="39">
        <f>'Firing Inaccuracy(Crouching) Ra'!V38+Analysis!$B38</f>
        <v>17.00326744</v>
      </c>
      <c r="W38" s="39">
        <f>'Firing Inaccuracy(Crouching) Ra'!W38+Analysis!$B38</f>
        <v>17.02779348</v>
      </c>
      <c r="X38" s="39">
        <f>'Firing Inaccuracy(Crouching) Ra'!X38+Analysis!$B38</f>
        <v>17.04576205</v>
      </c>
      <c r="Y38" s="39">
        <f>'Firing Inaccuracy(Crouching) Ra'!Y38+Analysis!$B38</f>
        <v>17.05892641</v>
      </c>
      <c r="Z38" s="39">
        <f>'Firing Inaccuracy(Crouching) Ra'!Z38+Analysis!$B38</f>
        <v>17.06857104</v>
      </c>
      <c r="AA38" s="39">
        <f>'Firing Inaccuracy(Crouching) Ra'!AA38+Analysis!$B38</f>
        <v>17.07563701</v>
      </c>
      <c r="AB38" s="39">
        <f>'Firing Inaccuracy(Crouching) Ra'!AB38+Analysis!$B38</f>
        <v>17.08081377</v>
      </c>
      <c r="AC38" s="39">
        <f>'Firing Inaccuracy(Crouching) Ra'!AC38+Analysis!$B38</f>
        <v>17.08460643</v>
      </c>
      <c r="AD38" s="39">
        <f>'Firing Inaccuracy(Crouching) Ra'!AD38+Analysis!$B38</f>
        <v>17.08738505</v>
      </c>
      <c r="AE38" s="39">
        <f>'Firing Inaccuracy(Crouching) Ra'!AE38+Analysis!$B38</f>
        <v>17.08942076</v>
      </c>
      <c r="AF38" s="39">
        <f>'Firing Inaccuracy(Crouching) Ra'!AF38+Analysis!$B38</f>
        <v>17.09091219</v>
      </c>
      <c r="AG38" s="39">
        <f>'Firing Inaccuracy(Crouching) Ra'!AG38+Analysis!$B38</f>
        <v>17.09200486</v>
      </c>
      <c r="AH38" s="39">
        <f>'Firing Inaccuracy(Crouching) Ra'!AH38+Analysis!$B38</f>
        <v>17.09280539</v>
      </c>
      <c r="AI38" s="39">
        <f>'Firing Inaccuracy(Crouching) Ra'!AI38+Analysis!$B38</f>
        <v>17.09339188</v>
      </c>
      <c r="AJ38" s="39">
        <f>'Firing Inaccuracy(Crouching) Ra'!AJ38+Analysis!$B38</f>
        <v>17.09382156</v>
      </c>
    </row>
    <row r="39" ht="15.75" customHeight="1">
      <c r="A39" s="28" t="s">
        <v>181</v>
      </c>
      <c r="B39" s="32">
        <f>'Raw Values'!E39</f>
        <v>0.075</v>
      </c>
      <c r="C39" s="34">
        <f>'Raw Values'!U39</f>
        <v>30</v>
      </c>
      <c r="D39" s="43">
        <f>'Raw Values'!AA39</f>
        <v>0.25</v>
      </c>
      <c r="E39" s="43">
        <f>'Firing Inaccuracy(Crouching) Ra'!E39</f>
        <v>0.08</v>
      </c>
      <c r="F39" s="130"/>
      <c r="G39" s="39">
        <f>'Firing Inaccuracy(Crouching) Ra'!G39+Analysis!$B39</f>
        <v>9.63</v>
      </c>
      <c r="H39" s="39">
        <f>'Firing Inaccuracy(Crouching) Ra'!H39+Analysis!$B39</f>
        <v>24.66561701</v>
      </c>
      <c r="I39" s="39">
        <f>'Firing Inaccuracy(Crouching) Ra'!I39+Analysis!$B39</f>
        <v>32.2012763</v>
      </c>
      <c r="J39" s="39">
        <f>'Firing Inaccuracy(Crouching) Ra'!J39+Analysis!$B39</f>
        <v>35.97805254</v>
      </c>
      <c r="K39" s="39">
        <f>'Firing Inaccuracy(Crouching) Ra'!K39+Analysis!$B39</f>
        <v>37.87092457</v>
      </c>
      <c r="L39" s="39">
        <f>'Firing Inaccuracy(Crouching) Ra'!L39+Analysis!$B39</f>
        <v>38.81960787</v>
      </c>
      <c r="M39" s="39">
        <f>'Firing Inaccuracy(Crouching) Ra'!M39+Analysis!$B39</f>
        <v>39.29507583</v>
      </c>
      <c r="N39" s="39">
        <f>'Firing Inaccuracy(Crouching) Ra'!N39+Analysis!$B39</f>
        <v>39.5333743</v>
      </c>
      <c r="O39" s="39">
        <f>'Firing Inaccuracy(Crouching) Ra'!O39+Analysis!$B39</f>
        <v>39.65280645</v>
      </c>
      <c r="P39" s="39">
        <f>'Firing Inaccuracy(Crouching) Ra'!P39+Analysis!$B39</f>
        <v>39.71266432</v>
      </c>
      <c r="Q39" s="39">
        <f>'Firing Inaccuracy(Crouching) Ra'!Q39+Analysis!$B39</f>
        <v>34.22337593</v>
      </c>
      <c r="R39" s="39">
        <f>'Firing Inaccuracy(Crouching) Ra'!R39+Analysis!$B39</f>
        <v>25.05977038</v>
      </c>
      <c r="S39" s="39">
        <f>'Firing Inaccuracy(Crouching) Ra'!S39+Analysis!$B39</f>
        <v>14.87614804</v>
      </c>
      <c r="T39" s="39">
        <f>'Firing Inaccuracy(Crouching) Ra'!T39+Analysis!$B39</f>
        <v>13.70016168</v>
      </c>
      <c r="U39" s="39">
        <f>'Firing Inaccuracy(Crouching) Ra'!U39+Analysis!$B39</f>
        <v>13.56436089</v>
      </c>
      <c r="V39" s="39">
        <f>'Firing Inaccuracy(Crouching) Ra'!V39+Analysis!$B39</f>
        <v>13.54867886</v>
      </c>
      <c r="W39" s="39">
        <f>'Firing Inaccuracy(Crouching) Ra'!W39+Analysis!$B39</f>
        <v>13.54686793</v>
      </c>
      <c r="X39" s="39">
        <f>'Firing Inaccuracy(Crouching) Ra'!X39+Analysis!$B39</f>
        <v>13.54665881</v>
      </c>
      <c r="Y39" s="39">
        <f>'Firing Inaccuracy(Crouching) Ra'!Y39+Analysis!$B39</f>
        <v>13.54663466</v>
      </c>
      <c r="Z39" s="39">
        <f>'Firing Inaccuracy(Crouching) Ra'!Z39+Analysis!$B39</f>
        <v>13.54663187</v>
      </c>
      <c r="AA39" s="39">
        <f>'Firing Inaccuracy(Crouching) Ra'!AA39+Analysis!$B39</f>
        <v>13.54663155</v>
      </c>
      <c r="AB39" s="39">
        <f>'Firing Inaccuracy(Crouching) Ra'!AB39+Analysis!$B39</f>
        <v>13.54663151</v>
      </c>
      <c r="AC39" s="39">
        <f>'Firing Inaccuracy(Crouching) Ra'!AC39+Analysis!$B39</f>
        <v>13.5466315</v>
      </c>
      <c r="AD39" s="39">
        <f>'Firing Inaccuracy(Crouching) Ra'!AD39+Analysis!$B39</f>
        <v>13.5466315</v>
      </c>
      <c r="AE39" s="39">
        <f>'Firing Inaccuracy(Crouching) Ra'!AE39+Analysis!$B39</f>
        <v>13.5466315</v>
      </c>
      <c r="AF39" s="39">
        <f>'Firing Inaccuracy(Crouching) Ra'!AF39+Analysis!$B39</f>
        <v>13.5466315</v>
      </c>
      <c r="AG39" s="39">
        <f>'Firing Inaccuracy(Crouching) Ra'!AG39+Analysis!$B39</f>
        <v>13.5466315</v>
      </c>
      <c r="AH39" s="39">
        <f>'Firing Inaccuracy(Crouching) Ra'!AH39+Analysis!$B39</f>
        <v>13.5466315</v>
      </c>
      <c r="AI39" s="39">
        <f>'Firing Inaccuracy(Crouching) Ra'!AI39+Analysis!$B39</f>
        <v>13.5466315</v>
      </c>
      <c r="AJ39" s="39">
        <f>'Firing Inaccuracy(Crouching) Ra'!AJ39+Analysis!$B39</f>
        <v>13.5466315</v>
      </c>
    </row>
    <row r="40" ht="15.75" customHeight="1">
      <c r="A40" s="75"/>
      <c r="B40" s="77"/>
      <c r="C40" s="147"/>
      <c r="D40" s="148"/>
      <c r="E40" s="149"/>
      <c r="F40" s="150"/>
      <c r="G40" s="79"/>
      <c r="H40" s="79"/>
      <c r="I40" s="79"/>
      <c r="J40" s="79"/>
      <c r="K40" s="79"/>
      <c r="L40" s="79"/>
      <c r="M40" s="79"/>
      <c r="N40" s="79"/>
      <c r="O40" s="79"/>
      <c r="P40" s="79"/>
      <c r="Q40" s="79"/>
      <c r="R40" s="79"/>
      <c r="S40" s="79"/>
      <c r="T40" s="79"/>
      <c r="U40" s="79"/>
      <c r="V40" s="79"/>
      <c r="W40" s="79"/>
      <c r="X40" s="79"/>
      <c r="Y40" s="79"/>
      <c r="Z40" s="79"/>
      <c r="AA40" s="134"/>
      <c r="AB40" s="134"/>
      <c r="AC40" s="134"/>
      <c r="AD40" s="134"/>
      <c r="AE40" s="134"/>
      <c r="AF40" s="134"/>
      <c r="AG40" s="134"/>
      <c r="AH40" s="134"/>
      <c r="AI40" s="134"/>
      <c r="AJ40" s="134"/>
    </row>
    <row r="41" ht="15.75" customHeight="1">
      <c r="A41" s="5" t="s">
        <v>184</v>
      </c>
      <c r="B41" s="11" t="s">
        <v>19</v>
      </c>
      <c r="C41" s="9" t="s">
        <v>204</v>
      </c>
      <c r="D41" s="21" t="s">
        <v>220</v>
      </c>
      <c r="E41" s="21" t="s">
        <v>221</v>
      </c>
      <c r="F41" s="125"/>
      <c r="G41" s="127">
        <v>1.0</v>
      </c>
      <c r="H41" s="127">
        <v>2.0</v>
      </c>
      <c r="I41" s="127">
        <v>3.0</v>
      </c>
      <c r="J41" s="127">
        <v>4.0</v>
      </c>
      <c r="K41" s="127">
        <v>5.0</v>
      </c>
      <c r="L41" s="127">
        <v>6.0</v>
      </c>
      <c r="M41" s="127">
        <v>7.0</v>
      </c>
      <c r="N41" s="127">
        <v>8.0</v>
      </c>
      <c r="O41" s="127">
        <v>9.0</v>
      </c>
      <c r="P41" s="127">
        <v>10.0</v>
      </c>
      <c r="Q41" s="127">
        <v>11.0</v>
      </c>
      <c r="R41" s="127">
        <v>12.0</v>
      </c>
      <c r="S41" s="127">
        <v>13.0</v>
      </c>
      <c r="T41" s="127">
        <v>14.0</v>
      </c>
      <c r="U41" s="127">
        <v>15.0</v>
      </c>
      <c r="V41" s="127">
        <v>16.0</v>
      </c>
      <c r="W41" s="127">
        <v>17.0</v>
      </c>
      <c r="X41" s="127">
        <v>18.0</v>
      </c>
      <c r="Y41" s="127">
        <v>19.0</v>
      </c>
      <c r="Z41" s="127">
        <v>20.0</v>
      </c>
      <c r="AA41" s="135"/>
      <c r="AB41" s="136"/>
      <c r="AC41" s="136"/>
      <c r="AD41" s="136"/>
      <c r="AE41" s="136"/>
      <c r="AF41" s="136"/>
      <c r="AG41" s="136"/>
      <c r="AH41" s="136"/>
      <c r="AI41" s="136"/>
      <c r="AJ41" s="136"/>
    </row>
    <row r="42" ht="15.75" customHeight="1">
      <c r="A42" s="28" t="s">
        <v>186</v>
      </c>
      <c r="B42" s="32">
        <f>'Raw Values'!E42</f>
        <v>1.455</v>
      </c>
      <c r="C42" s="34">
        <f>'Raw Values'!U42</f>
        <v>53.85</v>
      </c>
      <c r="D42" s="43">
        <f>'Raw Values'!AA42</f>
        <v>0.24671</v>
      </c>
      <c r="E42" s="43" t="str">
        <f>'Firing Inaccuracy(Crouching) Ra'!E42</f>
        <v>N/A</v>
      </c>
      <c r="F42" s="130"/>
      <c r="G42" s="39">
        <f>'Firing Inaccuracy(Crouching) Ra'!G42+Analysis!$B42</f>
        <v>1.7</v>
      </c>
      <c r="H42" s="39">
        <f>'Firing Inaccuracy(Crouching) Ra'!H42+Analysis!$B42</f>
        <v>1.700068167</v>
      </c>
      <c r="I42" s="39">
        <f>'Firing Inaccuracy(Crouching) Ra'!I42+Analysis!$B42</f>
        <v>1.700068167</v>
      </c>
      <c r="J42" s="39">
        <f>'Firing Inaccuracy(Crouching) Ra'!J42+Analysis!$B42</f>
        <v>1.700068167</v>
      </c>
      <c r="K42" s="39">
        <f>'Firing Inaccuracy(Crouching) Ra'!K42+Analysis!$B42</f>
        <v>1.700068167</v>
      </c>
      <c r="L42" s="39">
        <f>'Firing Inaccuracy(Crouching) Ra'!L42+Analysis!$B42</f>
        <v>1.700068167</v>
      </c>
      <c r="M42" s="39">
        <f>'Firing Inaccuracy(Crouching) Ra'!M42+Analysis!$B42</f>
        <v>1.700068167</v>
      </c>
      <c r="N42" s="39">
        <f>'Firing Inaccuracy(Crouching) Ra'!N42+Analysis!$B42</f>
        <v>1.700068167</v>
      </c>
      <c r="O42" s="39">
        <f>'Firing Inaccuracy(Crouching) Ra'!O42+Analysis!$B42</f>
        <v>1.700068167</v>
      </c>
      <c r="P42" s="39">
        <f>'Firing Inaccuracy(Crouching) Ra'!P42+Analysis!$B42</f>
        <v>1.700068167</v>
      </c>
      <c r="Q42" s="41"/>
      <c r="R42" s="41"/>
      <c r="S42" s="41"/>
      <c r="T42" s="41"/>
      <c r="U42" s="41"/>
      <c r="V42" s="41"/>
      <c r="W42" s="41"/>
      <c r="X42" s="41"/>
      <c r="Y42" s="41"/>
      <c r="Z42" s="39"/>
      <c r="AA42" s="146"/>
      <c r="AB42" s="146"/>
      <c r="AC42" s="146"/>
      <c r="AD42" s="146"/>
      <c r="AE42" s="146"/>
      <c r="AF42" s="146"/>
      <c r="AG42" s="146"/>
      <c r="AH42" s="146"/>
      <c r="AI42" s="146"/>
      <c r="AJ42" s="146"/>
    </row>
    <row r="43" ht="15.75" customHeight="1">
      <c r="A43" s="66" t="s">
        <v>188</v>
      </c>
      <c r="B43" s="32">
        <f>'Raw Values'!E43</f>
        <v>0.25</v>
      </c>
      <c r="C43" s="34">
        <f>'Raw Values'!U43</f>
        <v>18.61</v>
      </c>
      <c r="D43" s="43">
        <f>'Raw Values'!AA43</f>
        <v>0.388808</v>
      </c>
      <c r="E43" s="43" t="str">
        <f>'Firing Inaccuracy(Crouching) Ra'!E43</f>
        <v>N/A</v>
      </c>
      <c r="F43" s="130"/>
      <c r="G43" s="39">
        <f>'Firing Inaccuracy(Crouching) Ra'!G43+Analysis!$B43</f>
        <v>1.8</v>
      </c>
      <c r="H43" s="39">
        <f>'Firing Inaccuracy(Crouching) Ra'!H43+Analysis!$B43</f>
        <v>6.034045183</v>
      </c>
      <c r="I43" s="39">
        <f>'Firing Inaccuracy(Crouching) Ra'!I43+Analysis!$B43</f>
        <v>6.997351932</v>
      </c>
      <c r="J43" s="39">
        <f>'Firing Inaccuracy(Crouching) Ra'!J43+Analysis!$B43</f>
        <v>7.216518203</v>
      </c>
      <c r="K43" s="39">
        <f>'Firing Inaccuracy(Crouching) Ra'!K43+Analysis!$B43</f>
        <v>7.266381711</v>
      </c>
      <c r="L43" s="39">
        <f>'Firing Inaccuracy(Crouching) Ra'!L43+Analysis!$B43</f>
        <v>7.277726384</v>
      </c>
      <c r="M43" s="39">
        <f>'Firing Inaccuracy(Crouching) Ra'!M43+Analysis!$B43</f>
        <v>7.280307461</v>
      </c>
      <c r="N43" s="39">
        <f>'Firing Inaccuracy(Crouching) Ra'!N43+Analysis!$B43</f>
        <v>7.280894694</v>
      </c>
      <c r="O43" s="39">
        <f>'Firing Inaccuracy(Crouching) Ra'!O43+Analysis!$B43</f>
        <v>7.281028298</v>
      </c>
      <c r="P43" s="39">
        <f>'Firing Inaccuracy(Crouching) Ra'!P43+Analysis!$B43</f>
        <v>7.281058695</v>
      </c>
      <c r="Q43" s="39">
        <f>'Firing Inaccuracy(Crouching) Ra'!Q43+Analysis!$B43</f>
        <v>7.28106561</v>
      </c>
      <c r="R43" s="39">
        <f>'Firing Inaccuracy(Crouching) Ra'!R43+Analysis!$B43</f>
        <v>7.281067184</v>
      </c>
      <c r="S43" s="39">
        <f>'Firing Inaccuracy(Crouching) Ra'!S43+Analysis!$B43</f>
        <v>7.281067542</v>
      </c>
      <c r="T43" s="39">
        <f>'Firing Inaccuracy(Crouching) Ra'!T43+Analysis!$B43</f>
        <v>7.281067623</v>
      </c>
      <c r="U43" s="39">
        <f>'Firing Inaccuracy(Crouching) Ra'!U43+Analysis!$B43</f>
        <v>7.281067642</v>
      </c>
      <c r="V43" s="39">
        <f>'Firing Inaccuracy(Crouching) Ra'!V43+Analysis!$B43</f>
        <v>7.281067646</v>
      </c>
      <c r="W43" s="39">
        <f>'Firing Inaccuracy(Crouching) Ra'!W43+Analysis!$B43</f>
        <v>7.281067647</v>
      </c>
      <c r="X43" s="39">
        <f>'Firing Inaccuracy(Crouching) Ra'!X43+Analysis!$B43</f>
        <v>7.281067647</v>
      </c>
      <c r="Y43" s="39">
        <f>'Firing Inaccuracy(Crouching) Ra'!Y43+Analysis!$B43</f>
        <v>7.281067647</v>
      </c>
      <c r="Z43" s="39">
        <f>'Firing Inaccuracy(Crouching) Ra'!Z43+Analysis!$B43</f>
        <v>7.281067647</v>
      </c>
      <c r="AA43" s="146"/>
      <c r="AB43" s="146"/>
      <c r="AC43" s="146"/>
      <c r="AD43" s="146"/>
      <c r="AE43" s="146"/>
      <c r="AF43" s="146"/>
      <c r="AG43" s="146"/>
      <c r="AH43" s="146"/>
      <c r="AI43" s="146"/>
      <c r="AJ43" s="146"/>
    </row>
    <row r="44" ht="15.75" customHeight="1">
      <c r="A44" s="61" t="s">
        <v>190</v>
      </c>
      <c r="B44" s="32">
        <f>'Raw Values'!E44</f>
        <v>0.25</v>
      </c>
      <c r="C44" s="34">
        <f>'Raw Values'!U44</f>
        <v>18.61</v>
      </c>
      <c r="D44" s="43">
        <f>'Raw Values'!AA44</f>
        <v>0.388808</v>
      </c>
      <c r="E44" s="43" t="str">
        <f>'Firing Inaccuracy(Crouching) Ra'!E44</f>
        <v>N/A</v>
      </c>
      <c r="F44" s="130"/>
      <c r="G44" s="39">
        <f>'Firing Inaccuracy(Crouching) Ra'!G44+Analysis!$B44</f>
        <v>1.8</v>
      </c>
      <c r="H44" s="39">
        <f>'Firing Inaccuracy(Crouching) Ra'!H44+Analysis!$B44</f>
        <v>6.034045183</v>
      </c>
      <c r="I44" s="39">
        <f>'Firing Inaccuracy(Crouching) Ra'!I44+Analysis!$B44</f>
        <v>6.997351932</v>
      </c>
      <c r="J44" s="39">
        <f>'Firing Inaccuracy(Crouching) Ra'!J44+Analysis!$B44</f>
        <v>7.216518203</v>
      </c>
      <c r="K44" s="39">
        <f>'Firing Inaccuracy(Crouching) Ra'!K44+Analysis!$B44</f>
        <v>7.266381711</v>
      </c>
      <c r="L44" s="39">
        <f>'Firing Inaccuracy(Crouching) Ra'!L44+Analysis!$B44</f>
        <v>7.277726384</v>
      </c>
      <c r="M44" s="39">
        <f>'Firing Inaccuracy(Crouching) Ra'!M44+Analysis!$B44</f>
        <v>7.280307461</v>
      </c>
      <c r="N44" s="39">
        <f>'Firing Inaccuracy(Crouching) Ra'!N44+Analysis!$B44</f>
        <v>7.280894694</v>
      </c>
      <c r="O44" s="39">
        <f>'Firing Inaccuracy(Crouching) Ra'!O44+Analysis!$B44</f>
        <v>7.281028298</v>
      </c>
      <c r="P44" s="39">
        <f>'Firing Inaccuracy(Crouching) Ra'!P44+Analysis!$B44</f>
        <v>7.281058695</v>
      </c>
      <c r="Q44" s="39">
        <f>'Firing Inaccuracy(Crouching) Ra'!Q44+Analysis!$B44</f>
        <v>7.28106561</v>
      </c>
      <c r="R44" s="39">
        <f>'Firing Inaccuracy(Crouching) Ra'!R44+Analysis!$B44</f>
        <v>7.281067184</v>
      </c>
      <c r="S44" s="39">
        <f>'Firing Inaccuracy(Crouching) Ra'!S44+Analysis!$B44</f>
        <v>7.281067542</v>
      </c>
      <c r="T44" s="39">
        <f>'Firing Inaccuracy(Crouching) Ra'!T44+Analysis!$B44</f>
        <v>7.281067623</v>
      </c>
      <c r="U44" s="39">
        <f>'Firing Inaccuracy(Crouching) Ra'!U44+Analysis!$B44</f>
        <v>7.281067642</v>
      </c>
      <c r="V44" s="39">
        <f>'Firing Inaccuracy(Crouching) Ra'!V44+Analysis!$B44</f>
        <v>7.281067646</v>
      </c>
      <c r="W44" s="39">
        <f>'Firing Inaccuracy(Crouching) Ra'!W44+Analysis!$B44</f>
        <v>7.281067647</v>
      </c>
      <c r="X44" s="39">
        <f>'Firing Inaccuracy(Crouching) Ra'!X44+Analysis!$B44</f>
        <v>7.281067647</v>
      </c>
      <c r="Y44" s="39">
        <f>'Firing Inaccuracy(Crouching) Ra'!Y44+Analysis!$B44</f>
        <v>7.281067647</v>
      </c>
      <c r="Z44" s="39">
        <f>'Firing Inaccuracy(Crouching) Ra'!Z44+Analysis!$B44</f>
        <v>7.281067647</v>
      </c>
      <c r="AA44" s="146"/>
      <c r="AB44" s="146"/>
      <c r="AC44" s="146"/>
      <c r="AD44" s="146"/>
      <c r="AE44" s="146"/>
      <c r="AF44" s="146"/>
      <c r="AG44" s="146"/>
      <c r="AH44" s="146"/>
      <c r="AI44" s="146"/>
      <c r="AJ44" s="146"/>
    </row>
    <row r="45" ht="15.75" customHeight="1">
      <c r="A45" s="28" t="s">
        <v>192</v>
      </c>
      <c r="B45" s="32">
        <f>'Raw Values'!E45</f>
        <v>1.25</v>
      </c>
      <c r="C45" s="34">
        <f>'Raw Values'!U45</f>
        <v>22.92</v>
      </c>
      <c r="D45" s="43">
        <f>'Raw Values'!AA45</f>
        <v>0.055783</v>
      </c>
      <c r="E45" s="43" t="str">
        <f>'Firing Inaccuracy(Crouching) Ra'!E45</f>
        <v>N/A</v>
      </c>
      <c r="F45" s="130"/>
      <c r="G45" s="39">
        <f>'Firing Inaccuracy(Crouching) Ra'!G45+Analysis!$B45</f>
        <v>3.03</v>
      </c>
      <c r="H45" s="39">
        <f>'Firing Inaccuracy(Crouching) Ra'!H45+Analysis!$B45</f>
        <v>3.03</v>
      </c>
      <c r="I45" s="39">
        <f>'Firing Inaccuracy(Crouching) Ra'!I45+Analysis!$B45</f>
        <v>3.03</v>
      </c>
      <c r="J45" s="39">
        <f>'Firing Inaccuracy(Crouching) Ra'!J45+Analysis!$B45</f>
        <v>3.03</v>
      </c>
      <c r="K45" s="39">
        <f>'Firing Inaccuracy(Crouching) Ra'!K45+Analysis!$B45</f>
        <v>3.03</v>
      </c>
      <c r="L45" s="39">
        <f>'Firing Inaccuracy(Crouching) Ra'!L45+Analysis!$B45</f>
        <v>3.03</v>
      </c>
      <c r="M45" s="39">
        <f>'Firing Inaccuracy(Crouching) Ra'!M45+Analysis!$B45</f>
        <v>3.03</v>
      </c>
      <c r="N45" s="39">
        <f>'Firing Inaccuracy(Crouching) Ra'!N45+Analysis!$B45</f>
        <v>3.03</v>
      </c>
      <c r="O45" s="39">
        <f>'Firing Inaccuracy(Crouching) Ra'!O45+Analysis!$B45</f>
        <v>3.03</v>
      </c>
      <c r="P45" s="39">
        <f>'Firing Inaccuracy(Crouching) Ra'!P45+Analysis!$B45</f>
        <v>3.03</v>
      </c>
      <c r="Q45" s="41"/>
      <c r="R45" s="41"/>
      <c r="S45" s="41"/>
      <c r="T45" s="41"/>
      <c r="U45" s="41"/>
      <c r="V45" s="41"/>
      <c r="W45" s="41"/>
      <c r="X45" s="41"/>
      <c r="Y45" s="41"/>
      <c r="Z45" s="39"/>
      <c r="AA45" s="146"/>
      <c r="AB45" s="146"/>
      <c r="AC45" s="146"/>
      <c r="AD45" s="146"/>
      <c r="AE45" s="146"/>
      <c r="AF45" s="146"/>
      <c r="AG45" s="146"/>
      <c r="AH45" s="146"/>
      <c r="AI45" s="146"/>
      <c r="AJ45" s="146"/>
    </row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0"/>
  <cols>
    <col customWidth="1" min="1" max="1" width="14.57"/>
    <col customWidth="1" min="2" max="4" width="11.71"/>
    <col customWidth="1" min="5" max="5" width="4.57"/>
    <col customWidth="1" min="6" max="20" width="11.71"/>
  </cols>
  <sheetData>
    <row r="1" ht="15.75" customHeight="1">
      <c r="A1" s="5" t="s">
        <v>1</v>
      </c>
      <c r="B1" s="11" t="s">
        <v>222</v>
      </c>
      <c r="C1" s="9" t="s">
        <v>204</v>
      </c>
      <c r="D1" s="21" t="s">
        <v>205</v>
      </c>
      <c r="E1" s="125"/>
      <c r="F1" s="152">
        <v>1.0</v>
      </c>
      <c r="G1" s="153">
        <v>2.0</v>
      </c>
      <c r="H1" s="153">
        <v>3.0</v>
      </c>
      <c r="I1" s="153">
        <v>4.0</v>
      </c>
      <c r="J1" s="153">
        <v>5.0</v>
      </c>
      <c r="K1" s="153">
        <v>6.0</v>
      </c>
      <c r="L1" s="153">
        <v>7.0</v>
      </c>
      <c r="M1" s="153">
        <v>8.0</v>
      </c>
      <c r="N1" s="153">
        <v>9.0</v>
      </c>
      <c r="O1" s="153">
        <v>10.0</v>
      </c>
      <c r="P1" s="153">
        <v>11.0</v>
      </c>
      <c r="Q1" s="153">
        <v>12.0</v>
      </c>
      <c r="R1" s="153">
        <v>13.0</v>
      </c>
      <c r="S1" s="153">
        <v>14.0</v>
      </c>
      <c r="T1" s="153">
        <v>15.0</v>
      </c>
    </row>
    <row r="2" ht="15.75" customHeight="1">
      <c r="A2" s="28" t="s">
        <v>104</v>
      </c>
      <c r="B2" s="32">
        <v>0.55</v>
      </c>
      <c r="C2" s="34">
        <f>'Raw Values'!U2</f>
        <v>72.23</v>
      </c>
      <c r="D2" s="43">
        <f>'Raw Values'!AC2</f>
        <v>0.8112</v>
      </c>
      <c r="E2" s="130"/>
      <c r="F2" s="35">
        <v>0.0</v>
      </c>
      <c r="G2" s="37">
        <f>'Raw Values'!$U2*(0.1^(B2/'Raw Values'!$AC2))</f>
        <v>15.16036737</v>
      </c>
      <c r="H2" s="37">
        <f>('Raw Values'!$U2+G2)*(0.1^($B2/'Raw Values'!$AC2))</f>
        <v>18.34237953</v>
      </c>
      <c r="I2" s="37">
        <f>('Raw Values'!$U2+H2)*(0.1^($B2/'Raw Values'!$AC2))</f>
        <v>19.01025263</v>
      </c>
      <c r="J2" s="37">
        <f>('Raw Values'!$U2+I2)*(0.1^($B2/'Raw Values'!$AC2))</f>
        <v>19.15043263</v>
      </c>
      <c r="K2" s="37">
        <f>('Raw Values'!$U2+J2)*(0.1^($B2/'Raw Values'!$AC2))</f>
        <v>19.17985503</v>
      </c>
      <c r="L2" s="37">
        <f>('Raw Values'!$U2+K2)*(0.1^($B2/'Raw Values'!$AC2))</f>
        <v>19.1860305</v>
      </c>
      <c r="M2" s="145"/>
      <c r="N2" s="145"/>
      <c r="O2" s="145"/>
      <c r="P2" s="145"/>
      <c r="Q2" s="145"/>
      <c r="R2" s="145"/>
      <c r="S2" s="145"/>
      <c r="T2" s="145"/>
    </row>
    <row r="3" ht="15.75" customHeight="1">
      <c r="A3" s="28" t="s">
        <v>118</v>
      </c>
      <c r="B3" s="32">
        <v>0.55</v>
      </c>
      <c r="C3" s="34">
        <f>'Raw Values'!U3</f>
        <v>50</v>
      </c>
      <c r="D3" s="43">
        <f>'Raw Values'!AC3</f>
        <v>0.9</v>
      </c>
      <c r="E3" s="130"/>
      <c r="F3" s="35">
        <v>0.0</v>
      </c>
      <c r="G3" s="37">
        <f>'Raw Values'!$U3*(0.1^(B3/'Raw Values'!$AC3))</f>
        <v>12.24218373</v>
      </c>
      <c r="H3" s="37">
        <f>('Raw Values'!$U3+G3)*(0.1^($B3/'Raw Values'!$AC3))</f>
        <v>15.23960499</v>
      </c>
      <c r="I3" s="37">
        <f>('Raw Values'!$U3+H3)*(0.1^($B3/'Raw Values'!$AC3))</f>
        <v>15.97350462</v>
      </c>
      <c r="J3" s="37">
        <f>('Raw Values'!$U3+I3)*(0.1^($B3/'Raw Values'!$AC3))</f>
        <v>16.1531953</v>
      </c>
      <c r="K3" s="37">
        <f>('Raw Values'!$U3+J3)*(0.1^($B3/'Raw Values'!$AC3))</f>
        <v>16.19719143</v>
      </c>
      <c r="L3" s="37">
        <f>('Raw Values'!$U3+K3)*(0.1^($B3/'Raw Values'!$AC3))</f>
        <v>16.2079636</v>
      </c>
      <c r="M3" s="37">
        <f>('Raw Values'!$U3+L3)*(0.1^($B3/'Raw Values'!$AC3))</f>
        <v>16.2106011</v>
      </c>
      <c r="N3" s="145"/>
      <c r="O3" s="145"/>
      <c r="P3" s="145"/>
      <c r="Q3" s="145"/>
      <c r="R3" s="145"/>
      <c r="S3" s="145"/>
      <c r="T3" s="145"/>
    </row>
    <row r="4" ht="15.75" customHeight="1">
      <c r="A4" s="28" t="s">
        <v>120</v>
      </c>
      <c r="B4" s="32">
        <v>0.55</v>
      </c>
      <c r="C4" s="34">
        <f>'Raw Values'!U4</f>
        <v>11.16</v>
      </c>
      <c r="D4" s="43">
        <f>'Raw Values'!AC4</f>
        <v>0.524989</v>
      </c>
      <c r="E4" s="130"/>
      <c r="F4" s="35">
        <v>0.0</v>
      </c>
      <c r="G4" s="37">
        <f>('Raw Values'!$U4)*(0.1^(B4/'Raw Values'!$AC4))</f>
        <v>1.000053413</v>
      </c>
      <c r="H4" s="37">
        <f>('Raw Values'!$AK4+G4)*(0.1^($B4/'Raw Values'!$AC4))</f>
        <v>1.161357137</v>
      </c>
      <c r="I4" s="37">
        <f>('Raw Values'!$U4+H4)*(0.1^($B4/'Raw Values'!$AC4))</f>
        <v>1.104123231</v>
      </c>
      <c r="J4" s="37">
        <f>('Raw Values'!$AK4+I4)*(0.1^($B4/'Raw Values'!$AC4))</f>
        <v>1.170682888</v>
      </c>
      <c r="K4" s="37">
        <f>('Raw Values'!$U4+J4)*(0.1^($B4/'Raw Values'!$AC4))</f>
        <v>1.104958916</v>
      </c>
      <c r="L4" s="37">
        <f>('Raw Values'!$AK4+K4)*(0.1^($B4/'Raw Values'!$AC4))</f>
        <v>1.170757774</v>
      </c>
      <c r="M4" s="37">
        <f>('Raw Values'!$U4+L4)*(0.1^($B4/'Raw Values'!$AC4))</f>
        <v>1.104965627</v>
      </c>
      <c r="N4" s="37">
        <f>('Raw Values'!$AK4+M4)*(0.1^($B4/'Raw Values'!$AC4))</f>
        <v>1.170758375</v>
      </c>
      <c r="O4" s="37">
        <f>('Raw Values'!$U4+N4)*(0.1^($B4/'Raw Values'!$AC4))</f>
        <v>1.104965681</v>
      </c>
      <c r="P4" s="37">
        <f>('Raw Values'!$AK4+O4)*(0.1^($B4/'Raw Values'!$AC4))</f>
        <v>1.17075838</v>
      </c>
      <c r="Q4" s="37">
        <f>('Raw Values'!$U4+P4)*(0.1^($B4/'Raw Values'!$AC4))</f>
        <v>1.104965681</v>
      </c>
      <c r="R4" s="37">
        <f>('Raw Values'!$AK4+Q4)*(0.1^($B4/'Raw Values'!$AC4))</f>
        <v>1.17075838</v>
      </c>
      <c r="S4" s="37">
        <f>('Raw Values'!$U4+R4)*(0.1^($B4/'Raw Values'!$AC4))</f>
        <v>1.104965681</v>
      </c>
      <c r="T4" s="37">
        <f>('Raw Values'!$AK4+S4)*(0.1^($B4/'Raw Values'!$AC4))</f>
        <v>1.17075838</v>
      </c>
    </row>
    <row r="5" ht="15.75" customHeight="1">
      <c r="A5" s="61" t="s">
        <v>122</v>
      </c>
      <c r="B5" s="32">
        <v>0.55</v>
      </c>
      <c r="C5" s="34">
        <f>'Raw Values'!U5</f>
        <v>25</v>
      </c>
      <c r="D5" s="43">
        <f>'Raw Values'!AC5</f>
        <v>0.2</v>
      </c>
      <c r="E5" s="130"/>
      <c r="F5" s="35">
        <v>0.0</v>
      </c>
      <c r="G5" s="37">
        <f>'Raw Values'!$U5*(0.1^(B5/'Raw Values'!$AC5))</f>
        <v>0.04445698525</v>
      </c>
      <c r="H5" s="37">
        <f>('Raw Values'!$U5+G5)*(0.1^($B5/'Raw Values'!$AC5))</f>
        <v>0.04453604219</v>
      </c>
      <c r="I5" s="37">
        <f>('Raw Values'!$U5+H5)*(0.1^($B5/'Raw Values'!$AC5))</f>
        <v>0.04453618278</v>
      </c>
      <c r="J5" s="37">
        <f>('Raw Values'!$U5+I5)*(0.1^($B5/'Raw Values'!$AC5))</f>
        <v>0.04453618303</v>
      </c>
      <c r="K5" s="37">
        <f>('Raw Values'!$U5+J5)*(0.1^($B5/'Raw Values'!$AC5))</f>
        <v>0.04453618303</v>
      </c>
      <c r="L5" s="37">
        <f>('Raw Values'!$U5+K5)*(0.1^($B5/'Raw Values'!$AC5))</f>
        <v>0.04453618303</v>
      </c>
      <c r="M5" s="37">
        <f>('Raw Values'!$U5+L5)*(0.1^($B5/'Raw Values'!$AC5))</f>
        <v>0.04453618303</v>
      </c>
      <c r="N5" s="37">
        <f>('Raw Values'!$U5+M5)*(0.1^($B5/'Raw Values'!$AC5))</f>
        <v>0.04453618303</v>
      </c>
      <c r="O5" s="37">
        <f>('Raw Values'!$U5+N5)*(0.1^($B5/'Raw Values'!$AC5))</f>
        <v>0.04453618303</v>
      </c>
      <c r="P5" s="37">
        <f>('Raw Values'!$U5+O5)*(0.1^($B5/'Raw Values'!$AC5))</f>
        <v>0.04453618303</v>
      </c>
      <c r="Q5" s="37">
        <f>('Raw Values'!$U5+P5)*(0.1^($B5/'Raw Values'!$AC5))</f>
        <v>0.04453618303</v>
      </c>
      <c r="R5" s="37">
        <f>('Raw Values'!$U5+Q5)*(0.1^($B5/'Raw Values'!$AC5))</f>
        <v>0.04453618303</v>
      </c>
      <c r="S5" s="37">
        <f>('Raw Values'!$U5+R5)*(0.1^($B5/'Raw Values'!$AC5))</f>
        <v>0.04453618303</v>
      </c>
      <c r="T5" s="37">
        <f>('Raw Values'!$U5+S5)*(0.1^($B5/'Raw Values'!$AC5))</f>
        <v>0.04453618303</v>
      </c>
    </row>
    <row r="6" ht="15.75" customHeight="1">
      <c r="A6" s="66" t="s">
        <v>124</v>
      </c>
      <c r="B6" s="32">
        <v>0.55</v>
      </c>
      <c r="C6" s="34">
        <f>'Raw Values'!U6</f>
        <v>56</v>
      </c>
      <c r="D6" s="43">
        <f>'Raw Values'!AC6</f>
        <v>0.2</v>
      </c>
      <c r="E6" s="130"/>
      <c r="F6" s="35">
        <v>0.0</v>
      </c>
      <c r="G6" s="37">
        <f>'Raw Values'!$U6*(0.1^(B6/'Raw Values'!$AC6))</f>
        <v>0.09958364696</v>
      </c>
      <c r="H6" s="37">
        <f>('Raw Values'!$U6+G6)*(0.1^($B6/'Raw Values'!$AC6))</f>
        <v>0.09976073451</v>
      </c>
      <c r="I6" s="37">
        <f>('Raw Values'!$U6+H6)*(0.1^($B6/'Raw Values'!$AC6))</f>
        <v>0.09976104942</v>
      </c>
      <c r="J6" s="37">
        <f>('Raw Values'!$U6+I6)*(0.1^($B6/'Raw Values'!$AC6))</f>
        <v>0.09976104998</v>
      </c>
      <c r="K6" s="37">
        <f>('Raw Values'!$U6+J6)*(0.1^($B6/'Raw Values'!$AC6))</f>
        <v>0.09976104998</v>
      </c>
      <c r="L6" s="37">
        <f>('Raw Values'!$U6+K6)*(0.1^($B6/'Raw Values'!$AC6))</f>
        <v>0.09976104998</v>
      </c>
      <c r="M6" s="37">
        <f>('Raw Values'!$U6+L6)*(0.1^($B6/'Raw Values'!$AC6))</f>
        <v>0.09976104998</v>
      </c>
      <c r="N6" s="37">
        <f>('Raw Values'!$U6+M6)*(0.1^($B6/'Raw Values'!$AC6))</f>
        <v>0.09976104998</v>
      </c>
      <c r="O6" s="37">
        <f>('Raw Values'!$U6+N6)*(0.1^($B6/'Raw Values'!$AC6))</f>
        <v>0.09976104998</v>
      </c>
      <c r="P6" s="37">
        <f>('Raw Values'!$U6+O6)*(0.1^($B6/'Raw Values'!$AC6))</f>
        <v>0.09976104998</v>
      </c>
      <c r="Q6" s="37">
        <f>('Raw Values'!$U6+P6)*(0.1^($B6/'Raw Values'!$AC6))</f>
        <v>0.09976104998</v>
      </c>
      <c r="R6" s="37">
        <f>('Raw Values'!$U6+Q6)*(0.1^($B6/'Raw Values'!$AC6))</f>
        <v>0.09976104998</v>
      </c>
      <c r="S6" s="37">
        <f>('Raw Values'!$U6+R6)*(0.1^($B6/'Raw Values'!$AC6))</f>
        <v>0.09976104998</v>
      </c>
      <c r="T6" s="37">
        <f>('Raw Values'!$U6+S6)*(0.1^($B6/'Raw Values'!$AC6))</f>
        <v>0.09976104998</v>
      </c>
    </row>
    <row r="7" ht="15.75" customHeight="1">
      <c r="A7" s="61" t="s">
        <v>125</v>
      </c>
      <c r="B7" s="32">
        <v>0.55</v>
      </c>
      <c r="C7" s="34">
        <f>'Raw Values'!U7</f>
        <v>50</v>
      </c>
      <c r="D7" s="43">
        <f>'Raw Values'!AC7</f>
        <v>0.349532</v>
      </c>
      <c r="E7" s="130"/>
      <c r="F7" s="35">
        <v>0.0</v>
      </c>
      <c r="G7" s="37">
        <f>'Raw Values'!$U7*(0.1^(B7/'Raw Values'!$AC7))</f>
        <v>1.33486515</v>
      </c>
      <c r="H7" s="37">
        <f>('Raw Values'!$U7+G7)*(0.1^($B7/'Raw Values'!$AC7))</f>
        <v>1.37050245</v>
      </c>
      <c r="I7" s="37">
        <f>('Raw Values'!$U7+H7)*(0.1^($B7/'Raw Values'!$AC7))</f>
        <v>1.37145387</v>
      </c>
      <c r="J7" s="37">
        <f>('Raw Values'!$U7+I7)*(0.1^($B7/'Raw Values'!$AC7))</f>
        <v>1.37147927</v>
      </c>
      <c r="K7" s="37">
        <f>('Raw Values'!$U7+J7)*(0.1^($B7/'Raw Values'!$AC7))</f>
        <v>1.371479948</v>
      </c>
      <c r="L7" s="37">
        <f>('Raw Values'!$U7+K7)*(0.1^($B7/'Raw Values'!$AC7))</f>
        <v>1.371479966</v>
      </c>
      <c r="M7" s="37">
        <f>('Raw Values'!$U7+L7)*(0.1^($B7/'Raw Values'!$AC7))</f>
        <v>1.371479967</v>
      </c>
      <c r="N7" s="37">
        <f>('Raw Values'!$U7+M7)*(0.1^($B7/'Raw Values'!$AC7))</f>
        <v>1.371479967</v>
      </c>
      <c r="O7" s="37">
        <f>('Raw Values'!$U7+N7)*(0.1^($B7/'Raw Values'!$AC7))</f>
        <v>1.371479967</v>
      </c>
      <c r="P7" s="37">
        <f>('Raw Values'!$U7+O7)*(0.1^($B7/'Raw Values'!$AC7))</f>
        <v>1.371479967</v>
      </c>
      <c r="Q7" s="37">
        <f>('Raw Values'!$U7+P7)*(0.1^($B7/'Raw Values'!$AC7))</f>
        <v>1.371479967</v>
      </c>
      <c r="R7" s="37">
        <f>('Raw Values'!$U7+Q7)*(0.1^($B7/'Raw Values'!$AC7))</f>
        <v>1.371479967</v>
      </c>
      <c r="S7" s="145"/>
      <c r="T7" s="145"/>
    </row>
    <row r="8" ht="15.75" customHeight="1">
      <c r="A8" s="61" t="s">
        <v>127</v>
      </c>
      <c r="B8" s="32">
        <v>0.55</v>
      </c>
      <c r="C8" s="34">
        <f>'Raw Values'!AK8</f>
        <v>52</v>
      </c>
      <c r="D8" s="43">
        <f>'Raw Values'!AC8</f>
        <v>0.349532</v>
      </c>
      <c r="E8" s="130"/>
      <c r="F8" s="35">
        <v>0.0</v>
      </c>
      <c r="G8" s="37">
        <f>'Raw Values'!$AK8*(0.1^(B8/'Raw Values'!$AC8))</f>
        <v>1.388259756</v>
      </c>
      <c r="H8" s="37">
        <f>('Raw Values'!$AK8+G8)*(0.1^($B8/'Raw Values'!$AC8))</f>
        <v>1.425322548</v>
      </c>
      <c r="I8" s="37">
        <f>('Raw Values'!$AK8+H8)*(0.1^($B8/'Raw Values'!$AC8))</f>
        <v>1.426312024</v>
      </c>
      <c r="J8" s="37">
        <f>('Raw Values'!$AK8+I8)*(0.1^($B8/'Raw Values'!$AC8))</f>
        <v>1.426338441</v>
      </c>
      <c r="K8" s="37">
        <f>('Raw Values'!$AK8+J8)*(0.1^($B8/'Raw Values'!$AC8))</f>
        <v>1.426339146</v>
      </c>
      <c r="L8" s="37">
        <f>('Raw Values'!$AK8+K8)*(0.1^($B8/'Raw Values'!$AC8))</f>
        <v>1.426339165</v>
      </c>
      <c r="M8" s="37">
        <f>('Raw Values'!$AK8+L8)*(0.1^($B8/'Raw Values'!$AC8))</f>
        <v>1.426339165</v>
      </c>
      <c r="N8" s="37">
        <f>('Raw Values'!$AK8+M8)*(0.1^($B8/'Raw Values'!$AC8))</f>
        <v>1.426339165</v>
      </c>
      <c r="O8" s="37">
        <f>('Raw Values'!$AK8+N8)*(0.1^($B8/'Raw Values'!$AC8))</f>
        <v>1.426339165</v>
      </c>
      <c r="P8" s="37">
        <f>('Raw Values'!$AK8+O8)*(0.1^($B8/'Raw Values'!$AC8))</f>
        <v>1.426339165</v>
      </c>
      <c r="Q8" s="37">
        <f>('Raw Values'!$AK8+P8)*(0.1^($B8/'Raw Values'!$AC8))</f>
        <v>1.426339165</v>
      </c>
      <c r="R8" s="145"/>
      <c r="S8" s="145"/>
      <c r="T8" s="145"/>
    </row>
    <row r="9" ht="15.75" customHeight="1">
      <c r="A9" s="28" t="s">
        <v>129</v>
      </c>
      <c r="B9" s="32">
        <v>0.55</v>
      </c>
      <c r="C9" s="34">
        <f>'Raw Values'!U9</f>
        <v>52.45</v>
      </c>
      <c r="D9" s="43">
        <f>'Raw Values'!AC9</f>
        <v>0.345388</v>
      </c>
      <c r="E9" s="130"/>
      <c r="F9" s="35">
        <v>0.0</v>
      </c>
      <c r="G9" s="37">
        <f>'Raw Values'!$U9*(0.1^(B9/'Raw Values'!$AC9))</f>
        <v>1.340705776</v>
      </c>
      <c r="H9" s="37">
        <f>('Raw Values'!$U9+G9)*(0.1^($B9/'Raw Values'!$AC9))</f>
        <v>1.374976358</v>
      </c>
      <c r="I9" s="37">
        <f>('Raw Values'!$U9+H9)*(0.1^($B9/'Raw Values'!$AC9))</f>
        <v>1.375852368</v>
      </c>
      <c r="J9" s="37">
        <f>('Raw Values'!$U9+I9)*(0.1^($B9/'Raw Values'!$AC9))</f>
        <v>1.375874761</v>
      </c>
      <c r="K9" s="37">
        <f>('Raw Values'!$U9+J9)*(0.1^($B9/'Raw Values'!$AC9))</f>
        <v>1.375875333</v>
      </c>
      <c r="L9" s="37">
        <f>('Raw Values'!$U9+K9)*(0.1^($B9/'Raw Values'!$AC9))</f>
        <v>1.375875348</v>
      </c>
      <c r="M9" s="37">
        <f>('Raw Values'!$U9+L9)*(0.1^($B9/'Raw Values'!$AC9))</f>
        <v>1.375875348</v>
      </c>
      <c r="N9" s="37">
        <f>('Raw Values'!$U9+M9)*(0.1^($B9/'Raw Values'!$AC9))</f>
        <v>1.375875348</v>
      </c>
      <c r="O9" s="37">
        <f>('Raw Values'!$U9+N9)*(0.1^($B9/'Raw Values'!$AC9))</f>
        <v>1.375875348</v>
      </c>
      <c r="P9" s="37">
        <f>('Raw Values'!$U9+O9)*(0.1^($B9/'Raw Values'!$AC9))</f>
        <v>1.375875348</v>
      </c>
      <c r="Q9" s="37">
        <f>('Raw Values'!$U9+P9)*(0.1^($B9/'Raw Values'!$AC9))</f>
        <v>1.375875348</v>
      </c>
      <c r="R9" s="37">
        <f>('Raw Values'!$U9+Q9)*(0.1^($B9/'Raw Values'!$AC9))</f>
        <v>1.375875348</v>
      </c>
      <c r="S9" s="145"/>
      <c r="T9" s="145"/>
    </row>
    <row r="10" ht="15.75" customHeight="1">
      <c r="A10" s="28" t="s">
        <v>131</v>
      </c>
      <c r="B10" s="32">
        <v>0.55</v>
      </c>
      <c r="C10" s="34">
        <f>'Raw Values'!U10</f>
        <v>35</v>
      </c>
      <c r="D10" s="43">
        <f>'Raw Values'!AC10</f>
        <v>0.2425</v>
      </c>
      <c r="E10" s="130"/>
      <c r="F10" s="35">
        <v>0.0</v>
      </c>
      <c r="G10" s="37">
        <f>'Raw Values'!$U10*(0.1^(B10/'Raw Values'!$AC10))</f>
        <v>0.1888107891</v>
      </c>
      <c r="H10" s="37">
        <f>('Raw Values'!$U10+G10)*(0.1^($B10/'Raw Values'!$AC10))</f>
        <v>0.1898293466</v>
      </c>
      <c r="I10" s="37">
        <f>('Raw Values'!$U10+H10)*(0.1^($B10/'Raw Values'!$AC10))</f>
        <v>0.1898348413</v>
      </c>
      <c r="J10" s="37">
        <f>('Raw Values'!$U10+I10)*(0.1^($B10/'Raw Values'!$AC10))</f>
        <v>0.189834871</v>
      </c>
      <c r="K10" s="37">
        <f>('Raw Values'!$U10+J10)*(0.1^($B10/'Raw Values'!$AC10))</f>
        <v>0.1898348711</v>
      </c>
      <c r="L10" s="37">
        <f>('Raw Values'!$U10+K10)*(0.1^($B10/'Raw Values'!$AC10))</f>
        <v>0.1898348711</v>
      </c>
      <c r="M10" s="37">
        <f>('Raw Values'!$U10+L10)*(0.1^($B10/'Raw Values'!$AC10))</f>
        <v>0.1898348711</v>
      </c>
      <c r="N10" s="37">
        <f>('Raw Values'!$U10+M10)*(0.1^($B10/'Raw Values'!$AC10))</f>
        <v>0.1898348711</v>
      </c>
      <c r="O10" s="37">
        <f>('Raw Values'!$U10+N10)*(0.1^($B10/'Raw Values'!$AC10))</f>
        <v>0.1898348711</v>
      </c>
      <c r="P10" s="37">
        <f>('Raw Values'!$U10+O10)*(0.1^($B10/'Raw Values'!$AC10))</f>
        <v>0.1898348711</v>
      </c>
      <c r="Q10" s="37">
        <f>('Raw Values'!$U10+P10)*(0.1^($B10/'Raw Values'!$AC10))</f>
        <v>0.1898348711</v>
      </c>
      <c r="R10" s="145"/>
      <c r="S10" s="145"/>
      <c r="T10" s="145"/>
    </row>
    <row r="11" ht="15.75" customHeight="1">
      <c r="A11" s="66" t="s">
        <v>132</v>
      </c>
      <c r="B11" s="32">
        <v>0.55</v>
      </c>
      <c r="C11" s="34">
        <f>'Raw Values'!U11</f>
        <v>95</v>
      </c>
      <c r="D11" s="43">
        <f>'Raw Values'!AC11</f>
        <v>0.345</v>
      </c>
      <c r="E11" s="130"/>
      <c r="F11" s="35">
        <v>0.0</v>
      </c>
      <c r="G11" s="37">
        <f>'Raw Values'!$U11*(0.1^(B11/'Raw Values'!$AC11))</f>
        <v>2.41835864</v>
      </c>
      <c r="H11" s="37">
        <f>('Raw Values'!$U11+G11)*(0.1^($B11/'Raw Values'!$AC11))</f>
        <v>2.479921361</v>
      </c>
      <c r="I11" s="37">
        <f>('Raw Values'!$U11+H11)*(0.1^($B11/'Raw Values'!$AC11))</f>
        <v>2.481488527</v>
      </c>
      <c r="J11" s="37">
        <f>('Raw Values'!$U11+I11)*(0.1^($B11/'Raw Values'!$AC11))</f>
        <v>2.481528421</v>
      </c>
      <c r="K11" s="37">
        <f>('Raw Values'!$U11+J11)*(0.1^($B11/'Raw Values'!$AC11))</f>
        <v>2.481529437</v>
      </c>
      <c r="L11" s="37">
        <f>('Raw Values'!$U11+K11)*(0.1^($B11/'Raw Values'!$AC11))</f>
        <v>2.481529463</v>
      </c>
      <c r="M11" s="37">
        <f>('Raw Values'!$U11+L11)*(0.1^($B11/'Raw Values'!$AC11))</f>
        <v>2.481529464</v>
      </c>
      <c r="N11" s="37">
        <f>('Raw Values'!$U11+M11)*(0.1^($B11/'Raw Values'!$AC11))</f>
        <v>2.481529464</v>
      </c>
      <c r="O11" s="37">
        <f>('Raw Values'!$U11+N11)*(0.1^($B11/'Raw Values'!$AC11))</f>
        <v>2.481529464</v>
      </c>
      <c r="P11" s="37">
        <f>('Raw Values'!$U11+O11)*(0.1^($B11/'Raw Values'!$AC11))</f>
        <v>2.481529464</v>
      </c>
      <c r="Q11" s="37">
        <f>('Raw Values'!$U11+P11)*(0.1^($B11/'Raw Values'!$AC11))</f>
        <v>2.481529464</v>
      </c>
      <c r="R11" s="37">
        <f>('Raw Values'!$U11+Q11)*(0.1^($B11/'Raw Values'!$AC11))</f>
        <v>2.481529464</v>
      </c>
      <c r="S11" s="37">
        <f>('Raw Values'!$U11+R11)*(0.1^($B11/'Raw Values'!$AC11))</f>
        <v>2.481529464</v>
      </c>
      <c r="T11" s="37">
        <f>('Raw Values'!$U11+S11)*(0.1^($B11/'Raw Values'!$AC11))</f>
        <v>2.481529464</v>
      </c>
    </row>
    <row r="12" ht="15.75" customHeight="1">
      <c r="A12" s="75"/>
      <c r="B12" s="77"/>
      <c r="C12" s="147"/>
      <c r="D12" s="148"/>
      <c r="E12" s="150"/>
      <c r="F12" s="80"/>
      <c r="G12" s="80"/>
      <c r="H12" s="80"/>
      <c r="I12" s="80"/>
      <c r="J12" s="80"/>
      <c r="K12" s="80"/>
      <c r="L12" s="80"/>
      <c r="M12" s="80"/>
      <c r="N12" s="154"/>
      <c r="O12" s="154"/>
      <c r="P12" s="154"/>
      <c r="Q12" s="154"/>
      <c r="R12" s="154"/>
      <c r="S12" s="154"/>
      <c r="T12" s="154"/>
    </row>
    <row r="13" ht="15.75" customHeight="1">
      <c r="A13" s="5" t="s">
        <v>135</v>
      </c>
      <c r="B13" s="11" t="s">
        <v>222</v>
      </c>
      <c r="C13" s="9" t="s">
        <v>204</v>
      </c>
      <c r="D13" s="21" t="s">
        <v>205</v>
      </c>
      <c r="E13" s="125"/>
      <c r="F13" s="155">
        <v>1.0</v>
      </c>
      <c r="G13" s="156">
        <v>2.0</v>
      </c>
      <c r="H13" s="156">
        <v>3.0</v>
      </c>
      <c r="I13" s="156">
        <v>4.0</v>
      </c>
      <c r="J13" s="156">
        <v>5.0</v>
      </c>
      <c r="K13" s="156">
        <v>6.0</v>
      </c>
      <c r="L13" s="156">
        <v>7.0</v>
      </c>
      <c r="M13" s="156">
        <v>8.0</v>
      </c>
      <c r="N13" s="154"/>
      <c r="O13" s="154"/>
      <c r="P13" s="154"/>
      <c r="Q13" s="154"/>
      <c r="R13" s="154"/>
      <c r="S13" s="154"/>
      <c r="T13" s="154"/>
    </row>
    <row r="14" ht="15.75" customHeight="1">
      <c r="A14" s="61" t="s">
        <v>137</v>
      </c>
      <c r="B14" s="32">
        <f>'Raw Values'!E14</f>
        <v>0.85</v>
      </c>
      <c r="C14" s="34">
        <f>'Raw Values'!U14</f>
        <v>11.19</v>
      </c>
      <c r="D14" s="43">
        <f>'Raw Values'!AC14</f>
        <v>0.399729</v>
      </c>
      <c r="E14" s="130"/>
      <c r="F14" s="35">
        <v>0.0</v>
      </c>
      <c r="G14" s="37">
        <f>'Raw Values'!$U14*(0.1^(B14/'Raw Values'!$AC14))</f>
        <v>0.08363526224</v>
      </c>
      <c r="H14" s="37">
        <f>('Raw Values'!$U14+G14)*(0.1^($B14/'Raw Values'!$AC14))</f>
        <v>0.08426036117</v>
      </c>
      <c r="I14" s="37">
        <f>('Raw Values'!$U14+H14)*(0.1^($B14/'Raw Values'!$AC14))</f>
        <v>0.08426503323</v>
      </c>
      <c r="J14" s="37">
        <f>('Raw Values'!$U14+I14)*(0.1^($B14/'Raw Values'!$AC14))</f>
        <v>0.08426506815</v>
      </c>
      <c r="K14" s="37">
        <f>('Raw Values'!$U14+J14)*(0.1^($B14/'Raw Values'!$AC14))</f>
        <v>0.08426506841</v>
      </c>
      <c r="L14" s="37">
        <f>('Raw Values'!$U14+K14)*(0.1^($B14/'Raw Values'!$AC14))</f>
        <v>0.08426506841</v>
      </c>
      <c r="M14" s="145"/>
      <c r="N14" s="154"/>
      <c r="O14" s="154"/>
      <c r="P14" s="154"/>
      <c r="Q14" s="154"/>
      <c r="R14" s="154"/>
      <c r="S14" s="154"/>
      <c r="T14" s="154"/>
    </row>
    <row r="15" ht="15.75" customHeight="1">
      <c r="A15" s="28" t="s">
        <v>140</v>
      </c>
      <c r="B15" s="32">
        <f>'Raw Values'!E15</f>
        <v>0.88</v>
      </c>
      <c r="C15" s="34">
        <f>'Raw Values'!U15</f>
        <v>9.72</v>
      </c>
      <c r="D15" s="43">
        <f>'Raw Values'!AC15</f>
        <v>0.460517</v>
      </c>
      <c r="E15" s="130"/>
      <c r="F15" s="35">
        <v>0.0</v>
      </c>
      <c r="G15" s="37">
        <f>'Raw Values'!$U15*(0.1^(B15/'Raw Values'!$AC15))</f>
        <v>0.1193357227</v>
      </c>
      <c r="H15" s="37">
        <f>('Raw Values'!$U15+G15)*(0.1^($B15/'Raw Values'!$AC15))</f>
        <v>0.1208008476</v>
      </c>
      <c r="I15" s="37">
        <f>('Raw Values'!$U15+H15)*(0.1^($B15/'Raw Values'!$AC15))</f>
        <v>0.1208188355</v>
      </c>
      <c r="J15" s="37">
        <f>('Raw Values'!$U15+I15)*(0.1^($B15/'Raw Values'!$AC15))</f>
        <v>0.1208190563</v>
      </c>
      <c r="K15" s="37">
        <f>('Raw Values'!$U15+J15)*(0.1^($B15/'Raw Values'!$AC15))</f>
        <v>0.120819059</v>
      </c>
      <c r="L15" s="37">
        <f>('Raw Values'!$U15+K15)*(0.1^($B15/'Raw Values'!$AC15))</f>
        <v>0.120819059</v>
      </c>
      <c r="M15" s="37">
        <f>('Raw Values'!$U15+L15)*(0.1^($B15/'Raw Values'!$AC15))</f>
        <v>0.120819059</v>
      </c>
      <c r="N15" s="154"/>
      <c r="O15" s="154"/>
      <c r="P15" s="154"/>
      <c r="Q15" s="154"/>
      <c r="R15" s="154"/>
      <c r="S15" s="154"/>
      <c r="T15" s="154"/>
    </row>
    <row r="16" ht="15.75" customHeight="1">
      <c r="A16" s="66" t="s">
        <v>142</v>
      </c>
      <c r="B16" s="32">
        <f>'Raw Values'!E16</f>
        <v>0.85</v>
      </c>
      <c r="C16" s="34">
        <f>'Raw Values'!U16</f>
        <v>9.72</v>
      </c>
      <c r="D16" s="43">
        <f>'Raw Values'!AC16</f>
        <v>0.460517</v>
      </c>
      <c r="E16" s="130"/>
      <c r="F16" s="35">
        <v>0.0</v>
      </c>
      <c r="G16" s="37">
        <f>'Raw Values'!$U16*(0.1^(B16/'Raw Values'!$AC16))</f>
        <v>0.1386483298</v>
      </c>
      <c r="H16" s="37">
        <f>('Raw Values'!$U16+G16)*(0.1^($B16/'Raw Values'!$AC16))</f>
        <v>0.1406260417</v>
      </c>
      <c r="I16" s="37">
        <f>('Raw Values'!$U16+H16)*(0.1^($B16/'Raw Values'!$AC16))</f>
        <v>0.1406542522</v>
      </c>
      <c r="J16" s="37">
        <f>('Raw Values'!$U16+I16)*(0.1^($B16/'Raw Values'!$AC16))</f>
        <v>0.1406546546</v>
      </c>
      <c r="K16" s="37">
        <f>('Raw Values'!$U16+J16)*(0.1^($B16/'Raw Values'!$AC16))</f>
        <v>0.1406546603</v>
      </c>
      <c r="L16" s="37">
        <f>('Raw Values'!$U16+K16)*(0.1^($B16/'Raw Values'!$AC16))</f>
        <v>0.1406546604</v>
      </c>
      <c r="M16" s="145"/>
      <c r="N16" s="154"/>
      <c r="O16" s="154"/>
      <c r="P16" s="154"/>
      <c r="Q16" s="154"/>
      <c r="R16" s="154"/>
      <c r="S16" s="154"/>
      <c r="T16" s="154"/>
    </row>
    <row r="17" ht="15.75" customHeight="1">
      <c r="A17" s="28" t="s">
        <v>143</v>
      </c>
      <c r="B17" s="32">
        <v>0.55</v>
      </c>
      <c r="C17" s="34">
        <f>'Raw Values'!U17</f>
        <v>8.83</v>
      </c>
      <c r="D17" s="43">
        <f>'Raw Values'!AC17</f>
        <v>0.506569</v>
      </c>
      <c r="E17" s="130"/>
      <c r="F17" s="35">
        <v>0.0</v>
      </c>
      <c r="G17" s="37">
        <f>'Raw Values'!$U17*(0.1^(B17/'Raw Values'!$AC17))</f>
        <v>0.7248115378</v>
      </c>
      <c r="H17" s="37">
        <f>('Raw Values'!$U17+G17)*(0.1^($B17/'Raw Values'!$AC17))</f>
        <v>0.7843077739</v>
      </c>
      <c r="I17" s="37">
        <f>('Raw Values'!$U17+H17)*(0.1^($B17/'Raw Values'!$AC17))</f>
        <v>0.7891915291</v>
      </c>
      <c r="J17" s="37">
        <f>('Raw Values'!$U17+I17)*(0.1^($B17/'Raw Values'!$AC17))</f>
        <v>0.7895924127</v>
      </c>
      <c r="K17" s="37">
        <f>('Raw Values'!$U17+J17)*(0.1^($B17/'Raw Values'!$AC17))</f>
        <v>0.7896253193</v>
      </c>
      <c r="L17" s="37">
        <f>('Raw Values'!$U17+K17)*(0.1^($B17/'Raw Values'!$AC17))</f>
        <v>0.7896280205</v>
      </c>
      <c r="M17" s="145"/>
      <c r="N17" s="154"/>
      <c r="O17" s="154"/>
      <c r="P17" s="154"/>
      <c r="Q17" s="154"/>
      <c r="R17" s="154"/>
      <c r="S17" s="154"/>
      <c r="T17" s="154"/>
    </row>
    <row r="18" ht="15.75" customHeight="1">
      <c r="A18" s="75"/>
      <c r="B18" s="77"/>
      <c r="C18" s="147"/>
      <c r="D18" s="148"/>
      <c r="E18" s="150"/>
      <c r="F18" s="80"/>
      <c r="G18" s="80"/>
      <c r="H18" s="80"/>
      <c r="I18" s="80"/>
      <c r="J18" s="80"/>
      <c r="K18" s="80"/>
      <c r="L18" s="80"/>
      <c r="M18" s="80"/>
      <c r="N18" s="80"/>
      <c r="O18" s="80"/>
      <c r="P18" s="80"/>
      <c r="Q18" s="80"/>
      <c r="R18" s="80"/>
      <c r="S18" s="80"/>
      <c r="T18" s="80"/>
    </row>
    <row r="19" ht="15.75" customHeight="1">
      <c r="A19" s="5" t="s">
        <v>145</v>
      </c>
      <c r="B19" s="11" t="s">
        <v>222</v>
      </c>
      <c r="C19" s="9" t="s">
        <v>204</v>
      </c>
      <c r="D19" s="21" t="s">
        <v>205</v>
      </c>
      <c r="E19" s="125"/>
      <c r="F19" s="155">
        <v>1.0</v>
      </c>
      <c r="G19" s="156">
        <v>2.0</v>
      </c>
      <c r="H19" s="156">
        <v>3.0</v>
      </c>
      <c r="I19" s="156">
        <v>4.0</v>
      </c>
      <c r="J19" s="156">
        <v>5.0</v>
      </c>
      <c r="K19" s="156">
        <v>6.0</v>
      </c>
      <c r="L19" s="156">
        <v>7.0</v>
      </c>
      <c r="M19" s="156">
        <v>8.0</v>
      </c>
      <c r="N19" s="156">
        <v>9.0</v>
      </c>
      <c r="O19" s="156">
        <v>10.0</v>
      </c>
      <c r="P19" s="156">
        <v>11.0</v>
      </c>
      <c r="Q19" s="156">
        <v>12.0</v>
      </c>
      <c r="R19" s="156">
        <v>13.0</v>
      </c>
      <c r="S19" s="156">
        <v>14.0</v>
      </c>
      <c r="T19" s="156">
        <v>15.0</v>
      </c>
    </row>
    <row r="20" ht="15.75" customHeight="1">
      <c r="A20" s="28" t="s">
        <v>147</v>
      </c>
      <c r="B20" s="32">
        <v>0.17</v>
      </c>
      <c r="C20" s="34">
        <f>'Raw Values'!U20</f>
        <v>2.88</v>
      </c>
      <c r="D20" s="43">
        <f>'Raw Values'!AC20</f>
        <v>0.331572</v>
      </c>
      <c r="E20" s="130"/>
      <c r="F20" s="35">
        <v>0.0</v>
      </c>
      <c r="G20" s="37">
        <f>'Raw Values'!$U20*(0.1^(B20/'Raw Values'!$AC20))</f>
        <v>0.8844704598</v>
      </c>
      <c r="H20" s="37">
        <f>('Raw Values'!$U20+G20)*(0.1^($B20/'Raw Values'!$AC20))</f>
        <v>1.156098236</v>
      </c>
      <c r="I20" s="37">
        <f>('Raw Values'!$U20+H20)*(0.1^($B20/'Raw Values'!$AC20))</f>
        <v>1.239517244</v>
      </c>
      <c r="J20" s="37">
        <f>('Raw Values'!$U20+I20)*(0.1^($B20/'Raw Values'!$AC20))</f>
        <v>1.265135872</v>
      </c>
      <c r="K20" s="37">
        <f>('Raw Values'!$U20+J20)*(0.1^($B20/'Raw Values'!$AC20))</f>
        <v>1.273003552</v>
      </c>
      <c r="L20" s="37">
        <f>('Raw Values'!$U20+K20)*(0.1^($B20/'Raw Values'!$AC20))</f>
        <v>1.275419778</v>
      </c>
      <c r="M20" s="37">
        <f>('Raw Values'!$U20+L20)*(0.1^($B20/'Raw Values'!$AC20))</f>
        <v>1.27616182</v>
      </c>
      <c r="N20" s="37">
        <f>('Raw Values'!$U20+M20)*(0.1^($B20/'Raw Values'!$AC20))</f>
        <v>1.276389707</v>
      </c>
      <c r="O20" s="37">
        <f>('Raw Values'!$U20+N20)*(0.1^($B20/'Raw Values'!$AC20))</f>
        <v>1.276459693</v>
      </c>
      <c r="P20" s="37">
        <f>('Raw Values'!$U20+O20)*(0.1^($B20/'Raw Values'!$AC20))</f>
        <v>1.276481186</v>
      </c>
      <c r="Q20" s="37">
        <f>('Raw Values'!$U20+P20)*(0.1^($B20/'Raw Values'!$AC20))</f>
        <v>1.276487787</v>
      </c>
      <c r="R20" s="37">
        <f>('Raw Values'!$U20+Q20)*(0.1^($B20/'Raw Values'!$AC20))</f>
        <v>1.276489814</v>
      </c>
      <c r="S20" s="37">
        <f>('Raw Values'!$U20+R20)*(0.1^($B20/'Raw Values'!$AC20))</f>
        <v>1.276490436</v>
      </c>
      <c r="T20" s="37">
        <f>('Raw Values'!$U20+S20)*(0.1^($B20/'Raw Values'!$AC20))</f>
        <v>1.276490628</v>
      </c>
    </row>
    <row r="21" ht="15.75" customHeight="1">
      <c r="A21" s="66" t="s">
        <v>150</v>
      </c>
      <c r="B21" s="32">
        <v>0.17</v>
      </c>
      <c r="C21" s="34">
        <f>'Raw Values'!U21</f>
        <v>4.76</v>
      </c>
      <c r="D21" s="43">
        <f>'Raw Values'!AC21</f>
        <v>0.399729</v>
      </c>
      <c r="E21" s="130"/>
      <c r="F21" s="35">
        <v>0.0</v>
      </c>
      <c r="G21" s="37">
        <f>'Raw Values'!$U21*(0.1^(B21/'Raw Values'!$AC21))</f>
        <v>1.787799535</v>
      </c>
      <c r="H21" s="37">
        <f>('Raw Values'!$U21+G21)*(0.1^($B21/'Raw Values'!$AC21))</f>
        <v>2.459275833</v>
      </c>
      <c r="I21" s="37">
        <f>('Raw Values'!$U21+H21)*(0.1^($B21/'Raw Values'!$AC21))</f>
        <v>2.711474365</v>
      </c>
      <c r="J21" s="37">
        <f>('Raw Values'!$U21+I21)*(0.1^($B21/'Raw Values'!$AC21))</f>
        <v>2.806197142</v>
      </c>
      <c r="K21" s="37">
        <f>('Raw Values'!$U21+J21)*(0.1^($B21/'Raw Values'!$AC21))</f>
        <v>2.841773894</v>
      </c>
      <c r="L21" s="37">
        <f>('Raw Values'!$U21+K21)*(0.1^($B21/'Raw Values'!$AC21))</f>
        <v>2.855136099</v>
      </c>
      <c r="M21" s="37">
        <f>('Raw Values'!$U21+L21)*(0.1^($B21/'Raw Values'!$AC21))</f>
        <v>2.860154785</v>
      </c>
      <c r="N21" s="37">
        <f>('Raw Values'!$U21+M21)*(0.1^($B21/'Raw Values'!$AC21))</f>
        <v>2.862039744</v>
      </c>
      <c r="O21" s="37">
        <f>('Raw Values'!$U21+N21)*(0.1^($B21/'Raw Values'!$AC21))</f>
        <v>2.862747712</v>
      </c>
      <c r="P21" s="37">
        <f>('Raw Values'!$U21+O21)*(0.1^($B21/'Raw Values'!$AC21))</f>
        <v>2.863013617</v>
      </c>
      <c r="Q21" s="37">
        <f>('Raw Values'!$U21+P21)*(0.1^($B21/'Raw Values'!$AC21))</f>
        <v>2.863113488</v>
      </c>
      <c r="R21" s="37">
        <f>('Raw Values'!$U21+Q21)*(0.1^($B21/'Raw Values'!$AC21))</f>
        <v>2.863150998</v>
      </c>
      <c r="S21" s="37">
        <f>('Raw Values'!$U21+R21)*(0.1^($B21/'Raw Values'!$AC21))</f>
        <v>2.863165086</v>
      </c>
      <c r="T21" s="37">
        <f>('Raw Values'!$U21+S21)*(0.1^($B21/'Raw Values'!$AC21))</f>
        <v>2.863170378</v>
      </c>
    </row>
    <row r="22" ht="15.75" customHeight="1">
      <c r="A22" s="28" t="s">
        <v>152</v>
      </c>
      <c r="B22" s="32">
        <v>0.17</v>
      </c>
      <c r="C22" s="34">
        <f>'Raw Values'!U22</f>
        <v>2.18</v>
      </c>
      <c r="D22" s="43">
        <f>'Raw Values'!AC22</f>
        <v>0.437491</v>
      </c>
      <c r="E22" s="130"/>
      <c r="F22" s="35">
        <v>0.0</v>
      </c>
      <c r="G22" s="37">
        <f>'Raw Values'!$U22*(0.1^(B22/'Raw Values'!$AC22))</f>
        <v>0.8909987021</v>
      </c>
      <c r="H22" s="37">
        <f>('Raw Values'!$U22+G22)*(0.1^($B22/'Raw Values'!$AC22))</f>
        <v>1.255163237</v>
      </c>
      <c r="I22" s="37">
        <f>('Raw Values'!$U22+H22)*(0.1^($B22/'Raw Values'!$AC22))</f>
        <v>1.404002746</v>
      </c>
      <c r="J22" s="37">
        <f>('Raw Values'!$U22+I22)*(0.1^($B22/'Raw Values'!$AC22))</f>
        <v>1.464835686</v>
      </c>
      <c r="K22" s="37">
        <f>('Raw Values'!$U22+J22)*(0.1^($B22/'Raw Values'!$AC22))</f>
        <v>1.489699021</v>
      </c>
      <c r="L22" s="37">
        <f>('Raw Values'!$U22+K22)*(0.1^($B22/'Raw Values'!$AC22))</f>
        <v>1.499861039</v>
      </c>
      <c r="M22" s="37">
        <f>('Raw Values'!$U22+L22)*(0.1^($B22/'Raw Values'!$AC22))</f>
        <v>1.504014408</v>
      </c>
      <c r="N22" s="37">
        <f>('Raw Values'!$U22+M22)*(0.1^($B22/'Raw Values'!$AC22))</f>
        <v>1.505711952</v>
      </c>
      <c r="O22" s="37">
        <f>('Raw Values'!$U22+N22)*(0.1^($B22/'Raw Values'!$AC22))</f>
        <v>1.506405764</v>
      </c>
      <c r="P22" s="37">
        <f>('Raw Values'!$U22+O22)*(0.1^($B22/'Raw Values'!$AC22))</f>
        <v>1.506689335</v>
      </c>
      <c r="Q22" s="37">
        <f>('Raw Values'!$U22+P22)*(0.1^($B22/'Raw Values'!$AC22))</f>
        <v>1.506805235</v>
      </c>
      <c r="R22" s="37">
        <f>('Raw Values'!$U22+Q22)*(0.1^($B22/'Raw Values'!$AC22))</f>
        <v>1.506852605</v>
      </c>
      <c r="S22" s="37">
        <f>('Raw Values'!$U22+R22)*(0.1^($B22/'Raw Values'!$AC22))</f>
        <v>1.506871966</v>
      </c>
      <c r="T22" s="37">
        <f>('Raw Values'!$U22+S22)*(0.1^($B22/'Raw Values'!$AC22))</f>
        <v>1.506879879</v>
      </c>
    </row>
    <row r="23" ht="15.75" customHeight="1">
      <c r="A23" s="28" t="s">
        <v>154</v>
      </c>
      <c r="B23" s="32">
        <v>0.17</v>
      </c>
      <c r="C23" s="34">
        <f>'Raw Values'!U23</f>
        <v>2.18</v>
      </c>
      <c r="D23" s="43">
        <f>'Raw Values'!AC23</f>
        <v>0.437491</v>
      </c>
      <c r="E23" s="130"/>
      <c r="F23" s="35">
        <v>0.0</v>
      </c>
      <c r="G23" s="37">
        <f>'Raw Values'!$U23*(0.1^(B23/'Raw Values'!$AC23))</f>
        <v>0.8909987021</v>
      </c>
      <c r="H23" s="37">
        <f>('Raw Values'!$U23+G23)*(0.1^($B23/'Raw Values'!$AC23))</f>
        <v>1.255163237</v>
      </c>
      <c r="I23" s="37">
        <f>('Raw Values'!$U23+H23)*(0.1^($B23/'Raw Values'!$AC23))</f>
        <v>1.404002746</v>
      </c>
      <c r="J23" s="37">
        <f>('Raw Values'!$U23+I23)*(0.1^($B23/'Raw Values'!$AC23))</f>
        <v>1.464835686</v>
      </c>
      <c r="K23" s="37">
        <f>('Raw Values'!$U23+J23)*(0.1^($B23/'Raw Values'!$AC23))</f>
        <v>1.489699021</v>
      </c>
      <c r="L23" s="37">
        <f>('Raw Values'!$U23+K23)*(0.1^($B23/'Raw Values'!$AC23))</f>
        <v>1.499861039</v>
      </c>
      <c r="M23" s="37">
        <f>('Raw Values'!$U23+L23)*(0.1^($B23/'Raw Values'!$AC23))</f>
        <v>1.504014408</v>
      </c>
      <c r="N23" s="37">
        <f>('Raw Values'!$U23+M23)*(0.1^($B23/'Raw Values'!$AC23))</f>
        <v>1.505711952</v>
      </c>
      <c r="O23" s="37">
        <f>('Raw Values'!$U23+N23)*(0.1^($B23/'Raw Values'!$AC23))</f>
        <v>1.506405764</v>
      </c>
      <c r="P23" s="37">
        <f>('Raw Values'!$U23+O23)*(0.1^($B23/'Raw Values'!$AC23))</f>
        <v>1.506689335</v>
      </c>
      <c r="Q23" s="37">
        <f>('Raw Values'!$U23+P23)*(0.1^($B23/'Raw Values'!$AC23))</f>
        <v>1.506805235</v>
      </c>
      <c r="R23" s="37">
        <f>('Raw Values'!$U23+Q23)*(0.1^($B23/'Raw Values'!$AC23))</f>
        <v>1.506852605</v>
      </c>
      <c r="S23" s="37">
        <f>('Raw Values'!$U23+R23)*(0.1^($B23/'Raw Values'!$AC23))</f>
        <v>1.506871966</v>
      </c>
      <c r="T23" s="37">
        <f>('Raw Values'!$U23+S23)*(0.1^($B23/'Raw Values'!$AC23))</f>
        <v>1.506879879</v>
      </c>
    </row>
    <row r="24" ht="15.75" customHeight="1">
      <c r="A24" s="61" t="s">
        <v>156</v>
      </c>
      <c r="B24" s="32">
        <v>0.17</v>
      </c>
      <c r="C24" s="34">
        <f>'Raw Values'!U24</f>
        <v>3.7</v>
      </c>
      <c r="D24" s="43">
        <f>'Raw Values'!AC24</f>
        <v>0.25789</v>
      </c>
      <c r="E24" s="130"/>
      <c r="F24" s="35">
        <v>0.0</v>
      </c>
      <c r="G24" s="37">
        <f>'Raw Values'!$U24*(0.1^(B24/'Raw Values'!$AC24))</f>
        <v>0.8109721552</v>
      </c>
      <c r="H24" s="37">
        <f>('Raw Values'!$U24+G24)*(0.1^($B24/'Raw Values'!$AC24))</f>
        <v>0.9887223813</v>
      </c>
      <c r="I24" s="37">
        <f>('Raw Values'!$U24+H24)*(0.1^($B24/'Raw Values'!$AC24))</f>
        <v>1.027681972</v>
      </c>
      <c r="J24" s="37">
        <f>('Raw Values'!$U24+I24)*(0.1^($B24/'Raw Values'!$AC24))</f>
        <v>1.036221199</v>
      </c>
      <c r="K24" s="37">
        <f>('Raw Values'!$U24+J24)*(0.1^($B24/'Raw Values'!$AC24))</f>
        <v>1.038092841</v>
      </c>
      <c r="L24" s="37">
        <f>('Raw Values'!$U24+K24)*(0.1^($B24/'Raw Values'!$AC24))</f>
        <v>1.038503071</v>
      </c>
      <c r="M24" s="37">
        <f>('Raw Values'!$U24+L24)*(0.1^($B24/'Raw Values'!$AC24))</f>
        <v>1.038592986</v>
      </c>
      <c r="N24" s="37">
        <f>('Raw Values'!$U24+M24)*(0.1^($B24/'Raw Values'!$AC24))</f>
        <v>1.038612694</v>
      </c>
      <c r="O24" s="37">
        <f>('Raw Values'!$U24+N24)*(0.1^($B24/'Raw Values'!$AC24))</f>
        <v>1.038617013</v>
      </c>
      <c r="P24" s="37">
        <f>('Raw Values'!$U24+O24)*(0.1^($B24/'Raw Values'!$AC24))</f>
        <v>1.03861796</v>
      </c>
      <c r="Q24" s="37">
        <f>('Raw Values'!$U24+P24)*(0.1^($B24/'Raw Values'!$AC24))</f>
        <v>1.038618167</v>
      </c>
      <c r="R24" s="37">
        <f>('Raw Values'!$U24+Q24)*(0.1^($B24/'Raw Values'!$AC24))</f>
        <v>1.038618213</v>
      </c>
      <c r="S24" s="37">
        <f>('Raw Values'!$U24+R24)*(0.1^($B24/'Raw Values'!$AC24))</f>
        <v>1.038618223</v>
      </c>
      <c r="T24" s="37">
        <f>('Raw Values'!$U24+S24)*(0.1^($B24/'Raw Values'!$AC24))</f>
        <v>1.038618225</v>
      </c>
    </row>
    <row r="25" ht="15.75" customHeight="1">
      <c r="A25" s="28" t="s">
        <v>158</v>
      </c>
      <c r="B25" s="32">
        <v>0.17</v>
      </c>
      <c r="C25" s="34">
        <f>'Raw Values'!U25</f>
        <v>2.85</v>
      </c>
      <c r="D25" s="43">
        <f>'Raw Values'!AC25</f>
        <v>0.372098</v>
      </c>
      <c r="E25" s="130"/>
      <c r="F25" s="35">
        <v>0.0</v>
      </c>
      <c r="G25" s="37">
        <f>'Raw Values'!$U25*(0.1^(B25/'Raw Values'!$AC25))</f>
        <v>0.9953503434</v>
      </c>
      <c r="H25" s="37">
        <f>('Raw Values'!$U25+G25)*(0.1^($B25/'Raw Values'!$AC25))</f>
        <v>1.342972205</v>
      </c>
      <c r="I25" s="37">
        <f>('Raw Values'!$U25+H25)*(0.1^($B25/'Raw Values'!$AC25))</f>
        <v>1.464377658</v>
      </c>
      <c r="J25" s="37">
        <f>('Raw Values'!$U25+I25)*(0.1^($B25/'Raw Values'!$AC25))</f>
        <v>1.506777994</v>
      </c>
      <c r="K25" s="37">
        <f>('Raw Values'!$U25+J25)*(0.1^($B25/'Raw Values'!$AC25))</f>
        <v>1.521586131</v>
      </c>
      <c r="L25" s="37">
        <f>('Raw Values'!$U25+K25)*(0.1^($B25/'Raw Values'!$AC25))</f>
        <v>1.526757809</v>
      </c>
      <c r="M25" s="37">
        <f>('Raw Values'!$U25+L25)*(0.1^($B25/'Raw Values'!$AC25))</f>
        <v>1.528563996</v>
      </c>
      <c r="N25" s="37">
        <f>('Raw Values'!$U25+M25)*(0.1^($B25/'Raw Values'!$AC25))</f>
        <v>1.529194799</v>
      </c>
      <c r="O25" s="37">
        <f>('Raw Values'!$U25+N25)*(0.1^($B25/'Raw Values'!$AC25))</f>
        <v>1.529415104</v>
      </c>
      <c r="P25" s="37">
        <f>('Raw Values'!$U25+O25)*(0.1^($B25/'Raw Values'!$AC25))</f>
        <v>1.529492045</v>
      </c>
      <c r="Q25" s="37">
        <f>('Raw Values'!$U25+P25)*(0.1^($B25/'Raw Values'!$AC25))</f>
        <v>1.529518916</v>
      </c>
      <c r="R25" s="37">
        <f>('Raw Values'!$U25+Q25)*(0.1^($B25/'Raw Values'!$AC25))</f>
        <v>1.529528301</v>
      </c>
      <c r="S25" s="37">
        <f>('Raw Values'!$U25+R25)*(0.1^($B25/'Raw Values'!$AC25))</f>
        <v>1.529531578</v>
      </c>
      <c r="T25" s="37">
        <f>('Raw Values'!$U25+S25)*(0.1^($B25/'Raw Values'!$AC25))</f>
        <v>1.529532723</v>
      </c>
    </row>
    <row r="26" ht="15.75" customHeight="1">
      <c r="A26" s="28" t="s">
        <v>160</v>
      </c>
      <c r="B26" s="32">
        <v>0.17</v>
      </c>
      <c r="C26" s="34">
        <f>'Raw Values'!U26</f>
        <v>3.42</v>
      </c>
      <c r="D26" s="43">
        <f>'Raw Values'!AC26</f>
        <v>0.349993</v>
      </c>
      <c r="E26" s="130"/>
      <c r="F26" s="35">
        <v>0.0</v>
      </c>
      <c r="G26" s="37">
        <f>'Raw Values'!$U26*(0.1^(B26/'Raw Values'!$AC26))</f>
        <v>1.117640435</v>
      </c>
      <c r="H26" s="37">
        <f>('Raw Values'!$U26+G26)*(0.1^($B26/'Raw Values'!$AC26))</f>
        <v>1.482880243</v>
      </c>
      <c r="I26" s="37">
        <f>('Raw Values'!$U26+H26)*(0.1^($B26/'Raw Values'!$AC26))</f>
        <v>1.60223895</v>
      </c>
      <c r="J26" s="37">
        <f>('Raw Values'!$U26+I26)*(0.1^($B26/'Raw Values'!$AC26))</f>
        <v>1.641244833</v>
      </c>
      <c r="K26" s="37">
        <f>('Raw Values'!$U26+J26)*(0.1^($B26/'Raw Values'!$AC26))</f>
        <v>1.653991777</v>
      </c>
      <c r="L26" s="37">
        <f>('Raw Values'!$U26+K26)*(0.1^($B26/'Raw Values'!$AC26))</f>
        <v>1.658157421</v>
      </c>
      <c r="M26" s="37">
        <f>('Raw Values'!$U26+L26)*(0.1^($B26/'Raw Values'!$AC26))</f>
        <v>1.659518734</v>
      </c>
      <c r="N26" s="37">
        <f>('Raw Values'!$U26+M26)*(0.1^($B26/'Raw Values'!$AC26))</f>
        <v>1.659963605</v>
      </c>
      <c r="O26" s="37">
        <f>('Raw Values'!$U26+N26)*(0.1^($B26/'Raw Values'!$AC26))</f>
        <v>1.660108987</v>
      </c>
      <c r="P26" s="37">
        <f>('Raw Values'!$U26+O26)*(0.1^($B26/'Raw Values'!$AC26))</f>
        <v>1.660156497</v>
      </c>
      <c r="Q26" s="37">
        <f>('Raw Values'!$U26+P26)*(0.1^($B26/'Raw Values'!$AC26))</f>
        <v>1.660172023</v>
      </c>
      <c r="R26" s="37">
        <f>('Raw Values'!$U26+Q26)*(0.1^($B26/'Raw Values'!$AC26))</f>
        <v>1.660177097</v>
      </c>
      <c r="S26" s="37">
        <f>('Raw Values'!$U26+R26)*(0.1^($B26/'Raw Values'!$AC26))</f>
        <v>1.660178755</v>
      </c>
      <c r="T26" s="37">
        <f>('Raw Values'!$U26+S26)*(0.1^($B26/'Raw Values'!$AC26))</f>
        <v>1.660179297</v>
      </c>
    </row>
    <row r="27" ht="15.75" customHeight="1">
      <c r="A27" s="75"/>
      <c r="B27" s="77"/>
      <c r="C27" s="147"/>
      <c r="D27" s="148"/>
      <c r="E27" s="150"/>
      <c r="F27" s="80"/>
      <c r="G27" s="80"/>
      <c r="H27" s="80"/>
      <c r="I27" s="80"/>
      <c r="J27" s="80"/>
      <c r="K27" s="80"/>
      <c r="L27" s="80"/>
      <c r="M27" s="80"/>
      <c r="N27" s="80"/>
      <c r="O27" s="80"/>
      <c r="P27" s="80"/>
      <c r="Q27" s="80"/>
      <c r="R27" s="80"/>
      <c r="S27" s="80"/>
      <c r="T27" s="80"/>
    </row>
    <row r="28" ht="15.75" customHeight="1">
      <c r="A28" s="5" t="s">
        <v>161</v>
      </c>
      <c r="B28" s="11" t="s">
        <v>222</v>
      </c>
      <c r="C28" s="9" t="s">
        <v>204</v>
      </c>
      <c r="D28" s="21" t="s">
        <v>205</v>
      </c>
      <c r="E28" s="125"/>
      <c r="F28" s="155">
        <v>1.0</v>
      </c>
      <c r="G28" s="156">
        <v>2.0</v>
      </c>
      <c r="H28" s="156">
        <v>3.0</v>
      </c>
      <c r="I28" s="156">
        <v>4.0</v>
      </c>
      <c r="J28" s="156">
        <v>5.0</v>
      </c>
      <c r="K28" s="156">
        <v>6.0</v>
      </c>
      <c r="L28" s="156">
        <v>7.0</v>
      </c>
      <c r="M28" s="156">
        <v>8.0</v>
      </c>
      <c r="N28" s="156">
        <v>9.0</v>
      </c>
      <c r="O28" s="156">
        <v>10.0</v>
      </c>
      <c r="P28" s="156">
        <v>11.0</v>
      </c>
      <c r="Q28" s="156">
        <v>12.0</v>
      </c>
      <c r="R28" s="156">
        <v>13.0</v>
      </c>
      <c r="S28" s="156">
        <v>14.0</v>
      </c>
      <c r="T28" s="156">
        <v>15.0</v>
      </c>
    </row>
    <row r="29" ht="15.75" customHeight="1">
      <c r="A29" s="66" t="s">
        <v>164</v>
      </c>
      <c r="B29" s="32">
        <v>0.25</v>
      </c>
      <c r="C29" s="34">
        <f>'Raw Values'!U29</f>
        <v>7.8</v>
      </c>
      <c r="D29" s="43">
        <f>'Raw Values'!AC29</f>
        <v>0.368</v>
      </c>
      <c r="E29" s="130"/>
      <c r="F29" s="35">
        <v>0.0</v>
      </c>
      <c r="G29" s="37">
        <f>'Raw Values'!$U29*(0.1^(B29/'Raw Values'!$AC29))</f>
        <v>1.632100044</v>
      </c>
      <c r="H29" s="37">
        <f>('Raw Values'!$U29+G29)*(0.1^($B29/'Raw Values'!$AC29))</f>
        <v>1.973606526</v>
      </c>
      <c r="I29" s="37">
        <f>('Raw Values'!$U29+H29)*(0.1^($B29/'Raw Values'!$AC29))</f>
        <v>2.04506457</v>
      </c>
      <c r="J29" s="37">
        <f>('Raw Values'!$U29+I29)*(0.1^($B29/'Raw Values'!$AC29))</f>
        <v>2.060016708</v>
      </c>
      <c r="K29" s="37">
        <f>('Raw Values'!$U29+J29)*(0.1^($B29/'Raw Values'!$AC29))</f>
        <v>2.063145347</v>
      </c>
      <c r="L29" s="37">
        <f>('Raw Values'!$U29+K29)*(0.1^($B29/'Raw Values'!$AC29))</f>
        <v>2.063799995</v>
      </c>
      <c r="M29" s="37">
        <f>('Raw Values'!$U29+L29)*(0.1^($B29/'Raw Values'!$AC29))</f>
        <v>2.063936976</v>
      </c>
      <c r="N29" s="37">
        <f>('Raw Values'!$U29+M29)*(0.1^($B29/'Raw Values'!$AC29))</f>
        <v>2.063965638</v>
      </c>
      <c r="O29" s="37">
        <f>('Raw Values'!$U29+N29)*(0.1^($B29/'Raw Values'!$AC29))</f>
        <v>2.063971635</v>
      </c>
      <c r="P29" s="37">
        <f>('Raw Values'!$U29+O29)*(0.1^($B29/'Raw Values'!$AC29))</f>
        <v>2.06397289</v>
      </c>
      <c r="Q29" s="37">
        <f>('Raw Values'!$U29+P29)*(0.1^($B29/'Raw Values'!$AC29))</f>
        <v>2.063973153</v>
      </c>
      <c r="R29" s="37">
        <f>('Raw Values'!$U29+Q29)*(0.1^($B29/'Raw Values'!$AC29))</f>
        <v>2.063973208</v>
      </c>
      <c r="S29" s="37">
        <f>('Raw Values'!$U29+R29)*(0.1^($B29/'Raw Values'!$AC29))</f>
        <v>2.063973219</v>
      </c>
      <c r="T29" s="37">
        <f>('Raw Values'!$U29+S29)*(0.1^($B29/'Raw Values'!$AC29))</f>
        <v>2.063973222</v>
      </c>
    </row>
    <row r="30" ht="15.75" customHeight="1">
      <c r="A30" s="61" t="s">
        <v>166</v>
      </c>
      <c r="B30" s="32">
        <v>0.25</v>
      </c>
      <c r="C30" s="34">
        <f>'Raw Values'!U30</f>
        <v>7.29</v>
      </c>
      <c r="D30" s="43">
        <f>'Raw Values'!AC30</f>
        <v>0.429727</v>
      </c>
      <c r="E30" s="130"/>
      <c r="F30" s="35">
        <v>0.0</v>
      </c>
      <c r="G30" s="37">
        <f>'Raw Values'!$U30*(0.1^(B30/'Raw Values'!$AC30))</f>
        <v>1.909689792</v>
      </c>
      <c r="H30" s="37">
        <f>('Raw Values'!$U30+G30)*(0.1^($B30/'Raw Values'!$AC30))</f>
        <v>2.409952494</v>
      </c>
      <c r="I30" s="37">
        <f>('Raw Values'!$U30+H30)*(0.1^($B30/'Raw Values'!$AC30))</f>
        <v>2.541001407</v>
      </c>
      <c r="J30" s="37">
        <f>('Raw Values'!$U30+I30)*(0.1^($B30/'Raw Values'!$AC30))</f>
        <v>2.575331005</v>
      </c>
      <c r="K30" s="37">
        <f>('Raw Values'!$U30+J30)*(0.1^($B30/'Raw Values'!$AC30))</f>
        <v>2.584323993</v>
      </c>
      <c r="L30" s="37">
        <f>('Raw Values'!$U30+K30)*(0.1^($B30/'Raw Values'!$AC30))</f>
        <v>2.586679798</v>
      </c>
      <c r="M30" s="37">
        <f>('Raw Values'!$U30+L30)*(0.1^($B30/'Raw Values'!$AC30))</f>
        <v>2.587296925</v>
      </c>
      <c r="N30" s="37">
        <f>('Raw Values'!$U30+M30)*(0.1^($B30/'Raw Values'!$AC30))</f>
        <v>2.587458588</v>
      </c>
      <c r="O30" s="37">
        <f>('Raw Values'!$U30+N30)*(0.1^($B30/'Raw Values'!$AC30))</f>
        <v>2.587500937</v>
      </c>
      <c r="P30" s="37">
        <f>('Raw Values'!$U30+O30)*(0.1^($B30/'Raw Values'!$AC30))</f>
        <v>2.587512031</v>
      </c>
      <c r="Q30" s="37">
        <f>('Raw Values'!$U30+P30)*(0.1^($B30/'Raw Values'!$AC30))</f>
        <v>2.587514937</v>
      </c>
      <c r="R30" s="37">
        <f>('Raw Values'!$U30+Q30)*(0.1^($B30/'Raw Values'!$AC30))</f>
        <v>2.587515698</v>
      </c>
      <c r="S30" s="37">
        <f>('Raw Values'!$U30+R30)*(0.1^($B30/'Raw Values'!$AC30))</f>
        <v>2.587515898</v>
      </c>
      <c r="T30" s="37">
        <f>('Raw Values'!$U30+S30)*(0.1^($B30/'Raw Values'!$AC30))</f>
        <v>2.58751595</v>
      </c>
    </row>
    <row r="31" ht="15.75" customHeight="1">
      <c r="A31" s="61" t="s">
        <v>168</v>
      </c>
      <c r="B31" s="32">
        <v>0.25</v>
      </c>
      <c r="C31" s="34">
        <f>'Raw Values'!U31</f>
        <v>6.05</v>
      </c>
      <c r="D31" s="43">
        <f>'Raw Values'!AC31</f>
        <v>0.25</v>
      </c>
      <c r="E31" s="130"/>
      <c r="F31" s="35">
        <v>0.0</v>
      </c>
      <c r="G31" s="37">
        <f>'Raw Values'!$U31*(0.1^(B31/'Raw Values'!$AC31))</f>
        <v>0.605</v>
      </c>
      <c r="H31" s="37">
        <f>('Raw Values'!$U31+G31)*(0.1^($B31/'Raw Values'!$AC31))</f>
        <v>0.6655</v>
      </c>
      <c r="I31" s="37">
        <f>('Raw Values'!$U31+H31)*(0.1^($B31/'Raw Values'!$AC31))</f>
        <v>0.67155</v>
      </c>
      <c r="J31" s="37">
        <f>('Raw Values'!$U31+I31)*(0.1^($B31/'Raw Values'!$AC31))</f>
        <v>0.672155</v>
      </c>
      <c r="K31" s="37">
        <f>('Raw Values'!$U31+J31)*(0.1^($B31/'Raw Values'!$AC31))</f>
        <v>0.6722155</v>
      </c>
      <c r="L31" s="37">
        <f>('Raw Values'!$U31+K31)*(0.1^($B31/'Raw Values'!$AC31))</f>
        <v>0.67222155</v>
      </c>
      <c r="M31" s="37">
        <f>('Raw Values'!$U31+L31)*(0.1^($B31/'Raw Values'!$AC31))</f>
        <v>0.672222155</v>
      </c>
      <c r="N31" s="37">
        <f>('Raw Values'!$U31+M31)*(0.1^($B31/'Raw Values'!$AC31))</f>
        <v>0.6722222155</v>
      </c>
      <c r="O31" s="37">
        <f>('Raw Values'!$U31+N31)*(0.1^($B31/'Raw Values'!$AC31))</f>
        <v>0.6722222216</v>
      </c>
      <c r="P31" s="37">
        <f>('Raw Values'!$U31+O31)*(0.1^($B31/'Raw Values'!$AC31))</f>
        <v>0.6722222222</v>
      </c>
      <c r="Q31" s="37">
        <f>('Raw Values'!$U31+P31)*(0.1^($B31/'Raw Values'!$AC31))</f>
        <v>0.6722222222</v>
      </c>
      <c r="R31" s="37">
        <f>('Raw Values'!$U31+Q31)*(0.1^($B31/'Raw Values'!$AC31))</f>
        <v>0.6722222222</v>
      </c>
      <c r="S31" s="37">
        <f>('Raw Values'!$U31+R31)*(0.1^($B31/'Raw Values'!$AC31))</f>
        <v>0.6722222222</v>
      </c>
      <c r="T31" s="37">
        <f>('Raw Values'!$U31+S31)*(0.1^($B31/'Raw Values'!$AC31))</f>
        <v>0.6722222222</v>
      </c>
    </row>
    <row r="32" ht="15.75" customHeight="1">
      <c r="A32" s="66" t="s">
        <v>170</v>
      </c>
      <c r="B32" s="32">
        <v>0.25</v>
      </c>
      <c r="C32" s="34">
        <f>'Raw Values'!U32</f>
        <v>7</v>
      </c>
      <c r="D32" s="43">
        <f>'Raw Values'!AC32</f>
        <v>0.3</v>
      </c>
      <c r="E32" s="130"/>
      <c r="F32" s="35">
        <v>0.0</v>
      </c>
      <c r="G32" s="37">
        <f>'Raw Values'!$U32*(0.1^(B32/'Raw Values'!$AC32))</f>
        <v>1.027459487</v>
      </c>
      <c r="H32" s="37">
        <f>('Raw Values'!$U32+G32)*(0.1^($B32/'Raw Values'!$AC32))</f>
        <v>1.178269916</v>
      </c>
      <c r="I32" s="37">
        <f>('Raw Values'!$U32+H32)*(0.1^($B32/'Raw Values'!$AC32))</f>
        <v>1.200405859</v>
      </c>
      <c r="J32" s="37">
        <f>('Raw Values'!$U32+I32)*(0.1^($B32/'Raw Values'!$AC32))</f>
        <v>1.203654971</v>
      </c>
      <c r="K32" s="37">
        <f>('Raw Values'!$U32+J32)*(0.1^($B32/'Raw Values'!$AC32))</f>
        <v>1.204131876</v>
      </c>
      <c r="L32" s="37">
        <f>('Raw Values'!$U32+K32)*(0.1^($B32/'Raw Values'!$AC32))</f>
        <v>1.204201876</v>
      </c>
      <c r="M32" s="37">
        <f>('Raw Values'!$U32+L32)*(0.1^($B32/'Raw Values'!$AC32))</f>
        <v>1.20421215</v>
      </c>
      <c r="N32" s="37">
        <f>('Raw Values'!$U32+M32)*(0.1^($B32/'Raw Values'!$AC32))</f>
        <v>1.204213659</v>
      </c>
      <c r="O32" s="37">
        <f>('Raw Values'!$U32+N32)*(0.1^($B32/'Raw Values'!$AC32))</f>
        <v>1.20421388</v>
      </c>
      <c r="P32" s="37">
        <f>('Raw Values'!$U32+O32)*(0.1^($B32/'Raw Values'!$AC32))</f>
        <v>1.204213912</v>
      </c>
      <c r="Q32" s="37">
        <f>('Raw Values'!$U32+P32)*(0.1^($B32/'Raw Values'!$AC32))</f>
        <v>1.204213917</v>
      </c>
      <c r="R32" s="37">
        <f>('Raw Values'!$U32+Q32)*(0.1^($B32/'Raw Values'!$AC32))</f>
        <v>1.204213918</v>
      </c>
      <c r="S32" s="37">
        <f>('Raw Values'!$U32+R32)*(0.1^($B32/'Raw Values'!$AC32))</f>
        <v>1.204213918</v>
      </c>
      <c r="T32" s="37">
        <f>('Raw Values'!$U32+S32)*(0.1^($B32/'Raw Values'!$AC32))</f>
        <v>1.204213918</v>
      </c>
    </row>
    <row r="33" ht="15.75" customHeight="1">
      <c r="A33" s="61" t="s">
        <v>171</v>
      </c>
      <c r="B33" s="32">
        <v>0.25</v>
      </c>
      <c r="C33" s="34">
        <f>'Raw Values'!U33</f>
        <v>7</v>
      </c>
      <c r="D33" s="43">
        <f>'Raw Values'!AC33</f>
        <v>0.338941</v>
      </c>
      <c r="E33" s="130"/>
      <c r="F33" s="35">
        <v>0.0</v>
      </c>
      <c r="G33" s="37">
        <f>'Raw Values'!$U33*(0.1^(B33/'Raw Values'!$AC33))</f>
        <v>1.280874388</v>
      </c>
      <c r="H33" s="37">
        <f>('Raw Values'!$U33+G33)*(0.1^($B33/'Raw Values'!$AC33))</f>
        <v>1.515251417</v>
      </c>
      <c r="I33" s="37">
        <f>('Raw Values'!$U33+H33)*(0.1^($B33/'Raw Values'!$AC33))</f>
        <v>1.558138207</v>
      </c>
      <c r="J33" s="37">
        <f>('Raw Values'!$U33+I33)*(0.1^($B33/'Raw Values'!$AC33))</f>
        <v>1.56598572</v>
      </c>
      <c r="K33" s="37">
        <f>('Raw Values'!$U33+J33)*(0.1^($B33/'Raw Values'!$AC33))</f>
        <v>1.567421674</v>
      </c>
      <c r="L33" s="37">
        <f>('Raw Values'!$U33+K33)*(0.1^($B33/'Raw Values'!$AC33))</f>
        <v>1.567684428</v>
      </c>
      <c r="M33" s="37">
        <f>('Raw Values'!$U33+L33)*(0.1^($B33/'Raw Values'!$AC33))</f>
        <v>1.567732507</v>
      </c>
      <c r="N33" s="37">
        <f>('Raw Values'!$U33+M33)*(0.1^($B33/'Raw Values'!$AC33))</f>
        <v>1.567741305</v>
      </c>
      <c r="O33" s="37">
        <f>('Raw Values'!$U33+N33)*(0.1^($B33/'Raw Values'!$AC33))</f>
        <v>1.567742915</v>
      </c>
      <c r="P33" s="37">
        <f>('Raw Values'!$U33+O33)*(0.1^($B33/'Raw Values'!$AC33))</f>
        <v>1.567743209</v>
      </c>
      <c r="Q33" s="37">
        <f>('Raw Values'!$U33+P33)*(0.1^($B33/'Raw Values'!$AC33))</f>
        <v>1.567743263</v>
      </c>
      <c r="R33" s="37">
        <f>('Raw Values'!$U33+Q33)*(0.1^($B33/'Raw Values'!$AC33))</f>
        <v>1.567743273</v>
      </c>
      <c r="S33" s="37">
        <f>('Raw Values'!$U33+R33)*(0.1^($B33/'Raw Values'!$AC33))</f>
        <v>1.567743275</v>
      </c>
      <c r="T33" s="37">
        <f>('Raw Values'!$U33+S33)*(0.1^($B33/'Raw Values'!$AC33))</f>
        <v>1.567743275</v>
      </c>
    </row>
    <row r="34" ht="15.75" customHeight="1">
      <c r="A34" s="61" t="s">
        <v>173</v>
      </c>
      <c r="B34" s="32">
        <v>0.25</v>
      </c>
      <c r="C34" s="34">
        <f>'Raw Values'!U34</f>
        <v>12</v>
      </c>
      <c r="D34" s="43">
        <f>'Raw Values'!AC34</f>
        <v>0.338941</v>
      </c>
      <c r="E34" s="130"/>
      <c r="F34" s="35">
        <v>0.0</v>
      </c>
      <c r="G34" s="37">
        <f>'Raw Values'!$AK34*(0.1^(B34/'Raw Values'!$AC34))</f>
        <v>1.280874388</v>
      </c>
      <c r="H34" s="37">
        <f>('Raw Values'!$AK34+G34)*(0.1^($B34/'Raw Values'!$AC34))</f>
        <v>1.515251417</v>
      </c>
      <c r="I34" s="37">
        <f>('Raw Values'!$AK34+H34)*(0.1^($B34/'Raw Values'!$AC34))</f>
        <v>1.558138207</v>
      </c>
      <c r="J34" s="37">
        <f>('Raw Values'!$AK34+I34)*(0.1^($B34/'Raw Values'!$AC34))</f>
        <v>1.56598572</v>
      </c>
      <c r="K34" s="37">
        <f>('Raw Values'!$AK34+J34)*(0.1^($B34/'Raw Values'!$AC34))</f>
        <v>1.567421674</v>
      </c>
      <c r="L34" s="37">
        <f>('Raw Values'!$AK34+K34)*(0.1^($B34/'Raw Values'!$AC34))</f>
        <v>1.567684428</v>
      </c>
      <c r="M34" s="37">
        <f>('Raw Values'!$AK34+L34)*(0.1^($B34/'Raw Values'!$AC34))</f>
        <v>1.567732507</v>
      </c>
      <c r="N34" s="37">
        <f>('Raw Values'!$AK34+M34)*(0.1^($B34/'Raw Values'!$AC34))</f>
        <v>1.567741305</v>
      </c>
      <c r="O34" s="37">
        <f>('Raw Values'!$AK34+N34)*(0.1^($B34/'Raw Values'!$AC34))</f>
        <v>1.567742915</v>
      </c>
      <c r="P34" s="37">
        <f>('Raw Values'!$AK34+O34)*(0.1^($B34/'Raw Values'!$AC34))</f>
        <v>1.567743209</v>
      </c>
      <c r="Q34" s="37">
        <f>('Raw Values'!$AK34+P34)*(0.1^($B34/'Raw Values'!$AC34))</f>
        <v>1.567743263</v>
      </c>
      <c r="R34" s="37">
        <f>('Raw Values'!$AK34+Q34)*(0.1^($B34/'Raw Values'!$AC34))</f>
        <v>1.567743273</v>
      </c>
      <c r="S34" s="37">
        <f>('Raw Values'!$AK34+R34)*(0.1^($B34/'Raw Values'!$AC34))</f>
        <v>1.567743275</v>
      </c>
      <c r="T34" s="37">
        <f>('Raw Values'!$AK34+S34)*(0.1^($B34/'Raw Values'!$AC34))</f>
        <v>1.567743275</v>
      </c>
    </row>
    <row r="35" ht="15.75" customHeight="1">
      <c r="A35" s="66" t="s">
        <v>175</v>
      </c>
      <c r="B35" s="32">
        <v>0.25</v>
      </c>
      <c r="C35" s="34">
        <f>'Raw Values'!U35</f>
        <v>6.68</v>
      </c>
      <c r="D35" s="43">
        <f>'Raw Values'!AC35</f>
        <v>0.452886</v>
      </c>
      <c r="E35" s="130"/>
      <c r="F35" s="35">
        <v>0.0</v>
      </c>
      <c r="G35" s="37">
        <f>'Raw Values'!$U35*(0.1^(B35/'Raw Values'!$AC35))</f>
        <v>1.873963661</v>
      </c>
      <c r="H35" s="37">
        <f>('Raw Values'!$U35+G35)*(0.1^($B35/'Raw Values'!$AC35))</f>
        <v>2.399673212</v>
      </c>
      <c r="I35" s="37">
        <f>('Raw Values'!$U35+H35)*(0.1^($B35/'Raw Values'!$AC35))</f>
        <v>2.547152344</v>
      </c>
      <c r="J35" s="37">
        <f>('Raw Values'!$U35+I35)*(0.1^($B35/'Raw Values'!$AC35))</f>
        <v>2.588525178</v>
      </c>
      <c r="K35" s="37">
        <f>('Raw Values'!$U35+J35)*(0.1^($B35/'Raw Values'!$AC35))</f>
        <v>2.600131643</v>
      </c>
      <c r="L35" s="37">
        <f>('Raw Values'!$U35+K35)*(0.1^($B35/'Raw Values'!$AC35))</f>
        <v>2.603387645</v>
      </c>
      <c r="M35" s="37">
        <f>('Raw Values'!$U35+L35)*(0.1^($B35/'Raw Values'!$AC35))</f>
        <v>2.604301063</v>
      </c>
      <c r="N35" s="37">
        <f>('Raw Values'!$U35+M35)*(0.1^($B35/'Raw Values'!$AC35))</f>
        <v>2.604557307</v>
      </c>
      <c r="O35" s="37">
        <f>('Raw Values'!$U35+N35)*(0.1^($B35/'Raw Values'!$AC35))</f>
        <v>2.604629192</v>
      </c>
      <c r="P35" s="37">
        <f>('Raw Values'!$U35+O35)*(0.1^($B35/'Raw Values'!$AC35))</f>
        <v>2.604649358</v>
      </c>
      <c r="Q35" s="37">
        <f>('Raw Values'!$U35+P35)*(0.1^($B35/'Raw Values'!$AC35))</f>
        <v>2.604655015</v>
      </c>
      <c r="R35" s="37">
        <f>('Raw Values'!$U35+Q35)*(0.1^($B35/'Raw Values'!$AC35))</f>
        <v>2.604656603</v>
      </c>
      <c r="S35" s="37">
        <f>('Raw Values'!$U35+R35)*(0.1^($B35/'Raw Values'!$AC35))</f>
        <v>2.604657048</v>
      </c>
      <c r="T35" s="37">
        <f>('Raw Values'!$U35+S35)*(0.1^($B35/'Raw Values'!$AC35))</f>
        <v>2.604657173</v>
      </c>
    </row>
    <row r="36" ht="15.75" customHeight="1">
      <c r="A36" s="75"/>
      <c r="B36" s="77"/>
      <c r="C36" s="147"/>
      <c r="D36" s="148"/>
      <c r="E36" s="150"/>
      <c r="F36" s="80"/>
      <c r="G36" s="80"/>
      <c r="H36" s="80"/>
      <c r="I36" s="80"/>
      <c r="J36" s="80"/>
      <c r="K36" s="80"/>
      <c r="L36" s="80"/>
      <c r="M36" s="80"/>
      <c r="N36" s="80"/>
      <c r="O36" s="80"/>
      <c r="P36" s="80"/>
      <c r="Q36" s="80"/>
      <c r="R36" s="80"/>
      <c r="S36" s="80"/>
      <c r="T36" s="80"/>
    </row>
    <row r="37" ht="15.75" customHeight="1">
      <c r="A37" s="5" t="s">
        <v>177</v>
      </c>
      <c r="B37" s="11" t="s">
        <v>222</v>
      </c>
      <c r="C37" s="9" t="s">
        <v>204</v>
      </c>
      <c r="D37" s="21" t="s">
        <v>205</v>
      </c>
      <c r="E37" s="125"/>
      <c r="F37" s="155">
        <v>1.0</v>
      </c>
      <c r="G37" s="156">
        <v>2.0</v>
      </c>
      <c r="H37" s="156">
        <v>3.0</v>
      </c>
      <c r="I37" s="156">
        <v>4.0</v>
      </c>
      <c r="J37" s="156">
        <v>5.0</v>
      </c>
      <c r="K37" s="156">
        <v>6.0</v>
      </c>
      <c r="L37" s="156">
        <v>7.0</v>
      </c>
      <c r="M37" s="156">
        <v>8.0</v>
      </c>
      <c r="N37" s="156">
        <v>9.0</v>
      </c>
      <c r="O37" s="156">
        <v>10.0</v>
      </c>
      <c r="P37" s="156">
        <v>11.0</v>
      </c>
      <c r="Q37" s="156">
        <v>12.0</v>
      </c>
      <c r="R37" s="156">
        <v>13.0</v>
      </c>
      <c r="S37" s="156">
        <v>14.0</v>
      </c>
      <c r="T37" s="156">
        <v>15.0</v>
      </c>
    </row>
    <row r="38" ht="15.75" customHeight="1">
      <c r="A38" s="28" t="s">
        <v>179</v>
      </c>
      <c r="B38" s="32">
        <v>0.25</v>
      </c>
      <c r="C38" s="34">
        <f>'Raw Values'!U38</f>
        <v>3.56</v>
      </c>
      <c r="D38" s="43">
        <f>'Raw Values'!AC38</f>
        <v>0.828931</v>
      </c>
      <c r="E38" s="130"/>
      <c r="F38" s="35">
        <v>0.0</v>
      </c>
      <c r="G38" s="37">
        <f>'Raw Values'!$U38*(0.1^(B38/'Raw Values'!$AC38))</f>
        <v>1.777692913</v>
      </c>
      <c r="H38" s="37">
        <f>('Raw Values'!$U38+G38)*(0.1^($B38/'Raw Values'!$AC38))</f>
        <v>2.665387322</v>
      </c>
      <c r="I38" s="37">
        <f>('Raw Values'!$U38+H38)*(0.1^($B38/'Raw Values'!$AC38))</f>
        <v>3.108659248</v>
      </c>
      <c r="J38" s="37">
        <f>('Raw Values'!$U38+I38)*(0.1^($B38/'Raw Values'!$AC38))</f>
        <v>3.330007946</v>
      </c>
      <c r="K38" s="37">
        <f>('Raw Values'!$U38+J38)*(0.1^($B38/'Raw Values'!$AC38))</f>
        <v>3.440538848</v>
      </c>
      <c r="L38" s="37">
        <f>('Raw Values'!$U38+K38)*(0.1^($B38/'Raw Values'!$AC38))</f>
        <v>3.495732668</v>
      </c>
      <c r="M38" s="37">
        <f>('Raw Values'!$U38+L38)*(0.1^($B38/'Raw Values'!$AC38))</f>
        <v>3.52329381</v>
      </c>
      <c r="N38" s="37">
        <f>('Raw Values'!$U38+M38)*(0.1^($B38/'Raw Values'!$AC38))</f>
        <v>3.537056519</v>
      </c>
      <c r="O38" s="37">
        <f>('Raw Values'!$U38+N38)*(0.1^($B38/'Raw Values'!$AC38))</f>
        <v>3.543928955</v>
      </c>
      <c r="P38" s="37">
        <f>('Raw Values'!$U38+O38)*(0.1^($B38/'Raw Values'!$AC38))</f>
        <v>3.547360719</v>
      </c>
      <c r="Q38" s="37">
        <f>('Raw Values'!$U38+P38)*(0.1^($B38/'Raw Values'!$AC38))</f>
        <v>3.549074377</v>
      </c>
      <c r="R38" s="37">
        <f>('Raw Values'!$U38+Q38)*(0.1^($B38/'Raw Values'!$AC38))</f>
        <v>3.549930095</v>
      </c>
      <c r="S38" s="37">
        <f>('Raw Values'!$U38+R38)*(0.1^($B38/'Raw Values'!$AC38))</f>
        <v>3.5503574</v>
      </c>
      <c r="T38" s="37">
        <f>('Raw Values'!$U38+S38)*(0.1^($B38/'Raw Values'!$AC38))</f>
        <v>3.550570776</v>
      </c>
    </row>
    <row r="39" ht="15.75" customHeight="1">
      <c r="A39" s="28" t="s">
        <v>181</v>
      </c>
      <c r="B39" s="32">
        <v>0.25</v>
      </c>
      <c r="C39" s="34">
        <f>'Raw Values'!U39</f>
        <v>30</v>
      </c>
      <c r="D39" s="43">
        <f>'Raw Values'!AC39</f>
        <v>0.3</v>
      </c>
      <c r="E39" s="130"/>
      <c r="F39" s="35">
        <v>0.0</v>
      </c>
      <c r="G39" s="37">
        <f>'Raw Values'!$U39*(0.1^(B39/'Raw Values'!$AC39))</f>
        <v>4.403397803</v>
      </c>
      <c r="H39" s="37">
        <f>('Raw Values'!$U39+G39)*(0.1^($B39/'Raw Values'!$AC39))</f>
        <v>5.04972821</v>
      </c>
      <c r="I39" s="37">
        <f>('Raw Values'!$U39+H39)*(0.1^($B39/'Raw Values'!$AC39))</f>
        <v>5.14459654</v>
      </c>
      <c r="J39" s="37">
        <f>('Raw Values'!$U39+I39)*(0.1^($B39/'Raw Values'!$AC39))</f>
        <v>5.158521306</v>
      </c>
      <c r="K39" s="37">
        <f>('Raw Values'!$U39+J39)*(0.1^($B39/'Raw Values'!$AC39))</f>
        <v>5.160565182</v>
      </c>
      <c r="L39" s="37">
        <f>('Raw Values'!$U39+K39)*(0.1^($B39/'Raw Values'!$AC39))</f>
        <v>5.160865182</v>
      </c>
      <c r="M39" s="37">
        <f>('Raw Values'!$U39+L39)*(0.1^($B39/'Raw Values'!$AC39))</f>
        <v>5.160909216</v>
      </c>
      <c r="N39" s="37">
        <f>('Raw Values'!$U39+M39)*(0.1^($B39/'Raw Values'!$AC39))</f>
        <v>5.16091568</v>
      </c>
      <c r="O39" s="37">
        <f>('Raw Values'!$U39+N39)*(0.1^($B39/'Raw Values'!$AC39))</f>
        <v>5.160916628</v>
      </c>
      <c r="P39" s="37">
        <f>('Raw Values'!$U39+O39)*(0.1^($B39/'Raw Values'!$AC39))</f>
        <v>5.160916768</v>
      </c>
      <c r="Q39" s="37">
        <f>('Raw Values'!$U39+P39)*(0.1^($B39/'Raw Values'!$AC39))</f>
        <v>5.160916788</v>
      </c>
      <c r="R39" s="37">
        <f>('Raw Values'!$U39+Q39)*(0.1^($B39/'Raw Values'!$AC39))</f>
        <v>5.160916791</v>
      </c>
      <c r="S39" s="37">
        <f>('Raw Values'!$U39+R39)*(0.1^($B39/'Raw Values'!$AC39))</f>
        <v>5.160916791</v>
      </c>
      <c r="T39" s="37">
        <f>('Raw Values'!$U39+S39)*(0.1^($B39/'Raw Values'!$AC39))</f>
        <v>5.160916792</v>
      </c>
    </row>
    <row r="40" ht="15.75" customHeight="1">
      <c r="A40" s="75"/>
      <c r="B40" s="77"/>
      <c r="C40" s="147"/>
      <c r="D40" s="148"/>
      <c r="E40" s="150"/>
      <c r="F40" s="80"/>
      <c r="G40" s="80"/>
      <c r="H40" s="80"/>
      <c r="I40" s="80"/>
      <c r="J40" s="80"/>
      <c r="K40" s="80"/>
      <c r="L40" s="80"/>
      <c r="M40" s="80"/>
      <c r="N40" s="80"/>
      <c r="O40" s="80"/>
      <c r="P40" s="80"/>
      <c r="Q40" s="80"/>
      <c r="R40" s="80"/>
      <c r="S40" s="80"/>
      <c r="T40" s="80"/>
    </row>
    <row r="41" ht="15.75" customHeight="1">
      <c r="A41" s="5" t="s">
        <v>184</v>
      </c>
      <c r="B41" s="11" t="s">
        <v>222</v>
      </c>
      <c r="C41" s="9" t="s">
        <v>204</v>
      </c>
      <c r="D41" s="21" t="s">
        <v>205</v>
      </c>
      <c r="E41" s="125"/>
      <c r="F41" s="155">
        <v>1.0</v>
      </c>
      <c r="G41" s="156">
        <v>2.0</v>
      </c>
      <c r="H41" s="156">
        <v>3.0</v>
      </c>
      <c r="I41" s="156">
        <v>4.0</v>
      </c>
      <c r="J41" s="156">
        <v>5.0</v>
      </c>
      <c r="K41" s="156">
        <v>6.0</v>
      </c>
      <c r="L41" s="156">
        <v>7.0</v>
      </c>
      <c r="M41" s="156">
        <v>8.0</v>
      </c>
      <c r="N41" s="156">
        <v>9.0</v>
      </c>
      <c r="O41" s="156">
        <v>10.0</v>
      </c>
      <c r="P41" s="156">
        <v>11.0</v>
      </c>
      <c r="Q41" s="156">
        <v>12.0</v>
      </c>
      <c r="R41" s="156">
        <v>13.0</v>
      </c>
      <c r="S41" s="156">
        <v>14.0</v>
      </c>
      <c r="T41" s="156">
        <v>15.0</v>
      </c>
    </row>
    <row r="42" ht="15.75" customHeight="1">
      <c r="A42" s="28" t="s">
        <v>186</v>
      </c>
      <c r="B42" s="32">
        <f>'Raw Values'!E42</f>
        <v>1.455</v>
      </c>
      <c r="C42" s="34">
        <f>'Raw Values'!U42</f>
        <v>53.85</v>
      </c>
      <c r="D42" s="43">
        <f>'Raw Values'!AC42</f>
        <v>0.34539</v>
      </c>
      <c r="E42" s="130"/>
      <c r="F42" s="35">
        <v>0.0</v>
      </c>
      <c r="G42" s="37">
        <f>'Raw Values'!$AK42*(0.1^(B42/'Raw Values'!$AC42))</f>
        <v>0.003300323455</v>
      </c>
      <c r="H42" s="37">
        <f>('Raw Values'!$AK42+G42)*(0.1^($B42/'Raw Values'!$AC42))</f>
        <v>0.003300525723</v>
      </c>
      <c r="I42" s="37">
        <f>('Raw Values'!$AK42+H42)*(0.1^($B42/'Raw Values'!$AC42))</f>
        <v>0.003300525735</v>
      </c>
      <c r="J42" s="37">
        <f>('Raw Values'!$AK42+I42)*(0.1^($B42/'Raw Values'!$AC42))</f>
        <v>0.003300525735</v>
      </c>
      <c r="K42" s="37">
        <f>('Raw Values'!$AK42+J42)*(0.1^($B42/'Raw Values'!$AC42))</f>
        <v>0.003300525735</v>
      </c>
      <c r="L42" s="37">
        <f>('Raw Values'!$AK42+K42)*(0.1^($B42/'Raw Values'!$AC42))</f>
        <v>0.003300525735</v>
      </c>
      <c r="M42" s="37">
        <f>('Raw Values'!$AK42+L42)*(0.1^($B42/'Raw Values'!$AC42))</f>
        <v>0.003300525735</v>
      </c>
      <c r="N42" s="37">
        <f>('Raw Values'!$AK42+M42)*(0.1^($B42/'Raw Values'!$AC42))</f>
        <v>0.003300525735</v>
      </c>
      <c r="O42" s="37">
        <f>('Raw Values'!$AK42+N42)*(0.1^($B42/'Raw Values'!$AC42))</f>
        <v>0.003300525735</v>
      </c>
      <c r="P42" s="145"/>
      <c r="Q42" s="145"/>
      <c r="R42" s="145"/>
      <c r="S42" s="145"/>
      <c r="T42" s="145"/>
    </row>
    <row r="43" ht="15.75" customHeight="1">
      <c r="A43" s="66" t="s">
        <v>188</v>
      </c>
      <c r="B43" s="32">
        <v>0.55</v>
      </c>
      <c r="C43" s="34">
        <f>'Raw Values'!U43</f>
        <v>18.61</v>
      </c>
      <c r="D43" s="43">
        <f>'Raw Values'!AC43</f>
        <v>0.544331</v>
      </c>
      <c r="E43" s="130"/>
      <c r="F43" s="35">
        <v>0.0</v>
      </c>
      <c r="G43" s="37">
        <f>'Raw Values'!$AK43*(0.1^(B43/'Raw Values'!$AC43))</f>
        <v>1.816903051</v>
      </c>
      <c r="H43" s="37">
        <f>('Raw Values'!$AK43+G43)*(0.1^($B43/'Raw Values'!$AC43))</f>
        <v>1.99428815</v>
      </c>
      <c r="I43" s="37">
        <f>('Raw Values'!$AK43+H43)*(0.1^($B43/'Raw Values'!$AC43))</f>
        <v>2.01160634</v>
      </c>
      <c r="J43" s="37">
        <f>('Raw Values'!$AK43+I43)*(0.1^($B43/'Raw Values'!$AC43))</f>
        <v>2.013297123</v>
      </c>
      <c r="K43" s="37">
        <f>('Raw Values'!$AK43+J43)*(0.1^($B43/'Raw Values'!$AC43))</f>
        <v>2.013462195</v>
      </c>
      <c r="L43" s="37">
        <f>('Raw Values'!$AK43+K43)*(0.1^($B43/'Raw Values'!$AC43))</f>
        <v>2.013478311</v>
      </c>
      <c r="M43" s="37">
        <f>('Raw Values'!$AK43+L43)*(0.1^($B43/'Raw Values'!$AC43))</f>
        <v>2.013479885</v>
      </c>
      <c r="N43" s="37">
        <f>('Raw Values'!$AK43+M43)*(0.1^($B43/'Raw Values'!$AC43))</f>
        <v>2.013480038</v>
      </c>
      <c r="O43" s="37">
        <f>('Raw Values'!$AK43+N43)*(0.1^($B43/'Raw Values'!$AC43))</f>
        <v>2.013480053</v>
      </c>
      <c r="P43" s="37">
        <f>('Raw Values'!$AK43+O43)*(0.1^($B43/'Raw Values'!$AC43))</f>
        <v>2.013480055</v>
      </c>
      <c r="Q43" s="37">
        <f>('Raw Values'!$AK43+P43)*(0.1^($B43/'Raw Values'!$AC43))</f>
        <v>2.013480055</v>
      </c>
      <c r="R43" s="37">
        <f>('Raw Values'!$AK43+Q43)*(0.1^($B43/'Raw Values'!$AC43))</f>
        <v>2.013480055</v>
      </c>
      <c r="S43" s="37">
        <f>('Raw Values'!$AK43+R43)*(0.1^($B43/'Raw Values'!$AC43))</f>
        <v>2.013480055</v>
      </c>
      <c r="T43" s="37">
        <f>('Raw Values'!$AK43+S43)*(0.1^($B43/'Raw Values'!$AC43))</f>
        <v>2.013480055</v>
      </c>
    </row>
    <row r="44" ht="15.75" customHeight="1">
      <c r="A44" s="61" t="s">
        <v>190</v>
      </c>
      <c r="B44" s="32">
        <v>0.55</v>
      </c>
      <c r="C44" s="34">
        <f>'Raw Values'!U44</f>
        <v>18.61</v>
      </c>
      <c r="D44" s="43">
        <f>'Raw Values'!AC44</f>
        <v>0.544331</v>
      </c>
      <c r="E44" s="130"/>
      <c r="F44" s="35">
        <v>0.0</v>
      </c>
      <c r="G44" s="37">
        <f>'Raw Values'!$AK44*(0.1^(B44/'Raw Values'!$AC44))</f>
        <v>1.816903051</v>
      </c>
      <c r="H44" s="37">
        <f>('Raw Values'!$AK44+G44)*(0.1^($B44/'Raw Values'!$AC44))</f>
        <v>1.99428815</v>
      </c>
      <c r="I44" s="37">
        <f>('Raw Values'!$AK44+H44)*(0.1^($B44/'Raw Values'!$AC44))</f>
        <v>2.01160634</v>
      </c>
      <c r="J44" s="37">
        <f>('Raw Values'!$AK44+I44)*(0.1^($B44/'Raw Values'!$AC44))</f>
        <v>2.013297123</v>
      </c>
      <c r="K44" s="37">
        <f>('Raw Values'!$AK44+J44)*(0.1^($B44/'Raw Values'!$AC44))</f>
        <v>2.013462195</v>
      </c>
      <c r="L44" s="37">
        <f>('Raw Values'!$AK44+K44)*(0.1^($B44/'Raw Values'!$AC44))</f>
        <v>2.013478311</v>
      </c>
      <c r="M44" s="37">
        <f>('Raw Values'!$AK44+L44)*(0.1^($B44/'Raw Values'!$AC44))</f>
        <v>2.013479885</v>
      </c>
      <c r="N44" s="37">
        <f>('Raw Values'!$AK44+M44)*(0.1^($B44/'Raw Values'!$AC44))</f>
        <v>2.013480038</v>
      </c>
      <c r="O44" s="37">
        <f>('Raw Values'!$AK44+N44)*(0.1^($B44/'Raw Values'!$AC44))</f>
        <v>2.013480053</v>
      </c>
      <c r="P44" s="37">
        <f>('Raw Values'!$AK44+O44)*(0.1^($B44/'Raw Values'!$AC44))</f>
        <v>2.013480055</v>
      </c>
      <c r="Q44" s="37">
        <f>('Raw Values'!$AK44+P44)*(0.1^($B44/'Raw Values'!$AC44))</f>
        <v>2.013480055</v>
      </c>
      <c r="R44" s="37">
        <f>('Raw Values'!$AK44+Q44)*(0.1^($B44/'Raw Values'!$AC44))</f>
        <v>2.013480055</v>
      </c>
      <c r="S44" s="37">
        <f>('Raw Values'!$AK44+R44)*(0.1^($B44/'Raw Values'!$AC44))</f>
        <v>2.013480055</v>
      </c>
      <c r="T44" s="37">
        <f>('Raw Values'!$AK44+S44)*(0.1^($B44/'Raw Values'!$AC44))</f>
        <v>2.013480055</v>
      </c>
    </row>
    <row r="45" ht="15.75" customHeight="1">
      <c r="A45" s="28" t="s">
        <v>192</v>
      </c>
      <c r="B45" s="32">
        <f>'Raw Values'!E45</f>
        <v>1.25</v>
      </c>
      <c r="C45" s="34">
        <f>'Raw Values'!U45</f>
        <v>22.92</v>
      </c>
      <c r="D45" s="43">
        <f>'Raw Values'!AC45</f>
        <v>0.142096</v>
      </c>
      <c r="E45" s="130"/>
      <c r="F45" s="35">
        <v>0.0</v>
      </c>
      <c r="G45" s="37">
        <f>'Raw Values'!$AK45*(0.1^(B45/'Raw Values'!$AC45))</f>
        <v>0.0000000365885241</v>
      </c>
      <c r="H45" s="37">
        <f>('Raw Values'!$AK45+G45)*(0.1^($B45/'Raw Values'!$AC45))</f>
        <v>0.00000003658852416</v>
      </c>
      <c r="I45" s="37">
        <f>('Raw Values'!$AK45+H45)*(0.1^($B45/'Raw Values'!$AC45))</f>
        <v>0.00000003658852416</v>
      </c>
      <c r="J45" s="37">
        <f>('Raw Values'!$AK45+I45)*(0.1^($B45/'Raw Values'!$AC45))</f>
        <v>0.00000003658852416</v>
      </c>
      <c r="K45" s="37">
        <f>('Raw Values'!$AK45+J45)*(0.1^($B45/'Raw Values'!$AC45))</f>
        <v>0.00000003658852416</v>
      </c>
      <c r="L45" s="37">
        <f>('Raw Values'!$AK45+K45)*(0.1^($B45/'Raw Values'!$AC45))</f>
        <v>0.00000003658852416</v>
      </c>
      <c r="M45" s="37">
        <f>('Raw Values'!$AK45+L45)*(0.1^($B45/'Raw Values'!$AC45))</f>
        <v>0.00000003658852416</v>
      </c>
      <c r="N45" s="37">
        <f>('Raw Values'!$AK45+M45)*(0.1^($B45/'Raw Values'!$AC45))</f>
        <v>0.00000003658852416</v>
      </c>
      <c r="O45" s="37">
        <f>('Raw Values'!$AK45+N45)*(0.1^($B45/'Raw Values'!$AC45))</f>
        <v>0.00000003658852416</v>
      </c>
      <c r="P45" s="145"/>
      <c r="Q45" s="145"/>
      <c r="R45" s="145"/>
      <c r="S45" s="145"/>
      <c r="T45" s="145"/>
    </row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0"/>
  <cols>
    <col customWidth="1" min="1" max="1" width="14.57"/>
    <col customWidth="1" min="2" max="4" width="11.71"/>
    <col customWidth="1" min="5" max="5" width="4.57"/>
    <col customWidth="1" min="6" max="20" width="11.71"/>
  </cols>
  <sheetData>
    <row r="1" ht="15.75" customHeight="1">
      <c r="A1" s="5" t="s">
        <v>1</v>
      </c>
      <c r="B1" s="157" t="s">
        <v>222</v>
      </c>
      <c r="C1" s="9" t="s">
        <v>204</v>
      </c>
      <c r="D1" s="21" t="s">
        <v>205</v>
      </c>
      <c r="E1" s="125"/>
      <c r="F1" s="127">
        <v>1.0</v>
      </c>
      <c r="G1" s="127">
        <v>2.0</v>
      </c>
      <c r="H1" s="127">
        <v>3.0</v>
      </c>
      <c r="I1" s="127">
        <v>4.0</v>
      </c>
      <c r="J1" s="127">
        <v>5.0</v>
      </c>
      <c r="K1" s="127">
        <v>6.0</v>
      </c>
      <c r="L1" s="127">
        <v>7.0</v>
      </c>
      <c r="M1" s="127">
        <v>8.0</v>
      </c>
      <c r="N1" s="127">
        <v>9.0</v>
      </c>
      <c r="O1" s="127">
        <v>10.0</v>
      </c>
      <c r="P1" s="127">
        <v>11.0</v>
      </c>
      <c r="Q1" s="127">
        <v>12.0</v>
      </c>
      <c r="R1" s="127">
        <v>13.0</v>
      </c>
      <c r="S1" s="127">
        <v>14.0</v>
      </c>
      <c r="T1" s="127">
        <v>15.0</v>
      </c>
    </row>
    <row r="2" ht="15.75" customHeight="1">
      <c r="A2" s="28" t="s">
        <v>104</v>
      </c>
      <c r="B2" s="57">
        <f>'Firing Inaccuracy(Tapping) Raw'!B2</f>
        <v>0.55</v>
      </c>
      <c r="C2" s="34">
        <f>'Raw Values'!U2</f>
        <v>72.23</v>
      </c>
      <c r="D2" s="43">
        <f>'Raw Values'!AC2</f>
        <v>0.8112</v>
      </c>
      <c r="E2" s="130"/>
      <c r="F2" s="34">
        <f>'Firing Inaccuracy(Tapping) Raw'!F2+Analysis!$C2</f>
        <v>6.2</v>
      </c>
      <c r="G2" s="34">
        <f>'Firing Inaccuracy(Tapping) Raw'!G2+Analysis!$C2</f>
        <v>21.36036737</v>
      </c>
      <c r="H2" s="34">
        <f>'Firing Inaccuracy(Tapping) Raw'!H2+Analysis!$C2</f>
        <v>24.54237953</v>
      </c>
      <c r="I2" s="34">
        <f>'Firing Inaccuracy(Tapping) Raw'!I2+Analysis!$C2</f>
        <v>25.21025263</v>
      </c>
      <c r="J2" s="34">
        <f>'Firing Inaccuracy(Tapping) Raw'!J2+Analysis!$C2</f>
        <v>25.35043263</v>
      </c>
      <c r="K2" s="34">
        <f>'Firing Inaccuracy(Tapping) Raw'!K2+Analysis!$C2</f>
        <v>25.37985503</v>
      </c>
      <c r="L2" s="34">
        <f>'Firing Inaccuracy(Tapping) Raw'!L2+Analysis!$C2</f>
        <v>25.3860305</v>
      </c>
      <c r="M2" s="53"/>
      <c r="N2" s="53"/>
      <c r="O2" s="53"/>
      <c r="P2" s="53"/>
      <c r="Q2" s="53"/>
      <c r="R2" s="53"/>
      <c r="S2" s="53"/>
      <c r="T2" s="53"/>
    </row>
    <row r="3" ht="15.75" customHeight="1">
      <c r="A3" s="28" t="s">
        <v>118</v>
      </c>
      <c r="B3" s="57">
        <f>'Firing Inaccuracy(Tapping) Raw'!B3</f>
        <v>0.55</v>
      </c>
      <c r="C3" s="34">
        <f>'Raw Values'!U3</f>
        <v>50</v>
      </c>
      <c r="D3" s="43">
        <f>'Raw Values'!AC3</f>
        <v>0.9</v>
      </c>
      <c r="E3" s="130"/>
      <c r="F3" s="34">
        <f>'Firing Inaccuracy(Tapping) Raw'!F3+Analysis!$C3</f>
        <v>2.52</v>
      </c>
      <c r="G3" s="34">
        <f>'Firing Inaccuracy(Tapping) Raw'!G3+Analysis!$C3</f>
        <v>14.76218373</v>
      </c>
      <c r="H3" s="34">
        <f>'Firing Inaccuracy(Tapping) Raw'!H3+Analysis!$C3</f>
        <v>17.75960499</v>
      </c>
      <c r="I3" s="34">
        <f>'Firing Inaccuracy(Tapping) Raw'!I3+Analysis!$C3</f>
        <v>18.49350462</v>
      </c>
      <c r="J3" s="34">
        <f>'Firing Inaccuracy(Tapping) Raw'!J3+Analysis!$C3</f>
        <v>18.6731953</v>
      </c>
      <c r="K3" s="34">
        <f>'Firing Inaccuracy(Tapping) Raw'!K3+Analysis!$C3</f>
        <v>18.71719143</v>
      </c>
      <c r="L3" s="34">
        <f>'Firing Inaccuracy(Tapping) Raw'!L3+Analysis!$C3</f>
        <v>18.7279636</v>
      </c>
      <c r="M3" s="34">
        <f>'Firing Inaccuracy(Tapping) Raw'!M3+Analysis!$C3</f>
        <v>18.7306011</v>
      </c>
      <c r="N3" s="53"/>
      <c r="O3" s="53"/>
      <c r="P3" s="53"/>
      <c r="Q3" s="53"/>
      <c r="R3" s="53"/>
      <c r="S3" s="53"/>
      <c r="T3" s="53"/>
    </row>
    <row r="4" ht="15.75" customHeight="1">
      <c r="A4" s="28" t="s">
        <v>120</v>
      </c>
      <c r="B4" s="57">
        <f>'Firing Inaccuracy(Tapping) Raw'!B4</f>
        <v>0.55</v>
      </c>
      <c r="C4" s="34">
        <f>'Raw Values'!U4</f>
        <v>11.16</v>
      </c>
      <c r="D4" s="43">
        <f>'Raw Values'!AC4</f>
        <v>0.524989</v>
      </c>
      <c r="E4" s="130"/>
      <c r="F4" s="34">
        <f>'Firing Inaccuracy(Tapping) Raw'!F4+Analysis!$C4</f>
        <v>9</v>
      </c>
      <c r="G4" s="34">
        <f>'Firing Inaccuracy(Tapping) Raw'!G4+Analysis!$C4</f>
        <v>10.00005341</v>
      </c>
      <c r="H4" s="34">
        <f>'Firing Inaccuracy(Tapping) Raw'!H4+Analysis!$C4</f>
        <v>10.16135714</v>
      </c>
      <c r="I4" s="34">
        <f>'Firing Inaccuracy(Tapping) Raw'!I4+Analysis!$C4</f>
        <v>10.10412323</v>
      </c>
      <c r="J4" s="34">
        <f>'Firing Inaccuracy(Tapping) Raw'!J4+Analysis!$C4</f>
        <v>10.17068289</v>
      </c>
      <c r="K4" s="34">
        <f>'Firing Inaccuracy(Tapping) Raw'!K4+Analysis!$C4</f>
        <v>10.10495892</v>
      </c>
      <c r="L4" s="34">
        <f>'Firing Inaccuracy(Tapping) Raw'!L4+Analysis!$C4</f>
        <v>10.17075777</v>
      </c>
      <c r="M4" s="34">
        <f>'Firing Inaccuracy(Tapping) Raw'!M4+Analysis!$C4</f>
        <v>10.10496563</v>
      </c>
      <c r="N4" s="34">
        <f>'Firing Inaccuracy(Tapping) Raw'!N4+Analysis!$C4</f>
        <v>10.17075838</v>
      </c>
      <c r="O4" s="34">
        <f>'Firing Inaccuracy(Tapping) Raw'!O4+Analysis!$C4</f>
        <v>10.10496568</v>
      </c>
      <c r="P4" s="34">
        <f>'Firing Inaccuracy(Tapping) Raw'!P4+Analysis!$C4</f>
        <v>10.17075838</v>
      </c>
      <c r="Q4" s="34">
        <f>'Firing Inaccuracy(Tapping) Raw'!Q4+Analysis!$C4</f>
        <v>10.10496568</v>
      </c>
      <c r="R4" s="34">
        <f>'Firing Inaccuracy(Tapping) Raw'!R4+Analysis!$C4</f>
        <v>10.17075838</v>
      </c>
      <c r="S4" s="34">
        <f>'Firing Inaccuracy(Tapping) Raw'!S4+Analysis!$C4</f>
        <v>10.10496568</v>
      </c>
      <c r="T4" s="34">
        <f>'Firing Inaccuracy(Tapping) Raw'!T4+Analysis!$C4</f>
        <v>10.17075838</v>
      </c>
    </row>
    <row r="5" ht="15.75" customHeight="1">
      <c r="A5" s="61" t="s">
        <v>122</v>
      </c>
      <c r="B5" s="57">
        <f>'Firing Inaccuracy(Tapping) Raw'!B5</f>
        <v>0.55</v>
      </c>
      <c r="C5" s="34">
        <f>'Raw Values'!U5</f>
        <v>25</v>
      </c>
      <c r="D5" s="43">
        <f>'Raw Values'!AC5</f>
        <v>0.2</v>
      </c>
      <c r="E5" s="130"/>
      <c r="F5" s="34">
        <f>'Firing Inaccuracy(Tapping) Raw'!F5+Analysis!$C5</f>
        <v>11.1</v>
      </c>
      <c r="G5" s="34">
        <f>'Firing Inaccuracy(Tapping) Raw'!G5+Analysis!$C5</f>
        <v>11.14445699</v>
      </c>
      <c r="H5" s="34">
        <f>'Firing Inaccuracy(Tapping) Raw'!H5+Analysis!$C5</f>
        <v>11.14453604</v>
      </c>
      <c r="I5" s="34">
        <f>'Firing Inaccuracy(Tapping) Raw'!I5+Analysis!$C5</f>
        <v>11.14453618</v>
      </c>
      <c r="J5" s="34">
        <f>'Firing Inaccuracy(Tapping) Raw'!J5+Analysis!$C5</f>
        <v>11.14453618</v>
      </c>
      <c r="K5" s="34">
        <f>'Firing Inaccuracy(Tapping) Raw'!K5+Analysis!$C5</f>
        <v>11.14453618</v>
      </c>
      <c r="L5" s="34">
        <f>'Firing Inaccuracy(Tapping) Raw'!L5+Analysis!$C5</f>
        <v>11.14453618</v>
      </c>
      <c r="M5" s="34">
        <f>'Firing Inaccuracy(Tapping) Raw'!M5+Analysis!$C5</f>
        <v>11.14453618</v>
      </c>
      <c r="N5" s="34">
        <f>'Firing Inaccuracy(Tapping) Raw'!N5+Analysis!$C5</f>
        <v>11.14453618</v>
      </c>
      <c r="O5" s="34">
        <f>'Firing Inaccuracy(Tapping) Raw'!O5+Analysis!$C5</f>
        <v>11.14453618</v>
      </c>
      <c r="P5" s="34">
        <f>'Firing Inaccuracy(Tapping) Raw'!P5+Analysis!$C5</f>
        <v>11.14453618</v>
      </c>
      <c r="Q5" s="34">
        <f>'Firing Inaccuracy(Tapping) Raw'!Q5+Analysis!$C5</f>
        <v>11.14453618</v>
      </c>
      <c r="R5" s="34">
        <f>'Firing Inaccuracy(Tapping) Raw'!R5+Analysis!$C5</f>
        <v>11.14453618</v>
      </c>
      <c r="S5" s="34">
        <f>'Firing Inaccuracy(Tapping) Raw'!S5+Analysis!$C5</f>
        <v>11.14453618</v>
      </c>
      <c r="T5" s="34">
        <f>'Firing Inaccuracy(Tapping) Raw'!T5+Analysis!$C5</f>
        <v>11.14453618</v>
      </c>
    </row>
    <row r="6" ht="15.75" customHeight="1">
      <c r="A6" s="66" t="s">
        <v>124</v>
      </c>
      <c r="B6" s="57">
        <f>'Firing Inaccuracy(Tapping) Raw'!B6</f>
        <v>0.55</v>
      </c>
      <c r="C6" s="34">
        <f>'Raw Values'!U6</f>
        <v>56</v>
      </c>
      <c r="D6" s="43">
        <f>'Raw Values'!AC6</f>
        <v>0.2</v>
      </c>
      <c r="E6" s="130"/>
      <c r="F6" s="34">
        <f>'Firing Inaccuracy(Tapping) Raw'!F6+Analysis!$C6</f>
        <v>7.6</v>
      </c>
      <c r="G6" s="34">
        <f>'Firing Inaccuracy(Tapping) Raw'!G6+Analysis!$C6</f>
        <v>7.699583647</v>
      </c>
      <c r="H6" s="34">
        <f>'Firing Inaccuracy(Tapping) Raw'!H6+Analysis!$C6</f>
        <v>7.699760735</v>
      </c>
      <c r="I6" s="34">
        <f>'Firing Inaccuracy(Tapping) Raw'!I6+Analysis!$C6</f>
        <v>7.699761049</v>
      </c>
      <c r="J6" s="34">
        <f>'Firing Inaccuracy(Tapping) Raw'!J6+Analysis!$C6</f>
        <v>7.69976105</v>
      </c>
      <c r="K6" s="34">
        <f>'Firing Inaccuracy(Tapping) Raw'!K6+Analysis!$C6</f>
        <v>7.69976105</v>
      </c>
      <c r="L6" s="34">
        <f>'Firing Inaccuracy(Tapping) Raw'!L6+Analysis!$C6</f>
        <v>7.69976105</v>
      </c>
      <c r="M6" s="34">
        <f>'Firing Inaccuracy(Tapping) Raw'!M6+Analysis!$C6</f>
        <v>7.69976105</v>
      </c>
      <c r="N6" s="34">
        <f>'Firing Inaccuracy(Tapping) Raw'!N6+Analysis!$C6</f>
        <v>7.69976105</v>
      </c>
      <c r="O6" s="34">
        <f>'Firing Inaccuracy(Tapping) Raw'!O6+Analysis!$C6</f>
        <v>7.69976105</v>
      </c>
      <c r="P6" s="34">
        <f>'Firing Inaccuracy(Tapping) Raw'!P6+Analysis!$C6</f>
        <v>7.69976105</v>
      </c>
      <c r="Q6" s="34">
        <f>'Firing Inaccuracy(Tapping) Raw'!Q6+Analysis!$C6</f>
        <v>7.69976105</v>
      </c>
      <c r="R6" s="34">
        <f>'Firing Inaccuracy(Tapping) Raw'!R6+Analysis!$C6</f>
        <v>7.69976105</v>
      </c>
      <c r="S6" s="34">
        <f>'Firing Inaccuracy(Tapping) Raw'!S6+Analysis!$C6</f>
        <v>7.69976105</v>
      </c>
      <c r="T6" s="34">
        <f>'Firing Inaccuracy(Tapping) Raw'!T6+Analysis!$C6</f>
        <v>7.69976105</v>
      </c>
    </row>
    <row r="7" ht="15.75" customHeight="1">
      <c r="A7" s="61" t="s">
        <v>125</v>
      </c>
      <c r="B7" s="57">
        <f>'Firing Inaccuracy(Tapping) Raw'!B7</f>
        <v>0.55</v>
      </c>
      <c r="C7" s="34">
        <f>'Raw Values'!U7</f>
        <v>50</v>
      </c>
      <c r="D7" s="43">
        <f>'Raw Values'!AC7</f>
        <v>0.349532</v>
      </c>
      <c r="E7" s="130"/>
      <c r="F7" s="34">
        <f>'Firing Inaccuracy(Tapping) Raw'!F7+Analysis!$C7</f>
        <v>6.9</v>
      </c>
      <c r="G7" s="34">
        <f>'Firing Inaccuracy(Tapping) Raw'!G7+Analysis!$C7</f>
        <v>8.23486515</v>
      </c>
      <c r="H7" s="34">
        <f>'Firing Inaccuracy(Tapping) Raw'!H7+Analysis!$C7</f>
        <v>8.27050245</v>
      </c>
      <c r="I7" s="34">
        <f>'Firing Inaccuracy(Tapping) Raw'!I7+Analysis!$C7</f>
        <v>8.27145387</v>
      </c>
      <c r="J7" s="34">
        <f>'Firing Inaccuracy(Tapping) Raw'!J7+Analysis!$C7</f>
        <v>8.27147927</v>
      </c>
      <c r="K7" s="34">
        <f>'Firing Inaccuracy(Tapping) Raw'!K7+Analysis!$C7</f>
        <v>8.271479948</v>
      </c>
      <c r="L7" s="34">
        <f>'Firing Inaccuracy(Tapping) Raw'!L7+Analysis!$C7</f>
        <v>8.271479966</v>
      </c>
      <c r="M7" s="34">
        <f>'Firing Inaccuracy(Tapping) Raw'!M7+Analysis!$C7</f>
        <v>8.271479967</v>
      </c>
      <c r="N7" s="34">
        <f>'Firing Inaccuracy(Tapping) Raw'!N7+Analysis!$C7</f>
        <v>8.271479967</v>
      </c>
      <c r="O7" s="34">
        <f>'Firing Inaccuracy(Tapping) Raw'!O7+Analysis!$C7</f>
        <v>8.271479967</v>
      </c>
      <c r="P7" s="34">
        <f>'Firing Inaccuracy(Tapping) Raw'!P7+Analysis!$C7</f>
        <v>8.271479967</v>
      </c>
      <c r="Q7" s="34">
        <f>'Firing Inaccuracy(Tapping) Raw'!Q7+Analysis!$C7</f>
        <v>8.271479967</v>
      </c>
      <c r="R7" s="34">
        <f>'Firing Inaccuracy(Tapping) Raw'!R7+Analysis!$C7</f>
        <v>8.271479967</v>
      </c>
      <c r="S7" s="53"/>
      <c r="T7" s="53"/>
    </row>
    <row r="8" ht="15.75" customHeight="1">
      <c r="A8" s="61" t="s">
        <v>127</v>
      </c>
      <c r="B8" s="57">
        <f>'Firing Inaccuracy(Tapping) Raw'!B8</f>
        <v>0.55</v>
      </c>
      <c r="C8" s="34">
        <f>'Raw Values'!AK8</f>
        <v>52</v>
      </c>
      <c r="D8" s="43">
        <f>'Raw Values'!AC8</f>
        <v>0.349532</v>
      </c>
      <c r="E8" s="130"/>
      <c r="F8" s="34">
        <f>'Firing Inaccuracy(Tapping) Raw'!F8+Analysis!$C8</f>
        <v>6.4</v>
      </c>
      <c r="G8" s="34">
        <f>'Firing Inaccuracy(Tapping) Raw'!G8+Analysis!$C8</f>
        <v>7.788259756</v>
      </c>
      <c r="H8" s="34">
        <f>'Firing Inaccuracy(Tapping) Raw'!H8+Analysis!$C8</f>
        <v>7.825322548</v>
      </c>
      <c r="I8" s="34">
        <f>'Firing Inaccuracy(Tapping) Raw'!I8+Analysis!$C8</f>
        <v>7.826312024</v>
      </c>
      <c r="J8" s="34">
        <f>'Firing Inaccuracy(Tapping) Raw'!J8+Analysis!$C8</f>
        <v>7.826338441</v>
      </c>
      <c r="K8" s="34">
        <f>'Firing Inaccuracy(Tapping) Raw'!K8+Analysis!$C8</f>
        <v>7.826339146</v>
      </c>
      <c r="L8" s="34">
        <f>'Firing Inaccuracy(Tapping) Raw'!L8+Analysis!$C8</f>
        <v>7.826339165</v>
      </c>
      <c r="M8" s="34">
        <f>'Firing Inaccuracy(Tapping) Raw'!M8+Analysis!$C8</f>
        <v>7.826339165</v>
      </c>
      <c r="N8" s="34">
        <f>'Firing Inaccuracy(Tapping) Raw'!N8+Analysis!$C8</f>
        <v>7.826339165</v>
      </c>
      <c r="O8" s="34">
        <f>'Firing Inaccuracy(Tapping) Raw'!O8+Analysis!$C8</f>
        <v>7.826339165</v>
      </c>
      <c r="P8" s="34">
        <f>'Firing Inaccuracy(Tapping) Raw'!P8+Analysis!$C8</f>
        <v>7.826339165</v>
      </c>
      <c r="Q8" s="34">
        <f>'Firing Inaccuracy(Tapping) Raw'!Q8+Analysis!$C8</f>
        <v>7.826339165</v>
      </c>
      <c r="R8" s="53"/>
      <c r="S8" s="53"/>
      <c r="T8" s="53"/>
    </row>
    <row r="9" ht="15.75" customHeight="1">
      <c r="A9" s="28" t="s">
        <v>129</v>
      </c>
      <c r="B9" s="57">
        <f>'Firing Inaccuracy(Tapping) Raw'!B9</f>
        <v>0.55</v>
      </c>
      <c r="C9" s="34">
        <f>'Raw Values'!U9</f>
        <v>52.45</v>
      </c>
      <c r="D9" s="43">
        <f>'Raw Values'!AC9</f>
        <v>0.345388</v>
      </c>
      <c r="E9" s="130"/>
      <c r="F9" s="34">
        <f>'Firing Inaccuracy(Tapping) Raw'!F9+Analysis!$C9</f>
        <v>11.1</v>
      </c>
      <c r="G9" s="34">
        <f>'Firing Inaccuracy(Tapping) Raw'!G9+Analysis!$C9</f>
        <v>12.44070578</v>
      </c>
      <c r="H9" s="34">
        <f>'Firing Inaccuracy(Tapping) Raw'!H9+Analysis!$C9</f>
        <v>12.47497636</v>
      </c>
      <c r="I9" s="34">
        <f>'Firing Inaccuracy(Tapping) Raw'!I9+Analysis!$C9</f>
        <v>12.47585237</v>
      </c>
      <c r="J9" s="34">
        <f>'Firing Inaccuracy(Tapping) Raw'!J9+Analysis!$C9</f>
        <v>12.47587476</v>
      </c>
      <c r="K9" s="34">
        <f>'Firing Inaccuracy(Tapping) Raw'!K9+Analysis!$C9</f>
        <v>12.47587533</v>
      </c>
      <c r="L9" s="34">
        <f>'Firing Inaccuracy(Tapping) Raw'!L9+Analysis!$C9</f>
        <v>12.47587535</v>
      </c>
      <c r="M9" s="34">
        <f>'Firing Inaccuracy(Tapping) Raw'!M9+Analysis!$C9</f>
        <v>12.47587535</v>
      </c>
      <c r="N9" s="34">
        <f>'Firing Inaccuracy(Tapping) Raw'!N9+Analysis!$C9</f>
        <v>12.47587535</v>
      </c>
      <c r="O9" s="34">
        <f>'Firing Inaccuracy(Tapping) Raw'!O9+Analysis!$C9</f>
        <v>12.47587535</v>
      </c>
      <c r="P9" s="34">
        <f>'Firing Inaccuracy(Tapping) Raw'!P9+Analysis!$C9</f>
        <v>12.47587535</v>
      </c>
      <c r="Q9" s="34">
        <f>'Firing Inaccuracy(Tapping) Raw'!Q9+Analysis!$C9</f>
        <v>12.47587535</v>
      </c>
      <c r="R9" s="34">
        <f>'Firing Inaccuracy(Tapping) Raw'!R9+Analysis!$C9</f>
        <v>12.47587535</v>
      </c>
      <c r="S9" s="53"/>
      <c r="T9" s="53"/>
    </row>
    <row r="10" ht="15.75" customHeight="1">
      <c r="A10" s="28" t="s">
        <v>131</v>
      </c>
      <c r="B10" s="57">
        <f>'Firing Inaccuracy(Tapping) Raw'!B10</f>
        <v>0.55</v>
      </c>
      <c r="C10" s="34">
        <f>'Raw Values'!U10</f>
        <v>35</v>
      </c>
      <c r="D10" s="43">
        <f>'Raw Values'!AC10</f>
        <v>0.2425</v>
      </c>
      <c r="E10" s="130"/>
      <c r="F10" s="34">
        <f>'Firing Inaccuracy(Tapping) Raw'!F10+Analysis!$C10</f>
        <v>13.43</v>
      </c>
      <c r="G10" s="34">
        <f>'Firing Inaccuracy(Tapping) Raw'!G10+Analysis!$C10</f>
        <v>13.61881079</v>
      </c>
      <c r="H10" s="34">
        <f>'Firing Inaccuracy(Tapping) Raw'!H10+Analysis!$C10</f>
        <v>13.61982935</v>
      </c>
      <c r="I10" s="34">
        <f>'Firing Inaccuracy(Tapping) Raw'!I10+Analysis!$C10</f>
        <v>13.61983484</v>
      </c>
      <c r="J10" s="34">
        <f>'Firing Inaccuracy(Tapping) Raw'!J10+Analysis!$C10</f>
        <v>13.61983487</v>
      </c>
      <c r="K10" s="34">
        <f>'Firing Inaccuracy(Tapping) Raw'!K10+Analysis!$C10</f>
        <v>13.61983487</v>
      </c>
      <c r="L10" s="34">
        <f>'Firing Inaccuracy(Tapping) Raw'!L10+Analysis!$C10</f>
        <v>13.61983487</v>
      </c>
      <c r="M10" s="34">
        <f>'Firing Inaccuracy(Tapping) Raw'!M10+Analysis!$C10</f>
        <v>13.61983487</v>
      </c>
      <c r="N10" s="34">
        <f>'Firing Inaccuracy(Tapping) Raw'!N10+Analysis!$C10</f>
        <v>13.61983487</v>
      </c>
      <c r="O10" s="34">
        <f>'Firing Inaccuracy(Tapping) Raw'!O10+Analysis!$C10</f>
        <v>13.61983487</v>
      </c>
      <c r="P10" s="34">
        <f>'Firing Inaccuracy(Tapping) Raw'!P10+Analysis!$C10</f>
        <v>13.61983487</v>
      </c>
      <c r="Q10" s="34">
        <f>'Firing Inaccuracy(Tapping) Raw'!Q10+Analysis!$C10</f>
        <v>13.61983487</v>
      </c>
      <c r="R10" s="53"/>
      <c r="S10" s="53"/>
      <c r="T10" s="53"/>
    </row>
    <row r="11" ht="15.75" customHeight="1">
      <c r="A11" s="66" t="s">
        <v>132</v>
      </c>
      <c r="B11" s="57">
        <f>'Firing Inaccuracy(Tapping) Raw'!B11</f>
        <v>0.55</v>
      </c>
      <c r="C11" s="34">
        <f>'Raw Values'!U11</f>
        <v>95</v>
      </c>
      <c r="D11" s="43">
        <f>'Raw Values'!AC11</f>
        <v>0.345</v>
      </c>
      <c r="E11" s="130"/>
      <c r="F11" s="34">
        <f>'Firing Inaccuracy(Tapping) Raw'!F11+Analysis!$C11</f>
        <v>6.9</v>
      </c>
      <c r="G11" s="34">
        <f>'Firing Inaccuracy(Tapping) Raw'!G11+Analysis!$C11</f>
        <v>9.31835864</v>
      </c>
      <c r="H11" s="34">
        <f>'Firing Inaccuracy(Tapping) Raw'!H11+Analysis!$C11</f>
        <v>9.379921361</v>
      </c>
      <c r="I11" s="34">
        <f>'Firing Inaccuracy(Tapping) Raw'!I11+Analysis!$C11</f>
        <v>9.381488527</v>
      </c>
      <c r="J11" s="34">
        <f>'Firing Inaccuracy(Tapping) Raw'!J11+Analysis!$C11</f>
        <v>9.381528421</v>
      </c>
      <c r="K11" s="34">
        <f>'Firing Inaccuracy(Tapping) Raw'!K11+Analysis!$C11</f>
        <v>9.381529437</v>
      </c>
      <c r="L11" s="34">
        <f>'Firing Inaccuracy(Tapping) Raw'!L11+Analysis!$C11</f>
        <v>9.381529463</v>
      </c>
      <c r="M11" s="34">
        <f>'Firing Inaccuracy(Tapping) Raw'!M11+Analysis!$C11</f>
        <v>9.381529464</v>
      </c>
      <c r="N11" s="34">
        <f>'Firing Inaccuracy(Tapping) Raw'!N11+Analysis!$C11</f>
        <v>9.381529464</v>
      </c>
      <c r="O11" s="34">
        <f>'Firing Inaccuracy(Tapping) Raw'!O11+Analysis!$C11</f>
        <v>9.381529464</v>
      </c>
      <c r="P11" s="34">
        <f>'Firing Inaccuracy(Tapping) Raw'!P11+Analysis!$C11</f>
        <v>9.381529464</v>
      </c>
      <c r="Q11" s="34">
        <f>'Firing Inaccuracy(Tapping) Raw'!Q11+Analysis!$C11</f>
        <v>9.381529464</v>
      </c>
      <c r="R11" s="34">
        <f>'Firing Inaccuracy(Tapping) Raw'!R11+Analysis!$C11</f>
        <v>9.381529464</v>
      </c>
      <c r="S11" s="34">
        <f>'Firing Inaccuracy(Tapping) Raw'!S11+Analysis!$C11</f>
        <v>9.381529464</v>
      </c>
      <c r="T11" s="34">
        <f>'Firing Inaccuracy(Tapping) Raw'!T11+Analysis!$C11</f>
        <v>9.381529464</v>
      </c>
    </row>
    <row r="12" ht="15.75" customHeight="1">
      <c r="A12" s="75"/>
      <c r="B12" s="83"/>
      <c r="C12" s="147"/>
      <c r="D12" s="148"/>
      <c r="E12" s="150"/>
      <c r="F12" s="79"/>
      <c r="G12" s="79"/>
      <c r="H12" s="79"/>
      <c r="I12" s="79"/>
      <c r="J12" s="79"/>
      <c r="K12" s="79"/>
      <c r="L12" s="79"/>
      <c r="M12" s="79"/>
      <c r="N12" s="134"/>
      <c r="O12" s="134"/>
      <c r="P12" s="134"/>
      <c r="Q12" s="134"/>
      <c r="R12" s="134"/>
      <c r="S12" s="134"/>
      <c r="T12" s="134"/>
    </row>
    <row r="13" ht="15.75" customHeight="1">
      <c r="A13" s="5" t="s">
        <v>135</v>
      </c>
      <c r="B13" s="162" t="s">
        <v>222</v>
      </c>
      <c r="C13" s="9" t="s">
        <v>204</v>
      </c>
      <c r="D13" s="21" t="s">
        <v>205</v>
      </c>
      <c r="E13" s="125"/>
      <c r="F13" s="127">
        <v>1.0</v>
      </c>
      <c r="G13" s="127">
        <v>2.0</v>
      </c>
      <c r="H13" s="127">
        <v>3.0</v>
      </c>
      <c r="I13" s="127">
        <v>4.0</v>
      </c>
      <c r="J13" s="127">
        <v>5.0</v>
      </c>
      <c r="K13" s="127">
        <v>6.0</v>
      </c>
      <c r="L13" s="127">
        <v>7.0</v>
      </c>
      <c r="M13" s="127">
        <v>8.0</v>
      </c>
      <c r="N13" s="135"/>
      <c r="O13" s="136"/>
      <c r="P13" s="136"/>
      <c r="Q13" s="136"/>
      <c r="R13" s="136"/>
      <c r="S13" s="136"/>
      <c r="T13" s="136"/>
    </row>
    <row r="14" ht="15.75" customHeight="1">
      <c r="A14" s="61" t="s">
        <v>137</v>
      </c>
      <c r="B14" s="57">
        <f>'Firing Inaccuracy(Tapping) Raw'!B14</f>
        <v>0.85</v>
      </c>
      <c r="C14" s="34">
        <f>'Raw Values'!U14</f>
        <v>11.19</v>
      </c>
      <c r="D14" s="43">
        <f>'Raw Values'!AC14</f>
        <v>0.399729</v>
      </c>
      <c r="E14" s="130"/>
      <c r="F14" s="34">
        <f>'Firing Inaccuracy(Tapping) Raw'!F14+Analysis!$C14</f>
        <v>47</v>
      </c>
      <c r="G14" s="34">
        <f>'Firing Inaccuracy(Tapping) Raw'!G14+Analysis!$C14</f>
        <v>47.08363526</v>
      </c>
      <c r="H14" s="34">
        <f>'Firing Inaccuracy(Tapping) Raw'!H14+Analysis!$C14</f>
        <v>47.08426036</v>
      </c>
      <c r="I14" s="34">
        <f>'Firing Inaccuracy(Tapping) Raw'!I14+Analysis!$C14</f>
        <v>47.08426503</v>
      </c>
      <c r="J14" s="34">
        <f>'Firing Inaccuracy(Tapping) Raw'!J14+Analysis!$C14</f>
        <v>47.08426507</v>
      </c>
      <c r="K14" s="34">
        <f>'Firing Inaccuracy(Tapping) Raw'!K14+Analysis!$C14</f>
        <v>47.08426507</v>
      </c>
      <c r="L14" s="34">
        <f>'Firing Inaccuracy(Tapping) Raw'!L14+Analysis!$C14</f>
        <v>47.08426507</v>
      </c>
      <c r="M14" s="53"/>
      <c r="N14" s="137"/>
      <c r="O14" s="131"/>
      <c r="P14" s="131"/>
      <c r="Q14" s="131"/>
      <c r="R14" s="131"/>
      <c r="S14" s="131"/>
      <c r="T14" s="131"/>
    </row>
    <row r="15" ht="15.75" customHeight="1">
      <c r="A15" s="28" t="s">
        <v>140</v>
      </c>
      <c r="B15" s="57">
        <f>'Firing Inaccuracy(Tapping) Raw'!B15</f>
        <v>0.88</v>
      </c>
      <c r="C15" s="34">
        <f>'Raw Values'!U15</f>
        <v>9.72</v>
      </c>
      <c r="D15" s="43">
        <f>'Raw Values'!AC15</f>
        <v>0.460517</v>
      </c>
      <c r="E15" s="130"/>
      <c r="F15" s="34">
        <f>'Firing Inaccuracy(Tapping) Raw'!F15+Analysis!$C15</f>
        <v>47</v>
      </c>
      <c r="G15" s="34">
        <f>'Firing Inaccuracy(Tapping) Raw'!G15+Analysis!$C15</f>
        <v>47.11933572</v>
      </c>
      <c r="H15" s="34">
        <f>'Firing Inaccuracy(Tapping) Raw'!H15+Analysis!$C15</f>
        <v>47.12080085</v>
      </c>
      <c r="I15" s="34">
        <f>'Firing Inaccuracy(Tapping) Raw'!I15+Analysis!$C15</f>
        <v>47.12081884</v>
      </c>
      <c r="J15" s="34">
        <f>'Firing Inaccuracy(Tapping) Raw'!J15+Analysis!$C15</f>
        <v>47.12081906</v>
      </c>
      <c r="K15" s="34">
        <f>'Firing Inaccuracy(Tapping) Raw'!K15+Analysis!$C15</f>
        <v>47.12081906</v>
      </c>
      <c r="L15" s="34">
        <f>'Firing Inaccuracy(Tapping) Raw'!L15+Analysis!$C15</f>
        <v>47.12081906</v>
      </c>
      <c r="M15" s="34">
        <f>'Firing Inaccuracy(Tapping) Raw'!M15+Analysis!$C15</f>
        <v>47.12081906</v>
      </c>
      <c r="N15" s="137"/>
      <c r="O15" s="131"/>
      <c r="P15" s="131"/>
      <c r="Q15" s="131"/>
      <c r="R15" s="131"/>
      <c r="S15" s="131"/>
      <c r="T15" s="131"/>
    </row>
    <row r="16" ht="15.75" customHeight="1">
      <c r="A16" s="66" t="s">
        <v>142</v>
      </c>
      <c r="B16" s="57">
        <f>'Firing Inaccuracy(Tapping) Raw'!B16</f>
        <v>0.85</v>
      </c>
      <c r="C16" s="34">
        <f>'Raw Values'!U16</f>
        <v>9.72</v>
      </c>
      <c r="D16" s="43">
        <f>'Raw Values'!AC16</f>
        <v>0.460517</v>
      </c>
      <c r="E16" s="130"/>
      <c r="F16" s="34">
        <f>'Firing Inaccuracy(Tapping) Raw'!F16+Analysis!$C16</f>
        <v>69</v>
      </c>
      <c r="G16" s="34">
        <f>'Firing Inaccuracy(Tapping) Raw'!G16+Analysis!$C16</f>
        <v>69.13864833</v>
      </c>
      <c r="H16" s="34">
        <f>'Firing Inaccuracy(Tapping) Raw'!H16+Analysis!$C16</f>
        <v>69.14062604</v>
      </c>
      <c r="I16" s="34">
        <f>'Firing Inaccuracy(Tapping) Raw'!I16+Analysis!$C16</f>
        <v>69.14065425</v>
      </c>
      <c r="J16" s="34">
        <f>'Firing Inaccuracy(Tapping) Raw'!J16+Analysis!$C16</f>
        <v>69.14065465</v>
      </c>
      <c r="K16" s="34">
        <f>'Firing Inaccuracy(Tapping) Raw'!K16+Analysis!$C16</f>
        <v>69.14065466</v>
      </c>
      <c r="L16" s="34">
        <f>'Firing Inaccuracy(Tapping) Raw'!L16+Analysis!$C16</f>
        <v>69.14065466</v>
      </c>
      <c r="M16" s="53"/>
      <c r="N16" s="137"/>
      <c r="O16" s="131"/>
      <c r="P16" s="131"/>
      <c r="Q16" s="131"/>
      <c r="R16" s="131"/>
      <c r="S16" s="131"/>
      <c r="T16" s="131"/>
    </row>
    <row r="17" ht="15.75" customHeight="1">
      <c r="A17" s="28" t="s">
        <v>143</v>
      </c>
      <c r="B17" s="57">
        <f>'Firing Inaccuracy(Tapping) Raw'!B17</f>
        <v>0.55</v>
      </c>
      <c r="C17" s="34">
        <f>'Raw Values'!U17</f>
        <v>8.83</v>
      </c>
      <c r="D17" s="43">
        <f>'Raw Values'!AC17</f>
        <v>0.506569</v>
      </c>
      <c r="E17" s="130"/>
      <c r="F17" s="34">
        <f>'Firing Inaccuracy(Tapping) Raw'!F17+Analysis!$C17</f>
        <v>45</v>
      </c>
      <c r="G17" s="34">
        <f>'Firing Inaccuracy(Tapping) Raw'!G17+Analysis!$C17</f>
        <v>45.72481154</v>
      </c>
      <c r="H17" s="34">
        <f>'Firing Inaccuracy(Tapping) Raw'!H17+Analysis!$C17</f>
        <v>45.78430777</v>
      </c>
      <c r="I17" s="34">
        <f>'Firing Inaccuracy(Tapping) Raw'!I17+Analysis!$C17</f>
        <v>45.78919153</v>
      </c>
      <c r="J17" s="34">
        <f>'Firing Inaccuracy(Tapping) Raw'!J17+Analysis!$C17</f>
        <v>45.78959241</v>
      </c>
      <c r="K17" s="34">
        <f>'Firing Inaccuracy(Tapping) Raw'!K17+Analysis!$C17</f>
        <v>45.78962532</v>
      </c>
      <c r="L17" s="34">
        <f>'Firing Inaccuracy(Tapping) Raw'!L17+Analysis!$C17</f>
        <v>45.78962802</v>
      </c>
      <c r="M17" s="53"/>
      <c r="N17" s="137"/>
      <c r="O17" s="131"/>
      <c r="P17" s="131"/>
      <c r="Q17" s="131"/>
      <c r="R17" s="131"/>
      <c r="S17" s="131"/>
      <c r="T17" s="131"/>
    </row>
    <row r="18" ht="15.75" customHeight="1">
      <c r="A18" s="75"/>
      <c r="B18" s="83"/>
      <c r="C18" s="147"/>
      <c r="D18" s="148"/>
      <c r="E18" s="150"/>
      <c r="F18" s="79"/>
      <c r="G18" s="79"/>
      <c r="H18" s="79"/>
      <c r="I18" s="79"/>
      <c r="J18" s="79"/>
      <c r="K18" s="79"/>
      <c r="L18" s="79"/>
      <c r="M18" s="79"/>
      <c r="N18" s="140"/>
      <c r="O18" s="140"/>
      <c r="P18" s="140"/>
      <c r="Q18" s="140"/>
      <c r="R18" s="140"/>
      <c r="S18" s="140"/>
      <c r="T18" s="140"/>
    </row>
    <row r="19" ht="15.75" customHeight="1">
      <c r="A19" s="5" t="s">
        <v>145</v>
      </c>
      <c r="B19" s="162" t="s">
        <v>222</v>
      </c>
      <c r="C19" s="9" t="s">
        <v>204</v>
      </c>
      <c r="D19" s="21" t="s">
        <v>205</v>
      </c>
      <c r="E19" s="125"/>
      <c r="F19" s="127">
        <v>1.0</v>
      </c>
      <c r="G19" s="127">
        <v>2.0</v>
      </c>
      <c r="H19" s="127">
        <v>3.0</v>
      </c>
      <c r="I19" s="127">
        <v>4.0</v>
      </c>
      <c r="J19" s="127">
        <v>5.0</v>
      </c>
      <c r="K19" s="127">
        <v>6.0</v>
      </c>
      <c r="L19" s="127">
        <v>7.0</v>
      </c>
      <c r="M19" s="127">
        <v>8.0</v>
      </c>
      <c r="N19" s="127">
        <v>9.0</v>
      </c>
      <c r="O19" s="127">
        <v>10.0</v>
      </c>
      <c r="P19" s="127">
        <v>11.0</v>
      </c>
      <c r="Q19" s="127">
        <v>12.0</v>
      </c>
      <c r="R19" s="127">
        <v>13.0</v>
      </c>
      <c r="S19" s="127">
        <v>14.0</v>
      </c>
      <c r="T19" s="127">
        <v>15.0</v>
      </c>
    </row>
    <row r="20" ht="15.75" customHeight="1">
      <c r="A20" s="28" t="s">
        <v>147</v>
      </c>
      <c r="B20" s="57">
        <f>'Firing Inaccuracy(Tapping) Raw'!B20</f>
        <v>0.17</v>
      </c>
      <c r="C20" s="34">
        <f>'Raw Values'!U20</f>
        <v>2.88</v>
      </c>
      <c r="D20" s="43">
        <f>'Raw Values'!AC20</f>
        <v>0.331572</v>
      </c>
      <c r="E20" s="130"/>
      <c r="F20" s="34">
        <f>'Firing Inaccuracy(Tapping) Raw'!F20+Analysis!$C20</f>
        <v>15</v>
      </c>
      <c r="G20" s="34">
        <f>'Firing Inaccuracy(Tapping) Raw'!G20+Analysis!$C20</f>
        <v>15.88447046</v>
      </c>
      <c r="H20" s="34">
        <f>'Firing Inaccuracy(Tapping) Raw'!H20+Analysis!$C20</f>
        <v>16.15609824</v>
      </c>
      <c r="I20" s="34">
        <f>'Firing Inaccuracy(Tapping) Raw'!I20+Analysis!$C20</f>
        <v>16.23951724</v>
      </c>
      <c r="J20" s="34">
        <f>'Firing Inaccuracy(Tapping) Raw'!J20+Analysis!$C20</f>
        <v>16.26513587</v>
      </c>
      <c r="K20" s="34">
        <f>'Firing Inaccuracy(Tapping) Raw'!K20+Analysis!$C20</f>
        <v>16.27300355</v>
      </c>
      <c r="L20" s="34">
        <f>'Firing Inaccuracy(Tapping) Raw'!L20+Analysis!$C20</f>
        <v>16.27541978</v>
      </c>
      <c r="M20" s="34">
        <f>'Firing Inaccuracy(Tapping) Raw'!M20+Analysis!$C20</f>
        <v>16.27616182</v>
      </c>
      <c r="N20" s="34">
        <f>'Firing Inaccuracy(Tapping) Raw'!N20+Analysis!$C20</f>
        <v>16.27638971</v>
      </c>
      <c r="O20" s="34">
        <f>'Firing Inaccuracy(Tapping) Raw'!O20+Analysis!$C20</f>
        <v>16.27645969</v>
      </c>
      <c r="P20" s="34">
        <f>'Firing Inaccuracy(Tapping) Raw'!P20+Analysis!$C20</f>
        <v>16.27648119</v>
      </c>
      <c r="Q20" s="34">
        <f>'Firing Inaccuracy(Tapping) Raw'!Q20+Analysis!$C20</f>
        <v>16.27648779</v>
      </c>
      <c r="R20" s="34">
        <f>'Firing Inaccuracy(Tapping) Raw'!R20+Analysis!$C20</f>
        <v>16.27648981</v>
      </c>
      <c r="S20" s="34">
        <f>'Firing Inaccuracy(Tapping) Raw'!S20+Analysis!$C20</f>
        <v>16.27649044</v>
      </c>
      <c r="T20" s="34">
        <f>'Firing Inaccuracy(Tapping) Raw'!T20+Analysis!$C20</f>
        <v>16.27649063</v>
      </c>
    </row>
    <row r="21" ht="15.75" customHeight="1">
      <c r="A21" s="66" t="s">
        <v>150</v>
      </c>
      <c r="B21" s="57">
        <f>'Firing Inaccuracy(Tapping) Raw'!B21</f>
        <v>0.17</v>
      </c>
      <c r="C21" s="34">
        <f>'Raw Values'!U21</f>
        <v>4.76</v>
      </c>
      <c r="D21" s="43">
        <f>'Raw Values'!AC21</f>
        <v>0.399729</v>
      </c>
      <c r="E21" s="130"/>
      <c r="F21" s="34">
        <f>'Firing Inaccuracy(Tapping) Raw'!F21+Analysis!$C21</f>
        <v>13.9</v>
      </c>
      <c r="G21" s="34">
        <f>'Firing Inaccuracy(Tapping) Raw'!G21+Analysis!$C21</f>
        <v>15.68779954</v>
      </c>
      <c r="H21" s="34">
        <f>'Firing Inaccuracy(Tapping) Raw'!H21+Analysis!$C21</f>
        <v>16.35927583</v>
      </c>
      <c r="I21" s="34">
        <f>'Firing Inaccuracy(Tapping) Raw'!I21+Analysis!$C21</f>
        <v>16.61147437</v>
      </c>
      <c r="J21" s="34">
        <f>'Firing Inaccuracy(Tapping) Raw'!J21+Analysis!$C21</f>
        <v>16.70619714</v>
      </c>
      <c r="K21" s="34">
        <f>'Firing Inaccuracy(Tapping) Raw'!K21+Analysis!$C21</f>
        <v>16.74177389</v>
      </c>
      <c r="L21" s="34">
        <f>'Firing Inaccuracy(Tapping) Raw'!L21+Analysis!$C21</f>
        <v>16.7551361</v>
      </c>
      <c r="M21" s="34">
        <f>'Firing Inaccuracy(Tapping) Raw'!M21+Analysis!$C21</f>
        <v>16.76015479</v>
      </c>
      <c r="N21" s="34">
        <f>'Firing Inaccuracy(Tapping) Raw'!N21+Analysis!$C21</f>
        <v>16.76203974</v>
      </c>
      <c r="O21" s="34">
        <f>'Firing Inaccuracy(Tapping) Raw'!O21+Analysis!$C21</f>
        <v>16.76274771</v>
      </c>
      <c r="P21" s="34">
        <f>'Firing Inaccuracy(Tapping) Raw'!P21+Analysis!$C21</f>
        <v>16.76301362</v>
      </c>
      <c r="Q21" s="34">
        <f>'Firing Inaccuracy(Tapping) Raw'!Q21+Analysis!$C21</f>
        <v>16.76311349</v>
      </c>
      <c r="R21" s="34">
        <f>'Firing Inaccuracy(Tapping) Raw'!R21+Analysis!$C21</f>
        <v>16.763151</v>
      </c>
      <c r="S21" s="34">
        <f>'Firing Inaccuracy(Tapping) Raw'!S21+Analysis!$C21</f>
        <v>16.76316509</v>
      </c>
      <c r="T21" s="34">
        <f>'Firing Inaccuracy(Tapping) Raw'!T21+Analysis!$C21</f>
        <v>16.76317038</v>
      </c>
    </row>
    <row r="22" ht="15.75" customHeight="1">
      <c r="A22" s="28" t="s">
        <v>152</v>
      </c>
      <c r="B22" s="57">
        <f>'Firing Inaccuracy(Tapping) Raw'!B22</f>
        <v>0.17</v>
      </c>
      <c r="C22" s="34">
        <f>'Raw Values'!U22</f>
        <v>2.18</v>
      </c>
      <c r="D22" s="43">
        <f>'Raw Values'!AC22</f>
        <v>0.437491</v>
      </c>
      <c r="E22" s="130"/>
      <c r="F22" s="34">
        <f>'Firing Inaccuracy(Tapping) Raw'!F22+Analysis!$C22</f>
        <v>10.6</v>
      </c>
      <c r="G22" s="34">
        <f>'Firing Inaccuracy(Tapping) Raw'!G22+Analysis!$C22</f>
        <v>11.4909987</v>
      </c>
      <c r="H22" s="34">
        <f>'Firing Inaccuracy(Tapping) Raw'!H22+Analysis!$C22</f>
        <v>11.85516324</v>
      </c>
      <c r="I22" s="34">
        <f>'Firing Inaccuracy(Tapping) Raw'!I22+Analysis!$C22</f>
        <v>12.00400275</v>
      </c>
      <c r="J22" s="34">
        <f>'Firing Inaccuracy(Tapping) Raw'!J22+Analysis!$C22</f>
        <v>12.06483569</v>
      </c>
      <c r="K22" s="34">
        <f>'Firing Inaccuracy(Tapping) Raw'!K22+Analysis!$C22</f>
        <v>12.08969902</v>
      </c>
      <c r="L22" s="34">
        <f>'Firing Inaccuracy(Tapping) Raw'!L22+Analysis!$C22</f>
        <v>12.09986104</v>
      </c>
      <c r="M22" s="34">
        <f>'Firing Inaccuracy(Tapping) Raw'!M22+Analysis!$C22</f>
        <v>12.10401441</v>
      </c>
      <c r="N22" s="34">
        <f>'Firing Inaccuracy(Tapping) Raw'!N22+Analysis!$C22</f>
        <v>12.10571195</v>
      </c>
      <c r="O22" s="34">
        <f>'Firing Inaccuracy(Tapping) Raw'!O22+Analysis!$C22</f>
        <v>12.10640576</v>
      </c>
      <c r="P22" s="34">
        <f>'Firing Inaccuracy(Tapping) Raw'!P22+Analysis!$C22</f>
        <v>12.10668934</v>
      </c>
      <c r="Q22" s="34">
        <f>'Firing Inaccuracy(Tapping) Raw'!Q22+Analysis!$C22</f>
        <v>12.10680524</v>
      </c>
      <c r="R22" s="34">
        <f>'Firing Inaccuracy(Tapping) Raw'!R22+Analysis!$C22</f>
        <v>12.10685261</v>
      </c>
      <c r="S22" s="34">
        <f>'Firing Inaccuracy(Tapping) Raw'!S22+Analysis!$C22</f>
        <v>12.10687197</v>
      </c>
      <c r="T22" s="34">
        <f>'Firing Inaccuracy(Tapping) Raw'!T22+Analysis!$C22</f>
        <v>12.10687988</v>
      </c>
    </row>
    <row r="23" ht="15.75" customHeight="1">
      <c r="A23" s="28" t="s">
        <v>154</v>
      </c>
      <c r="B23" s="57">
        <f>'Firing Inaccuracy(Tapping) Raw'!B23</f>
        <v>0.17</v>
      </c>
      <c r="C23" s="34">
        <f>'Raw Values'!U23</f>
        <v>2.18</v>
      </c>
      <c r="D23" s="43">
        <f>'Raw Values'!AC23</f>
        <v>0.437491</v>
      </c>
      <c r="E23" s="130"/>
      <c r="F23" s="34">
        <f>'Firing Inaccuracy(Tapping) Raw'!F23+Analysis!$C23</f>
        <v>10.6</v>
      </c>
      <c r="G23" s="34">
        <f>'Firing Inaccuracy(Tapping) Raw'!G23+Analysis!$C23</f>
        <v>11.4909987</v>
      </c>
      <c r="H23" s="34">
        <f>'Firing Inaccuracy(Tapping) Raw'!H23+Analysis!$C23</f>
        <v>11.85516324</v>
      </c>
      <c r="I23" s="34">
        <f>'Firing Inaccuracy(Tapping) Raw'!I23+Analysis!$C23</f>
        <v>12.00400275</v>
      </c>
      <c r="J23" s="34">
        <f>'Firing Inaccuracy(Tapping) Raw'!J23+Analysis!$C23</f>
        <v>12.06483569</v>
      </c>
      <c r="K23" s="34">
        <f>'Firing Inaccuracy(Tapping) Raw'!K23+Analysis!$C23</f>
        <v>12.08969902</v>
      </c>
      <c r="L23" s="34">
        <f>'Firing Inaccuracy(Tapping) Raw'!L23+Analysis!$C23</f>
        <v>12.09986104</v>
      </c>
      <c r="M23" s="34">
        <f>'Firing Inaccuracy(Tapping) Raw'!M23+Analysis!$C23</f>
        <v>12.10401441</v>
      </c>
      <c r="N23" s="34">
        <f>'Firing Inaccuracy(Tapping) Raw'!N23+Analysis!$C23</f>
        <v>12.10571195</v>
      </c>
      <c r="O23" s="34">
        <f>'Firing Inaccuracy(Tapping) Raw'!O23+Analysis!$C23</f>
        <v>12.10640576</v>
      </c>
      <c r="P23" s="34">
        <f>'Firing Inaccuracy(Tapping) Raw'!P23+Analysis!$C23</f>
        <v>12.10668934</v>
      </c>
      <c r="Q23" s="34">
        <f>'Firing Inaccuracy(Tapping) Raw'!Q23+Analysis!$C23</f>
        <v>12.10680524</v>
      </c>
      <c r="R23" s="34">
        <f>'Firing Inaccuracy(Tapping) Raw'!R23+Analysis!$C23</f>
        <v>12.10685261</v>
      </c>
      <c r="S23" s="34">
        <f>'Firing Inaccuracy(Tapping) Raw'!S23+Analysis!$C23</f>
        <v>12.10687197</v>
      </c>
      <c r="T23" s="34">
        <f>'Firing Inaccuracy(Tapping) Raw'!T23+Analysis!$C23</f>
        <v>12.10687988</v>
      </c>
    </row>
    <row r="24" ht="15.75" customHeight="1">
      <c r="A24" s="61" t="s">
        <v>156</v>
      </c>
      <c r="B24" s="57">
        <f>'Firing Inaccuracy(Tapping) Raw'!B24</f>
        <v>0.17</v>
      </c>
      <c r="C24" s="34">
        <f>'Raw Values'!U24</f>
        <v>3.7</v>
      </c>
      <c r="D24" s="43">
        <f>'Raw Values'!AC24</f>
        <v>0.25789</v>
      </c>
      <c r="E24" s="130"/>
      <c r="F24" s="34">
        <f>'Firing Inaccuracy(Tapping) Raw'!F24+Analysis!$C24</f>
        <v>9.6</v>
      </c>
      <c r="G24" s="34">
        <f>'Firing Inaccuracy(Tapping) Raw'!G24+Analysis!$C24</f>
        <v>10.41097216</v>
      </c>
      <c r="H24" s="34">
        <f>'Firing Inaccuracy(Tapping) Raw'!H24+Analysis!$C24</f>
        <v>10.58872238</v>
      </c>
      <c r="I24" s="34">
        <f>'Firing Inaccuracy(Tapping) Raw'!I24+Analysis!$C24</f>
        <v>10.62768197</v>
      </c>
      <c r="J24" s="34">
        <f>'Firing Inaccuracy(Tapping) Raw'!J24+Analysis!$C24</f>
        <v>10.6362212</v>
      </c>
      <c r="K24" s="34">
        <f>'Firing Inaccuracy(Tapping) Raw'!K24+Analysis!$C24</f>
        <v>10.63809284</v>
      </c>
      <c r="L24" s="34">
        <f>'Firing Inaccuracy(Tapping) Raw'!L24+Analysis!$C24</f>
        <v>10.63850307</v>
      </c>
      <c r="M24" s="34">
        <f>'Firing Inaccuracy(Tapping) Raw'!M24+Analysis!$C24</f>
        <v>10.63859299</v>
      </c>
      <c r="N24" s="34">
        <f>'Firing Inaccuracy(Tapping) Raw'!N24+Analysis!$C24</f>
        <v>10.63861269</v>
      </c>
      <c r="O24" s="34">
        <f>'Firing Inaccuracy(Tapping) Raw'!O24+Analysis!$C24</f>
        <v>10.63861701</v>
      </c>
      <c r="P24" s="34">
        <f>'Firing Inaccuracy(Tapping) Raw'!P24+Analysis!$C24</f>
        <v>10.63861796</v>
      </c>
      <c r="Q24" s="34">
        <f>'Firing Inaccuracy(Tapping) Raw'!Q24+Analysis!$C24</f>
        <v>10.63861817</v>
      </c>
      <c r="R24" s="34">
        <f>'Firing Inaccuracy(Tapping) Raw'!R24+Analysis!$C24</f>
        <v>10.63861821</v>
      </c>
      <c r="S24" s="34">
        <f>'Firing Inaccuracy(Tapping) Raw'!S24+Analysis!$C24</f>
        <v>10.63861822</v>
      </c>
      <c r="T24" s="34">
        <f>'Firing Inaccuracy(Tapping) Raw'!T24+Analysis!$C24</f>
        <v>10.63861823</v>
      </c>
    </row>
    <row r="25" ht="15.75" customHeight="1">
      <c r="A25" s="28" t="s">
        <v>158</v>
      </c>
      <c r="B25" s="57">
        <f>'Firing Inaccuracy(Tapping) Raw'!B25</f>
        <v>0.17</v>
      </c>
      <c r="C25" s="34">
        <f>'Raw Values'!U25</f>
        <v>2.85</v>
      </c>
      <c r="D25" s="43">
        <f>'Raw Values'!AC25</f>
        <v>0.372098</v>
      </c>
      <c r="E25" s="130"/>
      <c r="F25" s="34">
        <f>'Firing Inaccuracy(Tapping) Raw'!F25+Analysis!$C25</f>
        <v>14.65</v>
      </c>
      <c r="G25" s="34">
        <f>'Firing Inaccuracy(Tapping) Raw'!G25+Analysis!$C25</f>
        <v>15.64535034</v>
      </c>
      <c r="H25" s="34">
        <f>'Firing Inaccuracy(Tapping) Raw'!H25+Analysis!$C25</f>
        <v>15.99297221</v>
      </c>
      <c r="I25" s="34">
        <f>'Firing Inaccuracy(Tapping) Raw'!I25+Analysis!$C25</f>
        <v>16.11437766</v>
      </c>
      <c r="J25" s="34">
        <f>'Firing Inaccuracy(Tapping) Raw'!J25+Analysis!$C25</f>
        <v>16.15677799</v>
      </c>
      <c r="K25" s="34">
        <f>'Firing Inaccuracy(Tapping) Raw'!K25+Analysis!$C25</f>
        <v>16.17158613</v>
      </c>
      <c r="L25" s="34">
        <f>'Firing Inaccuracy(Tapping) Raw'!L25+Analysis!$C25</f>
        <v>16.17675781</v>
      </c>
      <c r="M25" s="34">
        <f>'Firing Inaccuracy(Tapping) Raw'!M25+Analysis!$C25</f>
        <v>16.178564</v>
      </c>
      <c r="N25" s="34">
        <f>'Firing Inaccuracy(Tapping) Raw'!N25+Analysis!$C25</f>
        <v>16.1791948</v>
      </c>
      <c r="O25" s="34">
        <f>'Firing Inaccuracy(Tapping) Raw'!O25+Analysis!$C25</f>
        <v>16.1794151</v>
      </c>
      <c r="P25" s="34">
        <f>'Firing Inaccuracy(Tapping) Raw'!P25+Analysis!$C25</f>
        <v>16.17949204</v>
      </c>
      <c r="Q25" s="34">
        <f>'Firing Inaccuracy(Tapping) Raw'!Q25+Analysis!$C25</f>
        <v>16.17951892</v>
      </c>
      <c r="R25" s="34">
        <f>'Firing Inaccuracy(Tapping) Raw'!R25+Analysis!$C25</f>
        <v>16.1795283</v>
      </c>
      <c r="S25" s="34">
        <f>'Firing Inaccuracy(Tapping) Raw'!S25+Analysis!$C25</f>
        <v>16.17953158</v>
      </c>
      <c r="T25" s="34">
        <f>'Firing Inaccuracy(Tapping) Raw'!T25+Analysis!$C25</f>
        <v>16.17953272</v>
      </c>
    </row>
    <row r="26" ht="15.75" customHeight="1">
      <c r="A26" s="28" t="s">
        <v>160</v>
      </c>
      <c r="B26" s="57">
        <f>'Firing Inaccuracy(Tapping) Raw'!B26</f>
        <v>0.17</v>
      </c>
      <c r="C26" s="34">
        <f>'Raw Values'!U26</f>
        <v>3.42</v>
      </c>
      <c r="D26" s="43">
        <f>'Raw Values'!AC26</f>
        <v>0.349993</v>
      </c>
      <c r="E26" s="130"/>
      <c r="F26" s="34">
        <f>'Firing Inaccuracy(Tapping) Raw'!F26+Analysis!$C26</f>
        <v>14.43</v>
      </c>
      <c r="G26" s="34">
        <f>'Firing Inaccuracy(Tapping) Raw'!G26+Analysis!$C26</f>
        <v>15.54764044</v>
      </c>
      <c r="H26" s="34">
        <f>'Firing Inaccuracy(Tapping) Raw'!H26+Analysis!$C26</f>
        <v>15.91288024</v>
      </c>
      <c r="I26" s="34">
        <f>'Firing Inaccuracy(Tapping) Raw'!I26+Analysis!$C26</f>
        <v>16.03223895</v>
      </c>
      <c r="J26" s="34">
        <f>'Firing Inaccuracy(Tapping) Raw'!J26+Analysis!$C26</f>
        <v>16.07124483</v>
      </c>
      <c r="K26" s="34">
        <f>'Firing Inaccuracy(Tapping) Raw'!K26+Analysis!$C26</f>
        <v>16.08399178</v>
      </c>
      <c r="L26" s="34">
        <f>'Firing Inaccuracy(Tapping) Raw'!L26+Analysis!$C26</f>
        <v>16.08815742</v>
      </c>
      <c r="M26" s="34">
        <f>'Firing Inaccuracy(Tapping) Raw'!M26+Analysis!$C26</f>
        <v>16.08951873</v>
      </c>
      <c r="N26" s="34">
        <f>'Firing Inaccuracy(Tapping) Raw'!N26+Analysis!$C26</f>
        <v>16.08996361</v>
      </c>
      <c r="O26" s="34">
        <f>'Firing Inaccuracy(Tapping) Raw'!O26+Analysis!$C26</f>
        <v>16.09010899</v>
      </c>
      <c r="P26" s="34">
        <f>'Firing Inaccuracy(Tapping) Raw'!P26+Analysis!$C26</f>
        <v>16.0901565</v>
      </c>
      <c r="Q26" s="34">
        <f>'Firing Inaccuracy(Tapping) Raw'!Q26+Analysis!$C26</f>
        <v>16.09017202</v>
      </c>
      <c r="R26" s="34">
        <f>'Firing Inaccuracy(Tapping) Raw'!R26+Analysis!$C26</f>
        <v>16.0901771</v>
      </c>
      <c r="S26" s="34">
        <f>'Firing Inaccuracy(Tapping) Raw'!S26+Analysis!$C26</f>
        <v>16.09017876</v>
      </c>
      <c r="T26" s="34">
        <f>'Firing Inaccuracy(Tapping) Raw'!T26+Analysis!$C26</f>
        <v>16.0901793</v>
      </c>
    </row>
    <row r="27" ht="15.75" customHeight="1">
      <c r="A27" s="75"/>
      <c r="B27" s="83"/>
      <c r="C27" s="147"/>
      <c r="D27" s="148"/>
      <c r="E27" s="150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  <c r="Q27" s="79"/>
      <c r="R27" s="79"/>
      <c r="S27" s="79"/>
      <c r="T27" s="79"/>
    </row>
    <row r="28" ht="15.75" customHeight="1">
      <c r="A28" s="5" t="s">
        <v>161</v>
      </c>
      <c r="B28" s="162" t="s">
        <v>222</v>
      </c>
      <c r="C28" s="9" t="s">
        <v>204</v>
      </c>
      <c r="D28" s="21" t="s">
        <v>205</v>
      </c>
      <c r="E28" s="125"/>
      <c r="F28" s="127">
        <v>1.0</v>
      </c>
      <c r="G28" s="127">
        <v>2.0</v>
      </c>
      <c r="H28" s="127">
        <v>3.0</v>
      </c>
      <c r="I28" s="127">
        <v>4.0</v>
      </c>
      <c r="J28" s="127">
        <v>5.0</v>
      </c>
      <c r="K28" s="127">
        <v>6.0</v>
      </c>
      <c r="L28" s="127">
        <v>7.0</v>
      </c>
      <c r="M28" s="127">
        <v>8.0</v>
      </c>
      <c r="N28" s="127">
        <v>9.0</v>
      </c>
      <c r="O28" s="127">
        <v>10.0</v>
      </c>
      <c r="P28" s="127">
        <v>11.0</v>
      </c>
      <c r="Q28" s="127">
        <v>12.0</v>
      </c>
      <c r="R28" s="127">
        <v>13.0</v>
      </c>
      <c r="S28" s="127">
        <v>14.0</v>
      </c>
      <c r="T28" s="127">
        <v>15.0</v>
      </c>
    </row>
    <row r="29" ht="15.75" customHeight="1">
      <c r="A29" s="66" t="s">
        <v>164</v>
      </c>
      <c r="B29" s="57">
        <f>'Firing Inaccuracy(Tapping) Raw'!B29</f>
        <v>0.25</v>
      </c>
      <c r="C29" s="34">
        <f>'Raw Values'!U29</f>
        <v>7.8</v>
      </c>
      <c r="D29" s="43">
        <f>'Raw Values'!AC29</f>
        <v>0.368</v>
      </c>
      <c r="E29" s="130"/>
      <c r="F29" s="34">
        <f>'Firing Inaccuracy(Tapping) Raw'!F29+Analysis!$C29</f>
        <v>7.01</v>
      </c>
      <c r="G29" s="34">
        <f>'Firing Inaccuracy(Tapping) Raw'!G29+Analysis!$C29</f>
        <v>8.642100044</v>
      </c>
      <c r="H29" s="34">
        <f>'Firing Inaccuracy(Tapping) Raw'!H29+Analysis!$C29</f>
        <v>8.983606526</v>
      </c>
      <c r="I29" s="34">
        <f>'Firing Inaccuracy(Tapping) Raw'!I29+Analysis!$C29</f>
        <v>9.05506457</v>
      </c>
      <c r="J29" s="34">
        <f>'Firing Inaccuracy(Tapping) Raw'!J29+Analysis!$C29</f>
        <v>9.070016708</v>
      </c>
      <c r="K29" s="34">
        <f>'Firing Inaccuracy(Tapping) Raw'!K29+Analysis!$C29</f>
        <v>9.073145347</v>
      </c>
      <c r="L29" s="34">
        <f>'Firing Inaccuracy(Tapping) Raw'!L29+Analysis!$C29</f>
        <v>9.073799995</v>
      </c>
      <c r="M29" s="34">
        <f>'Firing Inaccuracy(Tapping) Raw'!M29+Analysis!$C29</f>
        <v>9.073936976</v>
      </c>
      <c r="N29" s="34">
        <f>'Firing Inaccuracy(Tapping) Raw'!N29+Analysis!$C29</f>
        <v>9.073965638</v>
      </c>
      <c r="O29" s="34">
        <f>'Firing Inaccuracy(Tapping) Raw'!O29+Analysis!$C29</f>
        <v>9.073971635</v>
      </c>
      <c r="P29" s="34">
        <f>'Firing Inaccuracy(Tapping) Raw'!P29+Analysis!$C29</f>
        <v>9.07397289</v>
      </c>
      <c r="Q29" s="34">
        <f>'Firing Inaccuracy(Tapping) Raw'!Q29+Analysis!$C29</f>
        <v>9.073973153</v>
      </c>
      <c r="R29" s="34">
        <f>'Firing Inaccuracy(Tapping) Raw'!R29+Analysis!$C29</f>
        <v>9.073973208</v>
      </c>
      <c r="S29" s="34">
        <f>'Firing Inaccuracy(Tapping) Raw'!S29+Analysis!$C29</f>
        <v>9.073973219</v>
      </c>
      <c r="T29" s="34">
        <f>'Firing Inaccuracy(Tapping) Raw'!T29+Analysis!$C29</f>
        <v>9.073973222</v>
      </c>
    </row>
    <row r="30" ht="15.75" customHeight="1">
      <c r="A30" s="61" t="s">
        <v>166</v>
      </c>
      <c r="B30" s="57">
        <f>'Firing Inaccuracy(Tapping) Raw'!B30</f>
        <v>0.25</v>
      </c>
      <c r="C30" s="34">
        <f>'Raw Values'!U30</f>
        <v>7.29</v>
      </c>
      <c r="D30" s="43">
        <f>'Raw Values'!AC30</f>
        <v>0.429727</v>
      </c>
      <c r="E30" s="130"/>
      <c r="F30" s="34">
        <f>'Firing Inaccuracy(Tapping) Raw'!F30+Analysis!$C30</f>
        <v>9.81</v>
      </c>
      <c r="G30" s="34">
        <f>'Firing Inaccuracy(Tapping) Raw'!G30+Analysis!$C30</f>
        <v>11.71968979</v>
      </c>
      <c r="H30" s="34">
        <f>'Firing Inaccuracy(Tapping) Raw'!H30+Analysis!$C30</f>
        <v>12.21995249</v>
      </c>
      <c r="I30" s="34">
        <f>'Firing Inaccuracy(Tapping) Raw'!I30+Analysis!$C30</f>
        <v>12.35100141</v>
      </c>
      <c r="J30" s="34">
        <f>'Firing Inaccuracy(Tapping) Raw'!J30+Analysis!$C30</f>
        <v>12.38533101</v>
      </c>
      <c r="K30" s="34">
        <f>'Firing Inaccuracy(Tapping) Raw'!K30+Analysis!$C30</f>
        <v>12.39432399</v>
      </c>
      <c r="L30" s="34">
        <f>'Firing Inaccuracy(Tapping) Raw'!L30+Analysis!$C30</f>
        <v>12.3966798</v>
      </c>
      <c r="M30" s="34">
        <f>'Firing Inaccuracy(Tapping) Raw'!M30+Analysis!$C30</f>
        <v>12.39729693</v>
      </c>
      <c r="N30" s="34">
        <f>'Firing Inaccuracy(Tapping) Raw'!N30+Analysis!$C30</f>
        <v>12.39745859</v>
      </c>
      <c r="O30" s="34">
        <f>'Firing Inaccuracy(Tapping) Raw'!O30+Analysis!$C30</f>
        <v>12.39750094</v>
      </c>
      <c r="P30" s="34">
        <f>'Firing Inaccuracy(Tapping) Raw'!P30+Analysis!$C30</f>
        <v>12.39751203</v>
      </c>
      <c r="Q30" s="34">
        <f>'Firing Inaccuracy(Tapping) Raw'!Q30+Analysis!$C30</f>
        <v>12.39751494</v>
      </c>
      <c r="R30" s="34">
        <f>'Firing Inaccuracy(Tapping) Raw'!R30+Analysis!$C30</f>
        <v>12.3975157</v>
      </c>
      <c r="S30" s="34">
        <f>'Firing Inaccuracy(Tapping) Raw'!S30+Analysis!$C30</f>
        <v>12.3975159</v>
      </c>
      <c r="T30" s="34">
        <f>'Firing Inaccuracy(Tapping) Raw'!T30+Analysis!$C30</f>
        <v>12.39751595</v>
      </c>
    </row>
    <row r="31" ht="15.75" customHeight="1">
      <c r="A31" s="61" t="s">
        <v>168</v>
      </c>
      <c r="B31" s="57">
        <f>'Firing Inaccuracy(Tapping) Raw'!B31</f>
        <v>0.25</v>
      </c>
      <c r="C31" s="34">
        <f>'Raw Values'!U31</f>
        <v>6.05</v>
      </c>
      <c r="D31" s="43">
        <f>'Raw Values'!AC31</f>
        <v>0.25</v>
      </c>
      <c r="E31" s="130"/>
      <c r="F31" s="34">
        <f>'Firing Inaccuracy(Tapping) Raw'!F31+Analysis!$C31</f>
        <v>10.45</v>
      </c>
      <c r="G31" s="34">
        <f>'Firing Inaccuracy(Tapping) Raw'!G31+Analysis!$C31</f>
        <v>11.055</v>
      </c>
      <c r="H31" s="34">
        <f>'Firing Inaccuracy(Tapping) Raw'!H31+Analysis!$C31</f>
        <v>11.1155</v>
      </c>
      <c r="I31" s="34">
        <f>'Firing Inaccuracy(Tapping) Raw'!I31+Analysis!$C31</f>
        <v>11.12155</v>
      </c>
      <c r="J31" s="34">
        <f>'Firing Inaccuracy(Tapping) Raw'!J31+Analysis!$C31</f>
        <v>11.122155</v>
      </c>
      <c r="K31" s="34">
        <f>'Firing Inaccuracy(Tapping) Raw'!K31+Analysis!$C31</f>
        <v>11.1222155</v>
      </c>
      <c r="L31" s="34">
        <f>'Firing Inaccuracy(Tapping) Raw'!L31+Analysis!$C31</f>
        <v>11.12222155</v>
      </c>
      <c r="M31" s="34">
        <f>'Firing Inaccuracy(Tapping) Raw'!M31+Analysis!$C31</f>
        <v>11.12222216</v>
      </c>
      <c r="N31" s="34">
        <f>'Firing Inaccuracy(Tapping) Raw'!N31+Analysis!$C31</f>
        <v>11.12222222</v>
      </c>
      <c r="O31" s="34">
        <f>'Firing Inaccuracy(Tapping) Raw'!O31+Analysis!$C31</f>
        <v>11.12222222</v>
      </c>
      <c r="P31" s="34">
        <f>'Firing Inaccuracy(Tapping) Raw'!P31+Analysis!$C31</f>
        <v>11.12222222</v>
      </c>
      <c r="Q31" s="34">
        <f>'Firing Inaccuracy(Tapping) Raw'!Q31+Analysis!$C31</f>
        <v>11.12222222</v>
      </c>
      <c r="R31" s="34">
        <f>'Firing Inaccuracy(Tapping) Raw'!R31+Analysis!$C31</f>
        <v>11.12222222</v>
      </c>
      <c r="S31" s="34">
        <f>'Firing Inaccuracy(Tapping) Raw'!S31+Analysis!$C31</f>
        <v>11.12222222</v>
      </c>
      <c r="T31" s="34">
        <f>'Firing Inaccuracy(Tapping) Raw'!T31+Analysis!$C31</f>
        <v>11.12222222</v>
      </c>
    </row>
    <row r="32" ht="15.75" customHeight="1">
      <c r="A32" s="66" t="s">
        <v>170</v>
      </c>
      <c r="B32" s="57">
        <f>'Firing Inaccuracy(Tapping) Raw'!B32</f>
        <v>0.25</v>
      </c>
      <c r="C32" s="34">
        <f>'Raw Values'!U32</f>
        <v>7</v>
      </c>
      <c r="D32" s="43">
        <f>'Raw Values'!AC32</f>
        <v>0.3</v>
      </c>
      <c r="E32" s="130"/>
      <c r="F32" s="34">
        <f>'Firing Inaccuracy(Tapping) Raw'!F32+Analysis!$C32</f>
        <v>9.37</v>
      </c>
      <c r="G32" s="34">
        <f>'Firing Inaccuracy(Tapping) Raw'!G32+Analysis!$C32</f>
        <v>10.39745949</v>
      </c>
      <c r="H32" s="34">
        <f>'Firing Inaccuracy(Tapping) Raw'!H32+Analysis!$C32</f>
        <v>10.54826992</v>
      </c>
      <c r="I32" s="34">
        <f>'Firing Inaccuracy(Tapping) Raw'!I32+Analysis!$C32</f>
        <v>10.57040586</v>
      </c>
      <c r="J32" s="34">
        <f>'Firing Inaccuracy(Tapping) Raw'!J32+Analysis!$C32</f>
        <v>10.57365497</v>
      </c>
      <c r="K32" s="34">
        <f>'Firing Inaccuracy(Tapping) Raw'!K32+Analysis!$C32</f>
        <v>10.57413188</v>
      </c>
      <c r="L32" s="34">
        <f>'Firing Inaccuracy(Tapping) Raw'!L32+Analysis!$C32</f>
        <v>10.57420188</v>
      </c>
      <c r="M32" s="34">
        <f>'Firing Inaccuracy(Tapping) Raw'!M32+Analysis!$C32</f>
        <v>10.57421215</v>
      </c>
      <c r="N32" s="34">
        <f>'Firing Inaccuracy(Tapping) Raw'!N32+Analysis!$C32</f>
        <v>10.57421366</v>
      </c>
      <c r="O32" s="34">
        <f>'Firing Inaccuracy(Tapping) Raw'!O32+Analysis!$C32</f>
        <v>10.57421388</v>
      </c>
      <c r="P32" s="34">
        <f>'Firing Inaccuracy(Tapping) Raw'!P32+Analysis!$C32</f>
        <v>10.57421391</v>
      </c>
      <c r="Q32" s="34">
        <f>'Firing Inaccuracy(Tapping) Raw'!Q32+Analysis!$C32</f>
        <v>10.57421392</v>
      </c>
      <c r="R32" s="34">
        <f>'Firing Inaccuracy(Tapping) Raw'!R32+Analysis!$C32</f>
        <v>10.57421392</v>
      </c>
      <c r="S32" s="34">
        <f>'Firing Inaccuracy(Tapping) Raw'!S32+Analysis!$C32</f>
        <v>10.57421392</v>
      </c>
      <c r="T32" s="34">
        <f>'Firing Inaccuracy(Tapping) Raw'!T32+Analysis!$C32</f>
        <v>10.57421392</v>
      </c>
    </row>
    <row r="33" ht="15.75" customHeight="1">
      <c r="A33" s="61" t="s">
        <v>171</v>
      </c>
      <c r="B33" s="57">
        <f>'Firing Inaccuracy(Tapping) Raw'!B33</f>
        <v>0.25</v>
      </c>
      <c r="C33" s="34">
        <f>'Raw Values'!U33</f>
        <v>7</v>
      </c>
      <c r="D33" s="43">
        <f>'Raw Values'!AC33</f>
        <v>0.338941</v>
      </c>
      <c r="E33" s="130"/>
      <c r="F33" s="34">
        <f>'Firing Inaccuracy(Tapping) Raw'!F33+Analysis!$C33</f>
        <v>5.5</v>
      </c>
      <c r="G33" s="34">
        <f>'Firing Inaccuracy(Tapping) Raw'!G33+Analysis!$C33</f>
        <v>6.780874388</v>
      </c>
      <c r="H33" s="34">
        <f>'Firing Inaccuracy(Tapping) Raw'!H33+Analysis!$C33</f>
        <v>7.015251417</v>
      </c>
      <c r="I33" s="34">
        <f>'Firing Inaccuracy(Tapping) Raw'!I33+Analysis!$C33</f>
        <v>7.058138207</v>
      </c>
      <c r="J33" s="34">
        <f>'Firing Inaccuracy(Tapping) Raw'!J33+Analysis!$C33</f>
        <v>7.06598572</v>
      </c>
      <c r="K33" s="34">
        <f>'Firing Inaccuracy(Tapping) Raw'!K33+Analysis!$C33</f>
        <v>7.067421674</v>
      </c>
      <c r="L33" s="34">
        <f>'Firing Inaccuracy(Tapping) Raw'!L33+Analysis!$C33</f>
        <v>7.067684428</v>
      </c>
      <c r="M33" s="34">
        <f>'Firing Inaccuracy(Tapping) Raw'!M33+Analysis!$C33</f>
        <v>7.067732507</v>
      </c>
      <c r="N33" s="34">
        <f>'Firing Inaccuracy(Tapping) Raw'!N33+Analysis!$C33</f>
        <v>7.067741305</v>
      </c>
      <c r="O33" s="34">
        <f>'Firing Inaccuracy(Tapping) Raw'!O33+Analysis!$C33</f>
        <v>7.067742915</v>
      </c>
      <c r="P33" s="34">
        <f>'Firing Inaccuracy(Tapping) Raw'!P33+Analysis!$C33</f>
        <v>7.067743209</v>
      </c>
      <c r="Q33" s="34">
        <f>'Firing Inaccuracy(Tapping) Raw'!Q33+Analysis!$C33</f>
        <v>7.067743263</v>
      </c>
      <c r="R33" s="34">
        <f>'Firing Inaccuracy(Tapping) Raw'!R33+Analysis!$C33</f>
        <v>7.067743273</v>
      </c>
      <c r="S33" s="34">
        <f>'Firing Inaccuracy(Tapping) Raw'!S33+Analysis!$C33</f>
        <v>7.067743275</v>
      </c>
      <c r="T33" s="34">
        <f>'Firing Inaccuracy(Tapping) Raw'!T33+Analysis!$C33</f>
        <v>7.067743275</v>
      </c>
    </row>
    <row r="34" ht="15.75" customHeight="1">
      <c r="A34" s="61" t="s">
        <v>173</v>
      </c>
      <c r="B34" s="57">
        <f>'Firing Inaccuracy(Tapping) Raw'!B34</f>
        <v>0.25</v>
      </c>
      <c r="C34" s="34">
        <f>'Raw Values'!U34</f>
        <v>12</v>
      </c>
      <c r="D34" s="43">
        <f>'Raw Values'!AC34</f>
        <v>0.338941</v>
      </c>
      <c r="E34" s="130"/>
      <c r="F34" s="34">
        <f>'Firing Inaccuracy(Tapping) Raw'!F34+Analysis!$C34</f>
        <v>5.4</v>
      </c>
      <c r="G34" s="34">
        <f>'Firing Inaccuracy(Tapping) Raw'!G34+Analysis!$C34</f>
        <v>6.680874388</v>
      </c>
      <c r="H34" s="34">
        <f>'Firing Inaccuracy(Tapping) Raw'!H34+Analysis!$C34</f>
        <v>6.915251417</v>
      </c>
      <c r="I34" s="34">
        <f>'Firing Inaccuracy(Tapping) Raw'!I34+Analysis!$C34</f>
        <v>6.958138207</v>
      </c>
      <c r="J34" s="34">
        <f>'Firing Inaccuracy(Tapping) Raw'!J34+Analysis!$C34</f>
        <v>6.96598572</v>
      </c>
      <c r="K34" s="34">
        <f>'Firing Inaccuracy(Tapping) Raw'!K34+Analysis!$C34</f>
        <v>6.967421674</v>
      </c>
      <c r="L34" s="34">
        <f>'Firing Inaccuracy(Tapping) Raw'!L34+Analysis!$C34</f>
        <v>6.967684428</v>
      </c>
      <c r="M34" s="34">
        <f>'Firing Inaccuracy(Tapping) Raw'!M34+Analysis!$C34</f>
        <v>6.967732507</v>
      </c>
      <c r="N34" s="34">
        <f>'Firing Inaccuracy(Tapping) Raw'!N34+Analysis!$C34</f>
        <v>6.967741305</v>
      </c>
      <c r="O34" s="34">
        <f>'Firing Inaccuracy(Tapping) Raw'!O34+Analysis!$C34</f>
        <v>6.967742915</v>
      </c>
      <c r="P34" s="34">
        <f>'Firing Inaccuracy(Tapping) Raw'!P34+Analysis!$C34</f>
        <v>6.967743209</v>
      </c>
      <c r="Q34" s="34">
        <f>'Firing Inaccuracy(Tapping) Raw'!Q34+Analysis!$C34</f>
        <v>6.967743263</v>
      </c>
      <c r="R34" s="34">
        <f>'Firing Inaccuracy(Tapping) Raw'!R34+Analysis!$C34</f>
        <v>6.967743273</v>
      </c>
      <c r="S34" s="34">
        <f>'Firing Inaccuracy(Tapping) Raw'!S34+Analysis!$C34</f>
        <v>6.967743275</v>
      </c>
      <c r="T34" s="34">
        <f>'Firing Inaccuracy(Tapping) Raw'!T34+Analysis!$C34</f>
        <v>6.967743275</v>
      </c>
    </row>
    <row r="35" ht="15.75" customHeight="1">
      <c r="A35" s="66" t="s">
        <v>175</v>
      </c>
      <c r="B35" s="57">
        <f>'Firing Inaccuracy(Tapping) Raw'!B35</f>
        <v>0.25</v>
      </c>
      <c r="C35" s="34">
        <f>'Raw Values'!U35</f>
        <v>6.68</v>
      </c>
      <c r="D35" s="43">
        <f>'Raw Values'!AC35</f>
        <v>0.452886</v>
      </c>
      <c r="E35" s="130"/>
      <c r="F35" s="34">
        <f>'Firing Inaccuracy(Tapping) Raw'!F35+Analysis!$C35</f>
        <v>4.28</v>
      </c>
      <c r="G35" s="34">
        <f>'Firing Inaccuracy(Tapping) Raw'!G35+Analysis!$C35</f>
        <v>6.153963661</v>
      </c>
      <c r="H35" s="34">
        <f>'Firing Inaccuracy(Tapping) Raw'!H35+Analysis!$C35</f>
        <v>6.679673212</v>
      </c>
      <c r="I35" s="34">
        <f>'Firing Inaccuracy(Tapping) Raw'!I35+Analysis!$C35</f>
        <v>6.827152344</v>
      </c>
      <c r="J35" s="34">
        <f>'Firing Inaccuracy(Tapping) Raw'!J35+Analysis!$C35</f>
        <v>6.868525178</v>
      </c>
      <c r="K35" s="34">
        <f>'Firing Inaccuracy(Tapping) Raw'!K35+Analysis!$C35</f>
        <v>6.880131643</v>
      </c>
      <c r="L35" s="34">
        <f>'Firing Inaccuracy(Tapping) Raw'!L35+Analysis!$C35</f>
        <v>6.883387645</v>
      </c>
      <c r="M35" s="34">
        <f>'Firing Inaccuracy(Tapping) Raw'!M35+Analysis!$C35</f>
        <v>6.884301063</v>
      </c>
      <c r="N35" s="34">
        <f>'Firing Inaccuracy(Tapping) Raw'!N35+Analysis!$C35</f>
        <v>6.884557307</v>
      </c>
      <c r="O35" s="34">
        <f>'Firing Inaccuracy(Tapping) Raw'!O35+Analysis!$C35</f>
        <v>6.884629192</v>
      </c>
      <c r="P35" s="34">
        <f>'Firing Inaccuracy(Tapping) Raw'!P35+Analysis!$C35</f>
        <v>6.884649358</v>
      </c>
      <c r="Q35" s="34">
        <f>'Firing Inaccuracy(Tapping) Raw'!Q35+Analysis!$C35</f>
        <v>6.884655015</v>
      </c>
      <c r="R35" s="34">
        <f>'Firing Inaccuracy(Tapping) Raw'!R35+Analysis!$C35</f>
        <v>6.884656603</v>
      </c>
      <c r="S35" s="34">
        <f>'Firing Inaccuracy(Tapping) Raw'!S35+Analysis!$C35</f>
        <v>6.884657048</v>
      </c>
      <c r="T35" s="34">
        <f>'Firing Inaccuracy(Tapping) Raw'!T35+Analysis!$C35</f>
        <v>6.884657173</v>
      </c>
    </row>
    <row r="36" ht="15.75" customHeight="1">
      <c r="A36" s="75"/>
      <c r="B36" s="83"/>
      <c r="C36" s="147"/>
      <c r="D36" s="148"/>
      <c r="E36" s="150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  <c r="Q36" s="79"/>
      <c r="R36" s="79"/>
      <c r="S36" s="79"/>
      <c r="T36" s="79"/>
    </row>
    <row r="37" ht="15.75" customHeight="1">
      <c r="A37" s="5" t="s">
        <v>177</v>
      </c>
      <c r="B37" s="162" t="s">
        <v>222</v>
      </c>
      <c r="C37" s="9" t="s">
        <v>204</v>
      </c>
      <c r="D37" s="21" t="s">
        <v>205</v>
      </c>
      <c r="E37" s="125"/>
      <c r="F37" s="127">
        <v>1.0</v>
      </c>
      <c r="G37" s="127">
        <v>2.0</v>
      </c>
      <c r="H37" s="127">
        <v>3.0</v>
      </c>
      <c r="I37" s="127">
        <v>4.0</v>
      </c>
      <c r="J37" s="127">
        <v>5.0</v>
      </c>
      <c r="K37" s="127">
        <v>6.0</v>
      </c>
      <c r="L37" s="127">
        <v>7.0</v>
      </c>
      <c r="M37" s="127">
        <v>8.0</v>
      </c>
      <c r="N37" s="127">
        <v>9.0</v>
      </c>
      <c r="O37" s="127">
        <v>10.0</v>
      </c>
      <c r="P37" s="127">
        <v>11.0</v>
      </c>
      <c r="Q37" s="127">
        <v>12.0</v>
      </c>
      <c r="R37" s="127">
        <v>13.0</v>
      </c>
      <c r="S37" s="127">
        <v>14.0</v>
      </c>
      <c r="T37" s="127">
        <v>15.0</v>
      </c>
    </row>
    <row r="38" ht="15.75" customHeight="1">
      <c r="A38" s="28" t="s">
        <v>179</v>
      </c>
      <c r="B38" s="57">
        <f>'Firing Inaccuracy(Tapping) Raw'!B38</f>
        <v>0.25</v>
      </c>
      <c r="C38" s="34">
        <f>'Raw Values'!U38</f>
        <v>3.56</v>
      </c>
      <c r="D38" s="43">
        <f>'Raw Values'!AC38</f>
        <v>0.828931</v>
      </c>
      <c r="E38" s="130"/>
      <c r="F38" s="34">
        <f>'Firing Inaccuracy(Tapping) Raw'!F38+Analysis!$C38</f>
        <v>9.7</v>
      </c>
      <c r="G38" s="34">
        <f>'Firing Inaccuracy(Tapping) Raw'!G38+Analysis!$C38</f>
        <v>11.47769291</v>
      </c>
      <c r="H38" s="34">
        <f>'Firing Inaccuracy(Tapping) Raw'!H38+Analysis!$C38</f>
        <v>12.36538732</v>
      </c>
      <c r="I38" s="34">
        <f>'Firing Inaccuracy(Tapping) Raw'!I38+Analysis!$C38</f>
        <v>12.80865925</v>
      </c>
      <c r="J38" s="34">
        <f>'Firing Inaccuracy(Tapping) Raw'!J38+Analysis!$C38</f>
        <v>13.03000795</v>
      </c>
      <c r="K38" s="34">
        <f>'Firing Inaccuracy(Tapping) Raw'!K38+Analysis!$C38</f>
        <v>13.14053885</v>
      </c>
      <c r="L38" s="34">
        <f>'Firing Inaccuracy(Tapping) Raw'!L38+Analysis!$C38</f>
        <v>13.19573267</v>
      </c>
      <c r="M38" s="34">
        <f>'Firing Inaccuracy(Tapping) Raw'!M38+Analysis!$C38</f>
        <v>13.22329381</v>
      </c>
      <c r="N38" s="34">
        <f>'Firing Inaccuracy(Tapping) Raw'!N38+Analysis!$C38</f>
        <v>13.23705652</v>
      </c>
      <c r="O38" s="34">
        <f>'Firing Inaccuracy(Tapping) Raw'!O38+Analysis!$C38</f>
        <v>13.24392895</v>
      </c>
      <c r="P38" s="34">
        <f>'Firing Inaccuracy(Tapping) Raw'!P38+Analysis!$C38</f>
        <v>13.24736072</v>
      </c>
      <c r="Q38" s="34">
        <f>'Firing Inaccuracy(Tapping) Raw'!Q38+Analysis!$C38</f>
        <v>13.24907438</v>
      </c>
      <c r="R38" s="34">
        <f>'Firing Inaccuracy(Tapping) Raw'!R38+Analysis!$C38</f>
        <v>13.2499301</v>
      </c>
      <c r="S38" s="34">
        <f>'Firing Inaccuracy(Tapping) Raw'!S38+Analysis!$C38</f>
        <v>13.2503574</v>
      </c>
      <c r="T38" s="34">
        <f>'Firing Inaccuracy(Tapping) Raw'!T38+Analysis!$C38</f>
        <v>13.25057078</v>
      </c>
    </row>
    <row r="39" ht="15.75" customHeight="1">
      <c r="A39" s="28" t="s">
        <v>181</v>
      </c>
      <c r="B39" s="57">
        <f>'Firing Inaccuracy(Tapping) Raw'!B39</f>
        <v>0.25</v>
      </c>
      <c r="C39" s="34">
        <f>'Raw Values'!U39</f>
        <v>30</v>
      </c>
      <c r="D39" s="43">
        <f>'Raw Values'!AC39</f>
        <v>0.3</v>
      </c>
      <c r="E39" s="130"/>
      <c r="F39" s="34">
        <f>'Firing Inaccuracy(Tapping) Raw'!F39+Analysis!$C39</f>
        <v>12.17</v>
      </c>
      <c r="G39" s="34">
        <f>'Firing Inaccuracy(Tapping) Raw'!G39+Analysis!$C39</f>
        <v>16.5733978</v>
      </c>
      <c r="H39" s="34">
        <f>'Firing Inaccuracy(Tapping) Raw'!H39+Analysis!$C39</f>
        <v>17.21972821</v>
      </c>
      <c r="I39" s="34">
        <f>'Firing Inaccuracy(Tapping) Raw'!I39+Analysis!$C39</f>
        <v>17.31459654</v>
      </c>
      <c r="J39" s="34">
        <f>'Firing Inaccuracy(Tapping) Raw'!J39+Analysis!$C39</f>
        <v>17.32852131</v>
      </c>
      <c r="K39" s="34">
        <f>'Firing Inaccuracy(Tapping) Raw'!K39+Analysis!$C39</f>
        <v>17.33056518</v>
      </c>
      <c r="L39" s="34">
        <f>'Firing Inaccuracy(Tapping) Raw'!L39+Analysis!$C39</f>
        <v>17.33086518</v>
      </c>
      <c r="M39" s="34">
        <f>'Firing Inaccuracy(Tapping) Raw'!M39+Analysis!$C39</f>
        <v>17.33090922</v>
      </c>
      <c r="N39" s="34">
        <f>'Firing Inaccuracy(Tapping) Raw'!N39+Analysis!$C39</f>
        <v>17.33091568</v>
      </c>
      <c r="O39" s="34">
        <f>'Firing Inaccuracy(Tapping) Raw'!O39+Analysis!$C39</f>
        <v>17.33091663</v>
      </c>
      <c r="P39" s="34">
        <f>'Firing Inaccuracy(Tapping) Raw'!P39+Analysis!$C39</f>
        <v>17.33091677</v>
      </c>
      <c r="Q39" s="34">
        <f>'Firing Inaccuracy(Tapping) Raw'!Q39+Analysis!$C39</f>
        <v>17.33091679</v>
      </c>
      <c r="R39" s="34">
        <f>'Firing Inaccuracy(Tapping) Raw'!R39+Analysis!$C39</f>
        <v>17.33091679</v>
      </c>
      <c r="S39" s="34">
        <f>'Firing Inaccuracy(Tapping) Raw'!S39+Analysis!$C39</f>
        <v>17.33091679</v>
      </c>
      <c r="T39" s="34">
        <f>'Firing Inaccuracy(Tapping) Raw'!T39+Analysis!$C39</f>
        <v>17.33091679</v>
      </c>
    </row>
    <row r="40" ht="15.75" customHeight="1">
      <c r="A40" s="75"/>
      <c r="B40" s="83"/>
      <c r="C40" s="147"/>
      <c r="D40" s="148"/>
      <c r="E40" s="150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  <c r="Q40" s="79"/>
      <c r="R40" s="79"/>
      <c r="S40" s="79"/>
      <c r="T40" s="79"/>
    </row>
    <row r="41" ht="15.75" customHeight="1">
      <c r="A41" s="5" t="s">
        <v>184</v>
      </c>
      <c r="B41" s="162" t="s">
        <v>222</v>
      </c>
      <c r="C41" s="9" t="s">
        <v>204</v>
      </c>
      <c r="D41" s="21" t="s">
        <v>205</v>
      </c>
      <c r="E41" s="125"/>
      <c r="F41" s="127">
        <v>1.0</v>
      </c>
      <c r="G41" s="127">
        <v>2.0</v>
      </c>
      <c r="H41" s="127">
        <v>3.0</v>
      </c>
      <c r="I41" s="127">
        <v>4.0</v>
      </c>
      <c r="J41" s="127">
        <v>5.0</v>
      </c>
      <c r="K41" s="127">
        <v>6.0</v>
      </c>
      <c r="L41" s="127">
        <v>7.0</v>
      </c>
      <c r="M41" s="127">
        <v>8.0</v>
      </c>
      <c r="N41" s="127">
        <v>9.0</v>
      </c>
      <c r="O41" s="127">
        <v>10.0</v>
      </c>
      <c r="P41" s="127">
        <v>11.0</v>
      </c>
      <c r="Q41" s="127">
        <v>12.0</v>
      </c>
      <c r="R41" s="127">
        <v>13.0</v>
      </c>
      <c r="S41" s="127">
        <v>14.0</v>
      </c>
      <c r="T41" s="127">
        <v>15.0</v>
      </c>
    </row>
    <row r="42" ht="15.75" customHeight="1">
      <c r="A42" s="28" t="s">
        <v>186</v>
      </c>
      <c r="B42" s="57">
        <f>'Firing Inaccuracy(Tapping) Raw'!B42</f>
        <v>1.455</v>
      </c>
      <c r="C42" s="34">
        <f>'Raw Values'!U42</f>
        <v>53.85</v>
      </c>
      <c r="D42" s="43">
        <f>'Raw Values'!AC42</f>
        <v>0.34539</v>
      </c>
      <c r="E42" s="130"/>
      <c r="F42" s="34">
        <f>'Firing Inaccuracy(Tapping) Raw'!F42+Analysis!$C42</f>
        <v>2.2</v>
      </c>
      <c r="G42" s="34">
        <f>'Firing Inaccuracy(Tapping) Raw'!G42+Analysis!$C42</f>
        <v>2.203300323</v>
      </c>
      <c r="H42" s="34">
        <f>'Firing Inaccuracy(Tapping) Raw'!H42+Analysis!$C42</f>
        <v>2.203300526</v>
      </c>
      <c r="I42" s="34">
        <f>'Firing Inaccuracy(Tapping) Raw'!I42+Analysis!$C42</f>
        <v>2.203300526</v>
      </c>
      <c r="J42" s="34">
        <f>'Firing Inaccuracy(Tapping) Raw'!J42+Analysis!$C42</f>
        <v>2.203300526</v>
      </c>
      <c r="K42" s="34">
        <f>'Firing Inaccuracy(Tapping) Raw'!K42+Analysis!$C42</f>
        <v>2.203300526</v>
      </c>
      <c r="L42" s="34">
        <f>'Firing Inaccuracy(Tapping) Raw'!L42+Analysis!$C42</f>
        <v>2.203300526</v>
      </c>
      <c r="M42" s="34">
        <f>'Firing Inaccuracy(Tapping) Raw'!M42+Analysis!$C42</f>
        <v>2.203300526</v>
      </c>
      <c r="N42" s="34">
        <f>'Firing Inaccuracy(Tapping) Raw'!N42+Analysis!$C42</f>
        <v>2.203300526</v>
      </c>
      <c r="O42" s="34">
        <f>'Firing Inaccuracy(Tapping) Raw'!O42+Analysis!$C42</f>
        <v>2.203300526</v>
      </c>
      <c r="P42" s="53"/>
      <c r="Q42" s="53"/>
      <c r="R42" s="53"/>
      <c r="S42" s="53"/>
      <c r="T42" s="53"/>
    </row>
    <row r="43" ht="15.75" customHeight="1">
      <c r="A43" s="66" t="s">
        <v>188</v>
      </c>
      <c r="B43" s="57">
        <f>'Firing Inaccuracy(Tapping) Raw'!B43</f>
        <v>0.55</v>
      </c>
      <c r="C43" s="34">
        <f>'Raw Values'!U43</f>
        <v>18.61</v>
      </c>
      <c r="D43" s="43">
        <f>'Raw Values'!AC43</f>
        <v>0.544331</v>
      </c>
      <c r="E43" s="130"/>
      <c r="F43" s="34">
        <f>'Firing Inaccuracy(Tapping) Raw'!F43+Analysis!$C43</f>
        <v>2.3</v>
      </c>
      <c r="G43" s="34">
        <f>'Firing Inaccuracy(Tapping) Raw'!G43+Analysis!$C43</f>
        <v>4.116903051</v>
      </c>
      <c r="H43" s="34">
        <f>'Firing Inaccuracy(Tapping) Raw'!H43+Analysis!$C43</f>
        <v>4.29428815</v>
      </c>
      <c r="I43" s="34">
        <f>'Firing Inaccuracy(Tapping) Raw'!I43+Analysis!$C43</f>
        <v>4.31160634</v>
      </c>
      <c r="J43" s="34">
        <f>'Firing Inaccuracy(Tapping) Raw'!J43+Analysis!$C43</f>
        <v>4.313297123</v>
      </c>
      <c r="K43" s="34">
        <f>'Firing Inaccuracy(Tapping) Raw'!K43+Analysis!$C43</f>
        <v>4.313462195</v>
      </c>
      <c r="L43" s="34">
        <f>'Firing Inaccuracy(Tapping) Raw'!L43+Analysis!$C43</f>
        <v>4.313478311</v>
      </c>
      <c r="M43" s="34">
        <f>'Firing Inaccuracy(Tapping) Raw'!M43+Analysis!$C43</f>
        <v>4.313479885</v>
      </c>
      <c r="N43" s="34">
        <f>'Firing Inaccuracy(Tapping) Raw'!N43+Analysis!$C43</f>
        <v>4.313480038</v>
      </c>
      <c r="O43" s="34">
        <f>'Firing Inaccuracy(Tapping) Raw'!O43+Analysis!$C43</f>
        <v>4.313480053</v>
      </c>
      <c r="P43" s="34">
        <f>'Firing Inaccuracy(Tapping) Raw'!P43+Analysis!$C43</f>
        <v>4.313480055</v>
      </c>
      <c r="Q43" s="34">
        <f>'Firing Inaccuracy(Tapping) Raw'!Q43+Analysis!$C43</f>
        <v>4.313480055</v>
      </c>
      <c r="R43" s="34">
        <f>'Firing Inaccuracy(Tapping) Raw'!R43+Analysis!$C43</f>
        <v>4.313480055</v>
      </c>
      <c r="S43" s="34">
        <f>'Firing Inaccuracy(Tapping) Raw'!S43+Analysis!$C43</f>
        <v>4.313480055</v>
      </c>
      <c r="T43" s="34">
        <f>'Firing Inaccuracy(Tapping) Raw'!T43+Analysis!$C43</f>
        <v>4.313480055</v>
      </c>
    </row>
    <row r="44" ht="15.75" customHeight="1">
      <c r="A44" s="61" t="s">
        <v>190</v>
      </c>
      <c r="B44" s="57">
        <f>'Firing Inaccuracy(Tapping) Raw'!B44</f>
        <v>0.55</v>
      </c>
      <c r="C44" s="34">
        <f>'Raw Values'!U44</f>
        <v>18.61</v>
      </c>
      <c r="D44" s="43">
        <f>'Raw Values'!AC44</f>
        <v>0.544331</v>
      </c>
      <c r="E44" s="130"/>
      <c r="F44" s="34">
        <f>'Firing Inaccuracy(Tapping) Raw'!F44+Analysis!$C44</f>
        <v>2.3</v>
      </c>
      <c r="G44" s="34">
        <f>'Firing Inaccuracy(Tapping) Raw'!G44+Analysis!$C44</f>
        <v>4.116903051</v>
      </c>
      <c r="H44" s="34">
        <f>'Firing Inaccuracy(Tapping) Raw'!H44+Analysis!$C44</f>
        <v>4.29428815</v>
      </c>
      <c r="I44" s="34">
        <f>'Firing Inaccuracy(Tapping) Raw'!I44+Analysis!$C44</f>
        <v>4.31160634</v>
      </c>
      <c r="J44" s="34">
        <f>'Firing Inaccuracy(Tapping) Raw'!J44+Analysis!$C44</f>
        <v>4.313297123</v>
      </c>
      <c r="K44" s="34">
        <f>'Firing Inaccuracy(Tapping) Raw'!K44+Analysis!$C44</f>
        <v>4.313462195</v>
      </c>
      <c r="L44" s="34">
        <f>'Firing Inaccuracy(Tapping) Raw'!L44+Analysis!$C44</f>
        <v>4.313478311</v>
      </c>
      <c r="M44" s="34">
        <f>'Firing Inaccuracy(Tapping) Raw'!M44+Analysis!$C44</f>
        <v>4.313479885</v>
      </c>
      <c r="N44" s="34">
        <f>'Firing Inaccuracy(Tapping) Raw'!N44+Analysis!$C44</f>
        <v>4.313480038</v>
      </c>
      <c r="O44" s="34">
        <f>'Firing Inaccuracy(Tapping) Raw'!O44+Analysis!$C44</f>
        <v>4.313480053</v>
      </c>
      <c r="P44" s="34">
        <f>'Firing Inaccuracy(Tapping) Raw'!P44+Analysis!$C44</f>
        <v>4.313480055</v>
      </c>
      <c r="Q44" s="34">
        <f>'Firing Inaccuracy(Tapping) Raw'!Q44+Analysis!$C44</f>
        <v>4.313480055</v>
      </c>
      <c r="R44" s="34">
        <f>'Firing Inaccuracy(Tapping) Raw'!R44+Analysis!$C44</f>
        <v>4.313480055</v>
      </c>
      <c r="S44" s="34">
        <f>'Firing Inaccuracy(Tapping) Raw'!S44+Analysis!$C44</f>
        <v>4.313480055</v>
      </c>
      <c r="T44" s="34">
        <f>'Firing Inaccuracy(Tapping) Raw'!T44+Analysis!$C44</f>
        <v>4.313480055</v>
      </c>
    </row>
    <row r="45" ht="15.75" customHeight="1">
      <c r="A45" s="28" t="s">
        <v>192</v>
      </c>
      <c r="B45" s="57">
        <f>'Firing Inaccuracy(Tapping) Raw'!B45</f>
        <v>1.25</v>
      </c>
      <c r="C45" s="34">
        <f>'Raw Values'!U45</f>
        <v>22.92</v>
      </c>
      <c r="D45" s="43">
        <f>'Raw Values'!AC45</f>
        <v>0.142096</v>
      </c>
      <c r="E45" s="130"/>
      <c r="F45" s="34">
        <f>'Firing Inaccuracy(Tapping) Raw'!F45+Analysis!$C45</f>
        <v>3.23</v>
      </c>
      <c r="G45" s="34">
        <f>'Firing Inaccuracy(Tapping) Raw'!G45+Analysis!$C45</f>
        <v>3.230000037</v>
      </c>
      <c r="H45" s="34">
        <f>'Firing Inaccuracy(Tapping) Raw'!H45+Analysis!$C45</f>
        <v>3.230000037</v>
      </c>
      <c r="I45" s="34">
        <f>'Firing Inaccuracy(Tapping) Raw'!I45+Analysis!$C45</f>
        <v>3.230000037</v>
      </c>
      <c r="J45" s="34">
        <f>'Firing Inaccuracy(Tapping) Raw'!J45+Analysis!$C45</f>
        <v>3.230000037</v>
      </c>
      <c r="K45" s="34">
        <f>'Firing Inaccuracy(Tapping) Raw'!K45+Analysis!$C45</f>
        <v>3.230000037</v>
      </c>
      <c r="L45" s="34">
        <f>'Firing Inaccuracy(Tapping) Raw'!L45+Analysis!$C45</f>
        <v>3.230000037</v>
      </c>
      <c r="M45" s="34">
        <f>'Firing Inaccuracy(Tapping) Raw'!M45+Analysis!$C45</f>
        <v>3.230000037</v>
      </c>
      <c r="N45" s="34">
        <f>'Firing Inaccuracy(Tapping) Raw'!N45+Analysis!$C45</f>
        <v>3.230000037</v>
      </c>
      <c r="O45" s="34">
        <f>'Firing Inaccuracy(Tapping) Raw'!O45+Analysis!$C45</f>
        <v>3.230000037</v>
      </c>
      <c r="P45" s="53"/>
      <c r="Q45" s="53"/>
      <c r="R45" s="53"/>
      <c r="S45" s="53"/>
      <c r="T45" s="53"/>
    </row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drawing r:id="rId2"/>
  <legacyDrawing r:id="rId3"/>
</worksheet>
</file>